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Департамент торгов\ПРОЦЕДУРЫ\2-1 КОНКУРС в электронной форме\ОКЭФ-203 ПИР Буксировочная канатная дорога 44-фз\"/>
    </mc:Choice>
  </mc:AlternateContent>
  <bookViews>
    <workbookView xWindow="0" yWindow="0" windowWidth="28800" windowHeight="12330" tabRatio="847" activeTab="2"/>
  </bookViews>
  <sheets>
    <sheet name="Пояснительная" sheetId="36" r:id="rId1"/>
    <sheet name="Протокол" sheetId="37" r:id="rId2"/>
    <sheet name="НМЦ" sheetId="33" r:id="rId3"/>
    <sheet name="НМЦК" sheetId="34" r:id="rId4"/>
    <sheet name="Cводная смета ПИР" sheetId="26" r:id="rId5"/>
    <sheet name="ИГДИ" sheetId="204" r:id="rId6"/>
    <sheet name="ИГИ" sheetId="206" r:id="rId7"/>
    <sheet name="ИГФИ" sheetId="208" r:id="rId8"/>
    <sheet name="Сели-лавины" sheetId="197" r:id="rId9"/>
    <sheet name="ИГМИ" sheetId="198" r:id="rId10"/>
    <sheet name="Экология" sheetId="205" r:id="rId11"/>
    <sheet name="ВОП" sheetId="203" r:id="rId12"/>
    <sheet name="Программа ГТМ" sheetId="199" r:id="rId13"/>
    <sheet name="ПД" sheetId="183" r:id="rId14"/>
    <sheet name="РД" sheetId="184" r:id="rId15"/>
    <sheet name="ОВОС" sheetId="179" r:id="rId16"/>
    <sheet name="ОВБР" sheetId="201" state="hidden" r:id="rId17"/>
    <sheet name="КАЦ на НТС и СТУ" sheetId="209" r:id="rId18"/>
    <sheet name="Историко-культурная эксп" sheetId="182" state="hidden" r:id="rId19"/>
    <sheet name="Экспертиза ГЭЭ" sheetId="180" r:id="rId20"/>
    <sheet name="Экспертиза ГГЭ" sheetId="70" r:id="rId21"/>
    <sheet name="Прогнозные индексы" sheetId="130"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 hidden="1">{"IMRAK42x8x8",#N/A,TRUE,"IMRAK 1400 42U 800X800";"IMRAK32x6x6",#N/A,TRUE,"IMRAK 1400 32U 600x600";"IMRAK42x12x8",#N/A,TRUE,"IMRAK 1400 42U 1200x800";"IMRAK15x6x4",#N/A,TRUE,"IMRAK 400 15U FRONT SECTION"}</definedName>
    <definedName name="___________App2" hidden="1">{"IMRAK42x8x8",#N/A,TRUE,"IMRAK 1400 42U 800X800";"IMRAK32x6x6",#N/A,TRUE,"IMRAK 1400 32U 600x600";"IMRAK42x12x8",#N/A,TRUE,"IMRAK 1400 42U 1200x800";"IMRAK15x6x4",#N/A,TRUE,"IMRAK 400 15U FRONT SECTION"}</definedName>
    <definedName name="__________App2" hidden="1">{"IMRAK42x8x8",#N/A,TRUE,"IMRAK 1400 42U 800X800";"IMRAK32x6x6",#N/A,TRUE,"IMRAK 1400 32U 600x600";"IMRAK42x12x8",#N/A,TRUE,"IMRAK 1400 42U 1200x800";"IMRAK15x6x4",#N/A,TRUE,"IMRAK 400 15U FRONT SECTION"}</definedName>
    <definedName name="_________App2" hidden="1">{"IMRAK42x8x8",#N/A,TRUE,"IMRAK 1400 42U 800X800";"IMRAK32x6x6",#N/A,TRUE,"IMRAK 1400 32U 600x600";"IMRAK42x12x8",#N/A,TRUE,"IMRAK 1400 42U 1200x800";"IMRAK15x6x4",#N/A,TRUE,"IMRAK 400 15U FRONT SECTION"}</definedName>
    <definedName name="________App2" hidden="1">{"IMRAK42x8x8",#N/A,TRUE,"IMRAK 1400 42U 800X800";"IMRAK32x6x6",#N/A,TRUE,"IMRAK 1400 32U 600x600";"IMRAK42x12x8",#N/A,TRUE,"IMRAK 1400 42U 1200x800";"IMRAK15x6x4",#N/A,TRUE,"IMRAK 400 15U FRONT SECTION"}</definedName>
    <definedName name="_______App2" hidden="1">{"IMRAK42x8x8",#N/A,TRUE,"IMRAK 1400 42U 800X800";"IMRAK32x6x6",#N/A,TRUE,"IMRAK 1400 32U 600x600";"IMRAK42x12x8",#N/A,TRUE,"IMRAK 1400 42U 1200x800";"IMRAK15x6x4",#N/A,TRUE,"IMRAK 400 15U FRONT SECTION"}</definedName>
    <definedName name="______App2" hidden="1">{"IMRAK42x8x8",#N/A,TRUE,"IMRAK 1400 42U 800X800";"IMRAK32x6x6",#N/A,TRUE,"IMRAK 1400 32U 600x600";"IMRAK42x12x8",#N/A,TRUE,"IMRAK 1400 42U 1200x800";"IMRAK15x6x4",#N/A,TRUE,"IMRAK 400 15U FRONT SECTION"}</definedName>
    <definedName name="_____App2" hidden="1">{"IMRAK42x8x8",#N/A,TRUE,"IMRAK 1400 42U 800X800";"IMRAK32x6x6",#N/A,TRUE,"IMRAK 1400 32U 600x600";"IMRAK42x12x8",#N/A,TRUE,"IMRAK 1400 42U 1200x800";"IMRAK15x6x4",#N/A,TRUE,"IMRAK 400 15U FRONT SECTION"}</definedName>
    <definedName name="____App2" hidden="1">{"IMRAK42x8x8",#N/A,TRUE,"IMRAK 1400 42U 800X800";"IMRAK32x6x6",#N/A,TRUE,"IMRAK 1400 32U 600x600";"IMRAK42x12x8",#N/A,TRUE,"IMRAK 1400 42U 1200x800";"IMRAK15x6x4",#N/A,TRUE,"IMRAK 400 15U FRONT SECTION"}</definedName>
    <definedName name="___App2" hidden="1">{"IMRAK42x8x8",#N/A,TRUE,"IMRAK 1400 42U 800X800";"IMRAK32x6x6",#N/A,TRUE,"IMRAK 1400 32U 600x600";"IMRAK42x12x8",#N/A,TRUE,"IMRAK 1400 42U 1200x800";"IMRAK15x6x4",#N/A,TRUE,"IMRAK 400 15U FRONT SECTION"}</definedName>
    <definedName name="___xlfn.BAHTTEXT" hidden="1">#NAME?</definedName>
    <definedName name="__App2" hidden="1">{"IMRAK42x8x8",#N/A,TRUE,"IMRAK 1400 42U 800X800";"IMRAK32x6x6",#N/A,TRUE,"IMRAK 1400 32U 600x600";"IMRAK42x12x8",#N/A,TRUE,"IMRAK 1400 42U 1200x800";"IMRAK15x6x4",#N/A,TRUE,"IMRAK 400 15U FRONT SECTION"}</definedName>
    <definedName name="__xlfn.BAHTTEXT" hidden="1">#NAME?</definedName>
    <definedName name="_01" hidden="1">{"IMRAK42x8x8",#N/A,TRUE,"IMRAK 1400 42U 800X800";"IMRAK32x6x6",#N/A,TRUE,"IMRAK 1400 32U 600x600";"IMRAK42x12x8",#N/A,TRUE,"IMRAK 1400 42U 1200x800";"IMRAK15x6x4",#N/A,TRUE,"IMRAK 400 15U FRONT SECTION"}</definedName>
    <definedName name="_02" hidden="1">{"IMRAK42x8x8",#N/A,TRUE,"IMRAK 1400 42U 800X800";"IMRAK32x6x6",#N/A,TRUE,"IMRAK 1400 32U 600x600";"IMRAK42x12x8",#N/A,TRUE,"IMRAK 1400 42U 1200x800";"IMRAK15x6x4",#N/A,TRUE,"IMRAK 400 15U FRONT SECTION"}</definedName>
    <definedName name="_03" hidden="1">{"IMRAK42x8x8",#N/A,TRUE,"IMRAK 1400 42U 800X800";"IMRAK32x6x6",#N/A,TRUE,"IMRAK 1400 32U 600x600";"IMRAK42x12x8",#N/A,TRUE,"IMRAK 1400 42U 1200x800";"IMRAK15x6x4",#N/A,TRUE,"IMRAK 400 15U FRONT SECTION"}</definedName>
    <definedName name="_111" hidden="1">{"IMRAK42x8x8",#N/A,TRUE,"IMRAK 1400 42U 800X800";"IMRAK32x6x6",#N/A,TRUE,"IMRAK 1400 32U 600x600";"IMRAK42x12x8",#N/A,TRUE,"IMRAK 1400 42U 1200x800";"IMRAK15x6x4",#N/A,TRUE,"IMRAK 400 15U FRONT SECTION"}</definedName>
    <definedName name="_aa" hidden="1">{"IMRAK42x8x8",#N/A,TRUE,"IMRAK 1400 42U 800X800";"IMRAK32x6x6",#N/A,TRUE,"IMRAK 1400 32U 600x600";"IMRAK42x12x8",#N/A,TRUE,"IMRAK 1400 42U 1200x800";"IMRAK15x6x4",#N/A,TRUE,"IMRAK 400 15U FRONT SECTION"}</definedName>
    <definedName name="_App2" hidden="1">{"IMRAK42x8x8",#N/A,TRUE,"IMRAK 1400 42U 800X800";"IMRAK32x6x6",#N/A,TRUE,"IMRAK 1400 32U 600x600";"IMRAK42x12x8",#N/A,TRUE,"IMRAK 1400 42U 1200x800";"IMRAK15x6x4",#N/A,TRUE,"IMRAK 400 15U FRONT SECTION"}</definedName>
    <definedName name="_App3" hidden="1">{"IMRAK42x8x8",#N/A,TRUE,"IMRAK 1400 42U 800X800";"IMRAK32x6x6",#N/A,TRUE,"IMRAK 1400 32U 600x600";"IMRAK42x12x8",#N/A,TRUE,"IMRAK 1400 42U 1200x800";"IMRAK15x6x4",#N/A,TRUE,"IMRAK 400 15U FRONT SECTION"}</definedName>
    <definedName name="_Hlk191561154" localSheetId="17">'КАЦ на НТС и СТУ'!$C$14</definedName>
    <definedName name="_Hlk191561170" localSheetId="17">'КАЦ на НТС и СТУ'!$C$10</definedName>
    <definedName name="_xlnm._FilterDatabase" localSheetId="21" hidden="1">#REF!</definedName>
    <definedName name="_xlnm._FilterDatabase" hidden="1">#REF!</definedName>
    <definedName name="a" hidden="1">{#N/A,#N/A,TRUE,"Смета на пасс. обор. №1"}</definedName>
    <definedName name="a_1" localSheetId="21" hidden="1">{#N/A,#N/A,TRUE,"Смета на пасс. обор. №1"}</definedName>
    <definedName name="a_1" hidden="1">{#N/A,#N/A,TRUE,"Смета на пасс. обор. №1"}</definedName>
    <definedName name="Access_Button" hidden="1">"Активное_оборудование_Cabletron_Devices_Таблица1"</definedName>
    <definedName name="AccessDatabase" hidden="1">"C:\Мои документы\Благовещенск\Активное оборудование.mdb"</definedName>
    <definedName name="Aрр1" hidden="1">{"IMRAK42x8x8",#N/A,TRUE,"IMRAK 1400 42U 800X800";"IMRAK32x6x6",#N/A,TRUE,"IMRAK 1400 32U 600x600";"IMRAK42x12x8",#N/A,TRUE,"IMRAK 1400 42U 1200x800";"IMRAK15x6x4",#N/A,TRUE,"IMRAK 400 15U FRONT SECTION"}</definedName>
    <definedName name="b" hidden="1">{#N/A,#N/A,TRUE,"Смета на пасс. обор. №1"}</definedName>
    <definedName name="b_1" localSheetId="21" hidden="1">{#N/A,#N/A,TRUE,"Смета на пасс. обор. №1"}</definedName>
    <definedName name="b_1" hidden="1">{#N/A,#N/A,TRUE,"Смета на пасс. обор. №1"}</definedName>
    <definedName name="ba" localSheetId="21" hidden="1">{#N/A,#N/A,TRUE,"Смета на пасс. обор. №1"}</definedName>
    <definedName name="ba" hidden="1">{#N/A,#N/A,TRUE,"Смета на пасс. обор. №1"}</definedName>
    <definedName name="ba_1" localSheetId="21" hidden="1">{#N/A,#N/A,TRUE,"Смета на пасс. обор. №1"}</definedName>
    <definedName name="ba_1" hidden="1">{#N/A,#N/A,TRUE,"Смета на пасс. обор. №1"}</definedName>
    <definedName name="ccc" localSheetId="21" hidden="1">{#N/A,#N/A,TRUE,"Смета на пасс. обор. №1"}</definedName>
    <definedName name="ccc" hidden="1">{#N/A,#N/A,TRUE,"Смета на пасс. обор. №1"}</definedName>
    <definedName name="ccc_1" localSheetId="21" hidden="1">{#N/A,#N/A,TRUE,"Смета на пасс. обор. №1"}</definedName>
    <definedName name="ccc_1" hidden="1">{#N/A,#N/A,TRUE,"Смета на пасс. обор. №1"}</definedName>
    <definedName name="dck">[1]топография!#REF!</definedName>
    <definedName name="e" localSheetId="21" hidden="1">{#N/A,#N/A,TRUE,"Смета на пасс. обор. №1"}</definedName>
    <definedName name="e" hidden="1">{#N/A,#N/A,TRUE,"Смета на пасс. обор. №1"}</definedName>
    <definedName name="e_1" localSheetId="21" hidden="1">{#N/A,#N/A,TRUE,"Смета на пасс. обор. №1"}</definedName>
    <definedName name="e_1" hidden="1">{#N/A,#N/A,TRUE,"Смета на пасс. обор. №1"}</definedName>
    <definedName name="ee" hidden="1">{"IMRAK42x8x8",#N/A,TRUE,"IMRAK 1400 42U 800X800";"IMRAK32x6x6",#N/A,TRUE,"IMRAK 1400 32U 600x600";"IMRAK42x12x8",#N/A,TRUE,"IMRAK 1400 42U 1200x800";"IMRAK15x6x4",#N/A,TRUE,"IMRAK 400 15U FRONT SECTION"}</definedName>
    <definedName name="Itog">#REF!</definedName>
    <definedName name="j" localSheetId="21" hidden="1">{#N/A,#N/A,TRUE,"Смета на пасс. обор. №1"}</definedName>
    <definedName name="j" hidden="1">{#N/A,#N/A,TRUE,"Смета на пасс. обор. №1"}</definedName>
    <definedName name="j_1" localSheetId="21" hidden="1">{#N/A,#N/A,TRUE,"Смета на пасс. обор. №1"}</definedName>
    <definedName name="j_1" hidden="1">{#N/A,#N/A,TRUE,"Смета на пасс. обор. №1"}</definedName>
    <definedName name="KPlan">#REF!</definedName>
    <definedName name="lfd"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l" hidden="1">{#N/A,#N/A,TRUE,"Смета на пасс. обор. №1"}</definedName>
    <definedName name="njk" hidden="1">{"IMRAK42x8x8",#N/A,TRUE,"IMRAK 1400 42U 800X800";"IMRAK32x6x6",#N/A,TRUE,"IMRAK 1400 32U 600x600";"IMRAK42x12x8",#N/A,TRUE,"IMRAK 1400 42U 1200x800";"IMRAK15x6x4",#N/A,TRUE,"IMRAK 400 15U FRONT SECTION"}</definedName>
    <definedName name="p" hidden="1">{#N/A,#N/A,TRUE,"Смета на пасс. обор. №1"}</definedName>
    <definedName name="p_1" hidden="1">{#N/A,#N/A,TRUE,"Смета на пасс. обор. №1"}</definedName>
    <definedName name="qqq" localSheetId="21" hidden="1">{#N/A,#N/A,TRUE,"Смета на пасс. обор. №1"}</definedName>
    <definedName name="qqq" hidden="1">{#N/A,#N/A,TRUE,"Смета на пасс. обор. №1"}</definedName>
    <definedName name="qqq_1" localSheetId="21" hidden="1">{#N/A,#N/A,TRUE,"Смета на пасс. обор. №1"}</definedName>
    <definedName name="qqq_1" hidden="1">{#N/A,#N/A,TRUE,"Смета на пасс. обор. №1"}</definedName>
    <definedName name="SM_STO">#REF!</definedName>
    <definedName name="SM_STO1">#REF!</definedName>
    <definedName name="SM_STO2">#REF!</definedName>
    <definedName name="SM_STO3">#REF!</definedName>
    <definedName name="standard_raks" hidden="1">{"IMRAK42x8x8",#N/A,TRUE,"IMRAK 1400 42U 800X800";"IMRAK32x6x6",#N/A,TRUE,"IMRAK 1400 32U 600x600";"IMRAK42x12x8",#N/A,TRUE,"IMRAK 1400 42U 1200x800";"IMRAK15x6x4",#N/A,TRUE,"IMRAK 400 15U FRONT SECTION"}</definedName>
    <definedName name="SUM_">#REF!</definedName>
    <definedName name="SUM_1">#REF!</definedName>
    <definedName name="SUM_3">#REF!</definedName>
    <definedName name="we" localSheetId="21" hidden="1">{#N/A,#N/A,TRUE,"Смета на пасс. обор. №1"}</definedName>
    <definedName name="we" hidden="1">{#N/A,#N/A,TRUE,"Смета на пасс. обор. №1"}</definedName>
    <definedName name="we_1" localSheetId="21" hidden="1">{#N/A,#N/A,TRUE,"Смета на пасс. обор. №1"}</definedName>
    <definedName name="we_1" hidden="1">{#N/A,#N/A,TRUE,"Смета на пасс. обор. №1"}</definedName>
    <definedName name="wrn.1." localSheetId="21" hidden="1">{#N/A,#N/A,FALSE,"Шаблон_Спец1"}</definedName>
    <definedName name="wrn.1." hidden="1">{#N/A,#N/A,FALSE,"Шаблон_Спец1"}</definedName>
    <definedName name="wrn.sp2344." localSheetId="21" hidden="1">{#N/A,#N/A,TRUE,"Смета на пасс. обор. №1"}</definedName>
    <definedName name="wrn.sp2344." hidden="1">{#N/A,#N/A,TRUE,"Смета на пасс. обор. №1"}</definedName>
    <definedName name="wrn.sp2344._1" localSheetId="21" hidden="1">{#N/A,#N/A,TRUE,"Смета на пасс. обор. №1"}</definedName>
    <definedName name="wrn.sp2344._1" hidden="1">{#N/A,#N/A,TRUE,"Смета на пасс. обор. №1"}</definedName>
    <definedName name="wrn.sp2345" localSheetId="21" hidden="1">{#N/A,#N/A,TRUE,"Смета на пасс. обор. №1"}</definedName>
    <definedName name="wrn.sp2345" hidden="1">{#N/A,#N/A,TRUE,"Смета на пасс. обор. №1"}</definedName>
    <definedName name="wrn.sp2345_1" localSheetId="21" hidden="1">{#N/A,#N/A,TRUE,"Смета на пасс. обор. №1"}</definedName>
    <definedName name="wrn.sp2345_1" hidden="1">{#N/A,#N/A,TRUE,"Смета на пасс. обор. №1"}</definedName>
    <definedName name="wrn.STANDARD._.RACKS." hidden="1">{"IMRAK42x8x8",#N/A,TRUE,"IMRAK 1400 42U 800X800";"IMRAK32x6x6",#N/A,TRUE,"IMRAK 1400 32U 600x600";"IMRAK42x12x8",#N/A,TRUE,"IMRAK 1400 42U 1200x800";"IMRAK15x6x4",#N/A,TRUE,"IMRAK 400 15U FRONT SECTION"}</definedName>
    <definedName name="wrn.Wys1." hidden="1">{#N/A,#N/A,FALSE,"Приложение к справке"}</definedName>
    <definedName name="wrn.Wys2" hidden="1">{#N/A,#N/A,FALSE,"Приложение к справке"}</definedName>
    <definedName name="wrn.Общая._.спецификация."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сновная._.спецификация."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Спецификации." hidden="1">{#N/A,#N/A,TRUE,"КЦ11Аб";#N/A,#N/A,TRUE,"КЦ11Тл";#N/A,#N/A,TRUE,"КЦ12Тл";#N/A,#N/A,TRUE,"КЦ13Тл";#N/A,#N/A,TRUE,"КЦ14Тл";#N/A,#N/A,TRUE,"КЦ21Тл";#N/A,#N/A,TRUE,"КЦ22Тл";#N/A,#N/A,TRUE,"КЦ31Тл";#N/A,#N/A,TRUE,"КЦ32Тл";#N/A,#N/A,TRUE,"КЦ11Тн";#N/A,#N/A,TRUE,"Инструмент";#N/A,#N/A,TRUE,"Приборы"}</definedName>
    <definedName name="xxx" hidden="1">{"IMRAK42x8x8",#N/A,TRUE,"IMRAK 1400 42U 800X800";"IMRAK32x6x6",#N/A,TRUE,"IMRAK 1400 32U 600x600";"IMRAK42x12x8",#N/A,TRUE,"IMRAK 1400 42U 1200x800";"IMRAK15x6x4",#N/A,TRUE,"IMRAK 400 15U FRONT SECTION"}</definedName>
    <definedName name="ZAK1">#REF!</definedName>
    <definedName name="ZAK2">#REF!</definedName>
    <definedName name="а" hidden="1">{#N/A,#N/A,TRUE,"Смета на пасс. обор. №1"}</definedName>
    <definedName name="а_1" localSheetId="21" hidden="1">{#N/A,#N/A,TRUE,"Смета на пасс. обор. №1"}</definedName>
    <definedName name="а_1" hidden="1">{#N/A,#N/A,TRUE,"Смета на пасс. обор. №1"}</definedName>
    <definedName name="а36">#REF!</definedName>
    <definedName name="аа">[1]топография!#REF!</definedName>
    <definedName name="АКСТ">'[2]Лист опроса'!$B$22</definedName>
    <definedName name="аолрмб">[3]Вспомогательный!$D$77</definedName>
    <definedName name="ап" hidden="1">{#N/A,#N/A,TRUE,"Смета на пасс. обор. №1"}</definedName>
    <definedName name="ап_1" localSheetId="21" hidden="1">{#N/A,#N/A,TRUE,"Смета на пасс. обор. №1"}</definedName>
    <definedName name="ап_1" hidden="1">{#N/A,#N/A,TRUE,"Смета на пасс. обор. №1"}</definedName>
    <definedName name="апр" hidden="1">{#N/A,#N/A,TRUE,"Смета на пасс. обор. №1"}</definedName>
    <definedName name="апр_1" localSheetId="21" hidden="1">{#N/A,#N/A,TRUE,"Смета на пасс. обор. №1"}</definedName>
    <definedName name="апр_1" hidden="1">{#N/A,#N/A,TRUE,"Смета на пасс. обор. №1"}</definedName>
    <definedName name="б" hidden="1">{#N/A,#N/A,TRUE,"Смета на пасс. обор. №1"}</definedName>
    <definedName name="б_1" localSheetId="21" hidden="1">{#N/A,#N/A,TRUE,"Смета на пасс. обор. №1"}</definedName>
    <definedName name="б_1" hidden="1">{#N/A,#N/A,TRUE,"Смета на пасс. обор. №1"}</definedName>
    <definedName name="бабабла" localSheetId="21" hidden="1">{#N/A,#N/A,TRUE,"Смета на пасс. обор. №1"}</definedName>
    <definedName name="бабабла" hidden="1">{#N/A,#N/A,TRUE,"Смета на пасс. обор. №1"}</definedName>
    <definedName name="бабабла_1" localSheetId="21" hidden="1">{#N/A,#N/A,TRUE,"Смета на пасс. обор. №1"}</definedName>
    <definedName name="бабабла_1" hidden="1">{#N/A,#N/A,TRUE,"Смета на пасс. обор. №1"}</definedName>
    <definedName name="бббб" hidden="1">{#N/A,#N/A,TRUE,"Смета на пасс. обор. №1"}</definedName>
    <definedName name="бол" localSheetId="21" hidden="1">{#N/A,#N/A,TRUE,"Смета на пасс. обор. №1"}</definedName>
    <definedName name="бол" hidden="1">{#N/A,#N/A,TRUE,"Смета на пасс. обор. №1"}</definedName>
    <definedName name="бол_1" localSheetId="21" hidden="1">{#N/A,#N/A,TRUE,"Смета на пасс. обор. №1"}</definedName>
    <definedName name="бол_1" hidden="1">{#N/A,#N/A,TRUE,"Смета на пасс. обор. №1"}</definedName>
    <definedName name="в" hidden="1">{#N/A,#N/A,TRUE,"Смета на пасс. обор. №1"}</definedName>
    <definedName name="в_1" localSheetId="21" hidden="1">{#N/A,#N/A,TRUE,"Смета на пасс. обор. №1"}</definedName>
    <definedName name="в_1" hidden="1">{#N/A,#N/A,TRUE,"Смета на пасс. обор. №1"}</definedName>
    <definedName name="вап" hidden="1">{#N/A,#N/A,TRUE,"Смета на пасс. обор. №1"}</definedName>
    <definedName name="вап_1" localSheetId="21" hidden="1">{#N/A,#N/A,TRUE,"Смета на пасс. обор. №1"}</definedName>
    <definedName name="вап_1" hidden="1">{#N/A,#N/A,TRUE,"Смета на пасс. обор. №1"}</definedName>
    <definedName name="вапапо" localSheetId="21" hidden="1">{#N/A,#N/A,TRUE,"Смета на пасс. обор. №1"}</definedName>
    <definedName name="вапапо" hidden="1">{#N/A,#N/A,TRUE,"Смета на пасс. обор. №1"}</definedName>
    <definedName name="вапапо_1" localSheetId="21" hidden="1">{#N/A,#N/A,TRUE,"Смета на пасс. обор. №1"}</definedName>
    <definedName name="вапапо_1" hidden="1">{#N/A,#N/A,TRUE,"Смета на пасс. обор. №1"}</definedName>
    <definedName name="вв">[1]топография!#REF!</definedName>
    <definedName name="г76шл7лш7" hidden="1">{#N/A,#N/A,TRUE,"Смета на пасс. обор. №1"}</definedName>
    <definedName name="Гаафик" hidden="1">{#N/A,#N/A,FALSE,"Приложение к справке"}</definedName>
    <definedName name="д1">#REF!</definedName>
    <definedName name="д10">#REF!</definedName>
    <definedName name="д2">#REF!</definedName>
    <definedName name="д3">#REF!</definedName>
    <definedName name="д4">#REF!</definedName>
    <definedName name="д5">#REF!</definedName>
    <definedName name="д6">#REF!</definedName>
    <definedName name="д7">#REF!</definedName>
    <definedName name="д8">#REF!</definedName>
    <definedName name="д9">#REF!</definedName>
    <definedName name="дж">[3]Вспомогательный!$D$36</definedName>
    <definedName name="дж1">[3]Вспомогательный!$D$38</definedName>
    <definedName name="джэ" localSheetId="21" hidden="1">{#N/A,#N/A,TRUE,"Смета на пасс. обор. №1"}</definedName>
    <definedName name="джэ" hidden="1">{#N/A,#N/A,TRUE,"Смета на пасс. обор. №1"}</definedName>
    <definedName name="джэ_1" localSheetId="21" hidden="1">{#N/A,#N/A,TRUE,"Смета на пасс. обор. №1"}</definedName>
    <definedName name="джэ_1" hidden="1">{#N/A,#N/A,TRUE,"Смета на пасс. обор. №1"}</definedName>
    <definedName name="ДЛО">#REF!</definedName>
    <definedName name="доп" localSheetId="21" hidden="1">{#N/A,#N/A,TRUE,"Смета на пасс. обор. №1"}</definedName>
    <definedName name="доп" hidden="1">{#N/A,#N/A,TRUE,"Смета на пасс. обор. №1"}</definedName>
    <definedName name="доп_1" localSheetId="21" hidden="1">{#N/A,#N/A,TRUE,"Смета на пасс. обор. №1"}</definedName>
    <definedName name="доп_1" hidden="1">{#N/A,#N/A,TRUE,"Смета на пасс. обор. №1"}</definedName>
    <definedName name="дп">#REF!</definedName>
    <definedName name="ДСК">[4]топография!#REF!</definedName>
    <definedName name="дэ">#REF!</definedName>
    <definedName name="еееее" hidden="1">{#N/A,#N/A,TRUE,"Смета на пасс. обор. №1"}</definedName>
    <definedName name="ен" hidden="1">{#N/A,#N/A,TRUE,"Смета на пасс. обор. №1"}</definedName>
    <definedName name="ен_1" localSheetId="21" hidden="1">{#N/A,#N/A,TRUE,"Смета на пасс. обор. №1"}</definedName>
    <definedName name="ен_1" hidden="1">{#N/A,#N/A,TRUE,"Смета на пасс. обор. №1"}</definedName>
    <definedName name="ж" hidden="1">{#N/A,#N/A,TRUE,"Смета на пасс. обор. №1"}</definedName>
    <definedName name="жж">[3]Вспомогательный!$D$80</definedName>
    <definedName name="жж_1" localSheetId="21" hidden="1">{#N/A,#N/A,TRUE,"Смета на пасс. обор. №1"}</definedName>
    <definedName name="жж_1" hidden="1">{#N/A,#N/A,TRUE,"Смета на пасс. обор. №1"}</definedName>
    <definedName name="жю" localSheetId="21" hidden="1">{#N/A,#N/A,TRUE,"Смета на пасс. обор. №1"}</definedName>
    <definedName name="жю" hidden="1">{#N/A,#N/A,TRUE,"Смета на пасс. обор. №1"}</definedName>
    <definedName name="жю_1" localSheetId="21" hidden="1">{#N/A,#N/A,TRUE,"Смета на пасс. обор. №1"}</definedName>
    <definedName name="жю_1" hidden="1">{#N/A,#N/A,TRUE,"Смета на пасс. обор. №1"}</definedName>
    <definedName name="зщ" localSheetId="21" hidden="1">{#N/A,#N/A,TRUE,"Смета на пасс. обор. №1"}</definedName>
    <definedName name="зщ" hidden="1">{#N/A,#N/A,TRUE,"Смета на пасс. обор. №1"}</definedName>
    <definedName name="зщ_1" localSheetId="21" hidden="1">{#N/A,#N/A,TRUE,"Смета на пасс. обор. №1"}</definedName>
    <definedName name="зщ_1" hidden="1">{#N/A,#N/A,TRUE,"Смета на пасс. обор. №1"}</definedName>
    <definedName name="ии">#REF!</definedName>
    <definedName name="иии" hidden="1">{#N/A,#N/A,TRUE,"Смета на пасс. обор. №1"}</definedName>
    <definedName name="ииии" hidden="1">{#N/A,#N/A,TRUE,"Смета на пасс. обор. №1"}</definedName>
    <definedName name="иииии" hidden="1">{#N/A,#N/A,TRUE,"Смета на пасс. обор. №1"}</definedName>
    <definedName name="инфл">#REF!</definedName>
    <definedName name="ип">#REF!</definedName>
    <definedName name="к_1" localSheetId="21" hidden="1">{#N/A,#N/A,TRUE,"Смета на пасс. обор. №1"}</definedName>
    <definedName name="к_1" hidden="1">{#N/A,#N/A,TRUE,"Смета на пасс. обор. №1"}</definedName>
    <definedName name="к1">#REF!</definedName>
    <definedName name="к10">#REF!</definedName>
    <definedName name="к101">#REF!</definedName>
    <definedName name="К105">#REF!</definedName>
    <definedName name="к11">#REF!</definedName>
    <definedName name="к12">#REF!</definedName>
    <definedName name="к13">#REF!</definedName>
    <definedName name="к14">#REF!</definedName>
    <definedName name="к15">#REF!</definedName>
    <definedName name="к16">#REF!</definedName>
    <definedName name="к17">#REF!</definedName>
    <definedName name="к18">#REF!</definedName>
    <definedName name="к19">#REF!</definedName>
    <definedName name="к2">#REF!</definedName>
    <definedName name="к20">#REF!</definedName>
    <definedName name="к21">#REF!</definedName>
    <definedName name="к22">#REF!</definedName>
    <definedName name="к23">#REF!</definedName>
    <definedName name="к231">#REF!</definedName>
    <definedName name="к24">#REF!</definedName>
    <definedName name="к25">#REF!</definedName>
    <definedName name="к26">#REF!</definedName>
    <definedName name="к27">#REF!</definedName>
    <definedName name="к28">#REF!</definedName>
    <definedName name="к29">#REF!</definedName>
    <definedName name="к2п">#REF!</definedName>
    <definedName name="к3">#REF!</definedName>
    <definedName name="к30">#REF!</definedName>
    <definedName name="к3п">#REF!</definedName>
    <definedName name="к5">#REF!</definedName>
    <definedName name="к6">#REF!</definedName>
    <definedName name="к7">#REF!</definedName>
    <definedName name="к8">#REF!</definedName>
    <definedName name="к9">#REF!</definedName>
    <definedName name="ккее">#REF!</definedName>
    <definedName name="кккк" hidden="1">{#N/A,#N/A,TRUE,"Смета на пасс. обор. №1"}</definedName>
    <definedName name="ккккк" localSheetId="21" hidden="1">{#N/A,#N/A,TRUE,"Смета на пасс. обор. №1"}</definedName>
    <definedName name="ккккк" hidden="1">{#N/A,#N/A,TRUE,"Смета на пасс. обор. №1"}</definedName>
    <definedName name="ккккк_1" localSheetId="21" hidden="1">{#N/A,#N/A,TRUE,"Смета на пасс. обор. №1"}</definedName>
    <definedName name="ккккк_1" hidden="1">{#N/A,#N/A,TRUE,"Смета на пасс. обор. №1"}</definedName>
    <definedName name="ком." hidden="1">{#N/A,#N/A,TRUE,"Смета на пасс. обор. №1"}</definedName>
    <definedName name="ком._1" localSheetId="21" hidden="1">{#N/A,#N/A,TRUE,"Смета на пасс. обор. №1"}</definedName>
    <definedName name="ком._1" hidden="1">{#N/A,#N/A,TRUE,"Смета на пасс. обор. №1"}</definedName>
    <definedName name="команд." localSheetId="21" hidden="1">{#N/A,#N/A,TRUE,"Смета на пасс. обор. №1"}</definedName>
    <definedName name="команд." hidden="1">{#N/A,#N/A,TRUE,"Смета на пасс. обор. №1"}</definedName>
    <definedName name="команд._1" localSheetId="21" hidden="1">{#N/A,#N/A,TRUE,"Смета на пасс. обор. №1"}</definedName>
    <definedName name="команд._1" hidden="1">{#N/A,#N/A,TRUE,"Смета на пасс. обор. №1"}</definedName>
    <definedName name="команд.обуч." localSheetId="21" hidden="1">{#N/A,#N/A,TRUE,"Смета на пасс. обор. №1"}</definedName>
    <definedName name="команд.обуч." hidden="1">{#N/A,#N/A,TRUE,"Смета на пасс. обор. №1"}</definedName>
    <definedName name="команд.обуч._1" localSheetId="21" hidden="1">{#N/A,#N/A,TRUE,"Смета на пасс. обор. №1"}</definedName>
    <definedName name="команд.обуч._1" hidden="1">{#N/A,#N/A,TRUE,"Смета на пасс. обор. №1"}</definedName>
    <definedName name="командировки" localSheetId="21" hidden="1">{#N/A,#N/A,TRUE,"Смета на пасс. обор. №1"}</definedName>
    <definedName name="командировки" hidden="1">{#N/A,#N/A,TRUE,"Смета на пасс. обор. №1"}</definedName>
    <definedName name="конкурс">#REF!</definedName>
    <definedName name="Копия" localSheetId="21" hidden="1">{#N/A,#N/A,TRUE,"Смета на пасс. обор. №1"}</definedName>
    <definedName name="Копия" hidden="1">{#N/A,#N/A,TRUE,"Смета на пасс. обор. №1"}</definedName>
    <definedName name="Копия2509" localSheetId="21" hidden="1">{#N/A,#N/A,TRUE,"Смета на пасс. обор. №1"}</definedName>
    <definedName name="Копия2509" hidden="1">{#N/A,#N/A,TRUE,"Смета на пасс. обор. №1"}</definedName>
    <definedName name="котофей" localSheetId="21" hidden="1">{#N/A,#N/A,TRUE,"Смета на пасс. обор. №1"}</definedName>
    <definedName name="котофей" hidden="1">{#N/A,#N/A,TRUE,"Смета на пасс. обор. №1"}</definedName>
    <definedName name="котофей_1" localSheetId="21" hidden="1">{#N/A,#N/A,TRUE,"Смета на пасс. обор. №1"}</definedName>
    <definedName name="котофей_1" hidden="1">{#N/A,#N/A,TRUE,"Смета на пасс. обор. №1"}</definedName>
    <definedName name="кп">#REF!</definedName>
    <definedName name="Крек">'[2]Лист опроса'!$B$17</definedName>
    <definedName name="Крп">'[2]Лист опроса'!$B$19</definedName>
    <definedName name="кук" localSheetId="21" hidden="1">{#N/A,#N/A,TRUE,"Смета на пасс. обор. №1"}</definedName>
    <definedName name="кук" hidden="1">{#N/A,#N/A,TRUE,"Смета на пасс. обор. №1"}</definedName>
    <definedName name="кук_1" localSheetId="21" hidden="1">{#N/A,#N/A,TRUE,"Смета на пасс. обор. №1"}</definedName>
    <definedName name="кук_1" hidden="1">{#N/A,#N/A,TRUE,"Смета на пасс. обор. №1"}</definedName>
    <definedName name="курорты">#REF!</definedName>
    <definedName name="Кэл">'[2]Лист опроса'!$B$20</definedName>
    <definedName name="л" localSheetId="21" hidden="1">{#N/A,#N/A,TRUE,"Смета на пасс. обор. №1"}</definedName>
    <definedName name="л" hidden="1">{#N/A,#N/A,TRUE,"Смета на пасс. обор. №1"}</definedName>
    <definedName name="л_1" localSheetId="21" hidden="1">{#N/A,#N/A,TRUE,"Смета на пасс. обор. №1"}</definedName>
    <definedName name="л_1" hidden="1">{#N/A,#N/A,TRUE,"Смета на пасс. обор. №1"}</definedName>
    <definedName name="Л1" hidden="1">{"IMRAK42x8x8",#N/A,TRUE,"IMRAK 1400 42U 800X800";"IMRAK32x6x6",#N/A,TRUE,"IMRAK 1400 32U 600x600";"IMRAK42x12x8",#N/A,TRUE,"IMRAK 1400 42U 1200x800";"IMRAK15x6x4",#N/A,TRUE,"IMRAK 400 15U FRONT SECTION"}</definedName>
    <definedName name="лдж" localSheetId="21" hidden="1">{#N/A,#N/A,TRUE,"Смета на пасс. обор. №1"}</definedName>
    <definedName name="лдж" hidden="1">{#N/A,#N/A,TRUE,"Смета на пасс. обор. №1"}</definedName>
    <definedName name="лдж_1" localSheetId="21" hidden="1">{#N/A,#N/A,TRUE,"Смета на пасс. обор. №1"}</definedName>
    <definedName name="лдж_1" hidden="1">{#N/A,#N/A,TRUE,"Смета на пасс. обор. №1"}</definedName>
    <definedName name="лл">[3]Вспомогательный!$D$78</definedName>
    <definedName name="лор" localSheetId="21" hidden="1">{#N/A,#N/A,TRUE,"Смета на пасс. обор. №1"}</definedName>
    <definedName name="лор" hidden="1">{#N/A,#N/A,TRUE,"Смета на пасс. обор. №1"}</definedName>
    <definedName name="лор_1" localSheetId="21" hidden="1">{#N/A,#N/A,TRUE,"Смета на пасс. обор. №1"}</definedName>
    <definedName name="лор_1" hidden="1">{#N/A,#N/A,TRUE,"Смета на пасс. обор. №1"}</definedName>
    <definedName name="лот" localSheetId="21" hidden="1">{#N/A,#N/A,TRUE,"Смета на пасс. обор. №1"}</definedName>
    <definedName name="лот" hidden="1">{#N/A,#N/A,TRUE,"Смета на пасс. обор. №1"}</definedName>
    <definedName name="лот_1" localSheetId="21" hidden="1">{#N/A,#N/A,TRUE,"Смета на пасс. обор. №1"}</definedName>
    <definedName name="лот_1" hidden="1">{#N/A,#N/A,TRUE,"Смета на пасс. обор. №1"}</definedName>
    <definedName name="мж1">'[5]СметаСводная 1 оч'!$D$6</definedName>
    <definedName name="мир" localSheetId="21" hidden="1">{#N/A,#N/A,TRUE,"Смета на пасс. обор. №1"}</definedName>
    <definedName name="мир" hidden="1">{#N/A,#N/A,TRUE,"Смета на пасс. обор. №1"}</definedName>
    <definedName name="мир_1" localSheetId="21" hidden="1">{#N/A,#N/A,TRUE,"Смета на пасс. обор. №1"}</definedName>
    <definedName name="мир_1" hidden="1">{#N/A,#N/A,TRUE,"Смета на пасс. обор. №1"}</definedName>
    <definedName name="молния" hidden="1">{#N/A,#N/A,TRUE,"Смета на пасс. обор. №1"}</definedName>
    <definedName name="ндс">#REF!</definedName>
    <definedName name="ннн" hidden="1">{#N/A,#N/A,TRUE,"Смета на пасс. обор. №1"}</definedName>
    <definedName name="Нсапк">'[2]Лист опроса'!$B$34</definedName>
    <definedName name="Нсстр">'[2]Лист опроса'!$B$32</definedName>
    <definedName name="_xlnm.Print_Area" localSheetId="1">Протокол!$A$1:$K$34</definedName>
    <definedName name="обуч" localSheetId="21" hidden="1">{#N/A,#N/A,TRUE,"Смета на пасс. обор. №1"}</definedName>
    <definedName name="обуч" hidden="1">{#N/A,#N/A,TRUE,"Смета на пасс. обор. №1"}</definedName>
    <definedName name="обуч_1" localSheetId="21" hidden="1">{#N/A,#N/A,TRUE,"Смета на пасс. обор. №1"}</definedName>
    <definedName name="обуч_1" hidden="1">{#N/A,#N/A,TRUE,"Смета на пасс. обор. №1"}</definedName>
    <definedName name="Общаясп"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г" localSheetId="21" hidden="1">{#N/A,#N/A,TRUE,"Смета на пасс. обор. №1"}</definedName>
    <definedName name="ог" hidden="1">{#N/A,#N/A,TRUE,"Смета на пасс. обор. №1"}</definedName>
    <definedName name="ог_1" localSheetId="21" hidden="1">{#N/A,#N/A,TRUE,"Смета на пасс. обор. №1"}</definedName>
    <definedName name="ог_1" hidden="1">{#N/A,#N/A,TRUE,"Смета на пасс. обор. №1"}</definedName>
    <definedName name="олд" localSheetId="21" hidden="1">{#N/A,#N/A,TRUE,"Смета на пасс. обор. №1"}</definedName>
    <definedName name="олд" hidden="1">{#N/A,#N/A,TRUE,"Смета на пасс. обор. №1"}</definedName>
    <definedName name="олд_1" localSheetId="21" hidden="1">{#N/A,#N/A,TRUE,"Смета на пасс. обор. №1"}</definedName>
    <definedName name="олд_1" hidden="1">{#N/A,#N/A,TRUE,"Смета на пасс. обор. №1"}</definedName>
    <definedName name="ООО_НИИПРИИ___Севзапинжтехнология">#REF!</definedName>
    <definedName name="орп" hidden="1">{#N/A,#N/A,TRUE,"Смета на пасс. обор. №1"}</definedName>
    <definedName name="орп_1" localSheetId="21" hidden="1">{#N/A,#N/A,TRUE,"Смета на пасс. обор. №1"}</definedName>
    <definedName name="орп_1" hidden="1">{#N/A,#N/A,TRUE,"Смета на пасс. обор. №1"}</definedName>
    <definedName name="основная"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т" localSheetId="21" hidden="1">{#N/A,#N/A,TRUE,"Смета на пасс. обор. №1"}</definedName>
    <definedName name="от" hidden="1">{#N/A,#N/A,TRUE,"Смета на пасс. обор. №1"}</definedName>
    <definedName name="от_1" localSheetId="21" hidden="1">{#N/A,#N/A,TRUE,"Смета на пасс. обор. №1"}</definedName>
    <definedName name="от_1" hidden="1">{#N/A,#N/A,TRUE,"Смета на пасс. обор. №1"}</definedName>
    <definedName name="п1" hidden="1">{#N/A,#N/A,TRUE,"Смета на пасс. обор. №1"}</definedName>
    <definedName name="пионер">#REF!</definedName>
    <definedName name="Пкр">'[2]Лист опроса'!$B$41</definedName>
    <definedName name="План">'[6]Смета 7'!$F$1</definedName>
    <definedName name="пор" localSheetId="21" hidden="1">{#N/A,#N/A,TRUE,"Смета на пасс. обор. №1"}</definedName>
    <definedName name="пор" hidden="1">{#N/A,#N/A,TRUE,"Смета на пасс. обор. №1"}</definedName>
    <definedName name="пор_1" localSheetId="21" hidden="1">{#N/A,#N/A,TRUE,"Смета на пасс. обор. №1"}</definedName>
    <definedName name="пор_1" hidden="1">{#N/A,#N/A,TRUE,"Смета на пасс. обор. №1"}</definedName>
    <definedName name="пппп">#REF!</definedName>
    <definedName name="ппппп" hidden="1">{#N/A,#N/A,TRUE,"Смета на пасс. обор. №1"}</definedName>
    <definedName name="пппппп" hidden="1">{#N/A,#N/A,TRUE,"Смета на пасс. обор. №1"}</definedName>
    <definedName name="про" hidden="1">{#N/A,#N/A,TRUE,"Смета на пасс. обор. №1"}</definedName>
    <definedName name="про_1" localSheetId="21" hidden="1">{#N/A,#N/A,TRUE,"Смета на пасс. обор. №1"}</definedName>
    <definedName name="про_1" hidden="1">{#N/A,#N/A,TRUE,"Смета на пасс. обор. №1"}</definedName>
    <definedName name="пробная">#REF!</definedName>
    <definedName name="Проектно_сметная_документация_по_объекту__Реконструкция_автодороги_М_20__Санкт_Петербург_Киев___Пулковское_Киевское_шоссе__на_участке_от_дороги_на_г.Пушкин_до_пос._Дони_в_административных_границах_Санкт_Петербурга">#REF!</definedName>
    <definedName name="прол" localSheetId="21" hidden="1">{#N/A,#N/A,TRUE,"Смета на пасс. обор. №1"}</definedName>
    <definedName name="прол" hidden="1">{#N/A,#N/A,TRUE,"Смета на пасс. обор. №1"}</definedName>
    <definedName name="пролдж" localSheetId="21" hidden="1">{#N/A,#N/A,TRUE,"Смета на пасс. обор. №1"}</definedName>
    <definedName name="пролдж" hidden="1">{#N/A,#N/A,TRUE,"Смета на пасс. обор. №1"}</definedName>
    <definedName name="пролдж_1" localSheetId="21" hidden="1">{#N/A,#N/A,TRUE,"Смета на пасс. обор. №1"}</definedName>
    <definedName name="пролдж_1" hidden="1">{#N/A,#N/A,TRUE,"Смета на пасс. обор. №1"}</definedName>
    <definedName name="Прот">'[2]Лист опроса'!$B$6</definedName>
    <definedName name="Расчёт1">'[7]Смета 7'!$F$1</definedName>
    <definedName name="рек">#REF!</definedName>
    <definedName name="рига">'[8]СметаСводная снег'!$E$7</definedName>
    <definedName name="рол" hidden="1">{#N/A,#N/A,TRUE,"Смета на пасс. обор. №1"}</definedName>
    <definedName name="рол_1" localSheetId="21" hidden="1">{#N/A,#N/A,TRUE,"Смета на пасс. обор. №1"}</definedName>
    <definedName name="рол_1" hidden="1">{#N/A,#N/A,TRUE,"Смета на пасс. обор. №1"}</definedName>
    <definedName name="рр" localSheetId="21" hidden="1">{#N/A,#N/A,TRUE,"Смета на пасс. обор. №1"}</definedName>
    <definedName name="рр" hidden="1">{#N/A,#N/A,TRUE,"Смета на пасс. обор. №1"}</definedName>
    <definedName name="рр_1" localSheetId="21" hidden="1">{#N/A,#N/A,TRUE,"Смета на пасс. обор. №1"}</definedName>
    <definedName name="рр_1" hidden="1">{#N/A,#N/A,TRUE,"Смета на пасс. обор. №1"}</definedName>
    <definedName name="С" localSheetId="21" hidden="1">{#N/A,#N/A,FALSE,"Шаблон_Спец1"}</definedName>
    <definedName name="С" hidden="1">{#N/A,#N/A,FALSE,"Шаблон_Спец1"}</definedName>
    <definedName name="с_1" localSheetId="21" hidden="1">{#N/A,#N/A,TRUE,"Смета на пасс. обор. №1"}</definedName>
    <definedName name="с_1" hidden="1">{#N/A,#N/A,TRUE,"Смета на пасс. обор. №1"}</definedName>
    <definedName name="с1">#REF!</definedName>
    <definedName name="с10">#REF!</definedName>
    <definedName name="с2">#REF!</definedName>
    <definedName name="с3">#REF!</definedName>
    <definedName name="с4">#REF!</definedName>
    <definedName name="с5">#REF!</definedName>
    <definedName name="с6">#REF!</definedName>
    <definedName name="с7">#REF!</definedName>
    <definedName name="с8">#REF!</definedName>
    <definedName name="с9">#REF!</definedName>
    <definedName name="сам" localSheetId="21" hidden="1">{#N/A,#N/A,TRUE,"Смета на пасс. обор. №1"}</definedName>
    <definedName name="сам" hidden="1">{#N/A,#N/A,TRUE,"Смета на пасс. обор. №1"}</definedName>
    <definedName name="сам_1" localSheetId="21" hidden="1">{#N/A,#N/A,TRUE,"Смета на пасс. обор. №1"}</definedName>
    <definedName name="сам_1" hidden="1">{#N/A,#N/A,TRUE,"Смета на пасс. обор. №1"}</definedName>
    <definedName name="СВсм">[3]Вспомогательный!$D$36</definedName>
    <definedName name="сев">#REF!</definedName>
    <definedName name="Секционный_выключатель"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м_конк">#REF!</definedName>
    <definedName name="См6">'[9]Смета 7'!$F$1</definedName>
    <definedName name="Смет" localSheetId="21" hidden="1">{#N/A,#N/A,TRUE,"Смета на пасс. обор. №1"}</definedName>
    <definedName name="Смет" hidden="1">{#N/A,#N/A,TRUE,"Смета на пасс. обор. №1"}</definedName>
    <definedName name="Смет_1" localSheetId="21" hidden="1">{#N/A,#N/A,TRUE,"Смета на пасс. обор. №1"}</definedName>
    <definedName name="Смет_1" hidden="1">{#N/A,#N/A,TRUE,"Смета на пасс. обор. №1"}</definedName>
    <definedName name="смета" hidden="1">{#N/A,#N/A,TRUE,"Смета на пасс. обор. №1"}</definedName>
    <definedName name="смета_1" localSheetId="21" hidden="1">{#N/A,#N/A,TRUE,"Смета на пасс. обор. №1"}</definedName>
    <definedName name="смета_1" hidden="1">{#N/A,#N/A,TRUE,"Смета на пасс. обор. №1"}</definedName>
    <definedName name="Смета_2">'[7]Смета 7'!$F$1</definedName>
    <definedName name="Смета11">'[10]Смета 7'!$F$1</definedName>
    <definedName name="Смета21">'[11]Смета 7'!$F$1</definedName>
    <definedName name="Смета3">[3]Вспомогательный!$D$78</definedName>
    <definedName name="сп1">#REF!</definedName>
    <definedName name="сп2">#REF!</definedName>
    <definedName name="сс" localSheetId="21" hidden="1">{#N/A,#N/A,TRUE,"Смета на пасс. обор. №1"}</definedName>
    <definedName name="сс" hidden="1">{#N/A,#N/A,TRUE,"Смета на пасс. обор. №1"}</definedName>
    <definedName name="сс_1" localSheetId="21" hidden="1">{#N/A,#N/A,TRUE,"Смета на пасс. обор. №1"}</definedName>
    <definedName name="сс_1" hidden="1">{#N/A,#N/A,TRUE,"Смета на пасс. обор. №1"}</definedName>
    <definedName name="ссп" localSheetId="21" hidden="1">{#N/A,#N/A,TRUE,"Смета на пасс. обор. №1"}</definedName>
    <definedName name="ссп" hidden="1">{#N/A,#N/A,TRUE,"Смета на пасс. обор. №1"}</definedName>
    <definedName name="ссп_1" localSheetId="21" hidden="1">{#N/A,#N/A,TRUE,"Смета на пасс. обор. №1"}</definedName>
    <definedName name="ссп_1" hidden="1">{#N/A,#N/A,TRUE,"Смета на пасс. обор. №1"}</definedName>
    <definedName name="ссссс" localSheetId="21" hidden="1">{#N/A,#N/A,TRUE,"Смета на пасс. обор. №1"}</definedName>
    <definedName name="ссссс" hidden="1">{#N/A,#N/A,TRUE,"Смета на пасс. обор. №1"}</definedName>
    <definedName name="ссссс_1" localSheetId="21" hidden="1">{#N/A,#N/A,TRUE,"Смета на пасс. обор. №1"}</definedName>
    <definedName name="ссссс_1" hidden="1">{#N/A,#N/A,TRUE,"Смета на пасс. обор. №1"}</definedName>
    <definedName name="Станц10">'[2]Лист опроса'!$B$23</definedName>
    <definedName name="Стр10">'[2]Лист опроса'!$B$24</definedName>
    <definedName name="СтрАУ">'[2]Лист опроса'!$B$12</definedName>
    <definedName name="СтрДУ">'[2]Лист опроса'!$B$11</definedName>
    <definedName name="Стрелки">'[2]Лист опроса'!$B$10</definedName>
    <definedName name="сусусу" localSheetId="21" hidden="1">{#N/A,#N/A,TRUE,"Смета на пасс. обор. №1"}</definedName>
    <definedName name="сусусу" hidden="1">{#N/A,#N/A,TRUE,"Смета на пасс. обор. №1"}</definedName>
    <definedName name="сусусу_1" localSheetId="21" hidden="1">{#N/A,#N/A,TRUE,"Смета на пасс. обор. №1"}</definedName>
    <definedName name="сусусу_1" hidden="1">{#N/A,#N/A,TRUE,"Смета на пасс. обор. №1"}</definedName>
    <definedName name="тасс" localSheetId="21" hidden="1">{#N/A,#N/A,TRUE,"Смета на пасс. обор. №1"}</definedName>
    <definedName name="тасс" hidden="1">{#N/A,#N/A,TRUE,"Смета на пасс. обор. №1"}</definedName>
    <definedName name="тасс_1" localSheetId="21" hidden="1">{#N/A,#N/A,TRUE,"Смета на пасс. обор. №1"}</definedName>
    <definedName name="тасс_1" hidden="1">{#N/A,#N/A,TRUE,"Смета на пасс. обор. №1"}</definedName>
    <definedName name="тра" hidden="1">{"IMRAK42x8x8",#N/A,TRUE,"IMRAK 1400 42U 800X800";"IMRAK32x6x6",#N/A,TRUE,"IMRAK 1400 32U 600x600";"IMRAK42x12x8",#N/A,TRUE,"IMRAK 1400 42U 1200x800";"IMRAK15x6x4",#N/A,TRUE,"IMRAK 400 15U FRONT SECTION"}</definedName>
    <definedName name="тран" hidden="1">{"IMRAK42x8x8",#N/A,TRUE,"IMRAK 1400 42U 800X800";"IMRAK32x6x6",#N/A,TRUE,"IMRAK 1400 32U 600x600";"IMRAK42x12x8",#N/A,TRUE,"IMRAK 1400 42U 1200x800";"IMRAK15x6x4",#N/A,TRUE,"IMRAK 400 15U FRONT SECTION"}</definedName>
    <definedName name="трп" localSheetId="21" hidden="1">{#N/A,#N/A,TRUE,"Смета на пасс. обор. №1"}</definedName>
    <definedName name="трп" hidden="1">{#N/A,#N/A,TRUE,"Смета на пасс. обор. №1"}</definedName>
    <definedName name="трп_1" localSheetId="21" hidden="1">{#N/A,#N/A,TRUE,"Смета на пасс. обор. №1"}</definedName>
    <definedName name="трп_1" hidden="1">{#N/A,#N/A,TRUE,"Смета на пасс. обор. №1"}</definedName>
    <definedName name="ук" hidden="1">{#N/A,#N/A,TRUE,"Смета на пасс. обор. №1"}</definedName>
    <definedName name="ук_1" localSheetId="21" hidden="1">{#N/A,#N/A,TRUE,"Смета на пасс. обор. №1"}</definedName>
    <definedName name="ук_1" hidden="1">{#N/A,#N/A,TRUE,"Смета на пасс. обор. №1"}</definedName>
    <definedName name="уууу" hidden="1">{#N/A,#N/A,TRUE,"Смета на пасс. обор. №1"}</definedName>
    <definedName name="ууууу" hidden="1">{#N/A,#N/A,TRUE,"Смета на пасс. обор. №1"}</definedName>
    <definedName name="уы" localSheetId="21" hidden="1">{#N/A,#N/A,TRUE,"Смета на пасс. обор. №1"}</definedName>
    <definedName name="уы" hidden="1">{#N/A,#N/A,TRUE,"Смета на пасс. обор. №1"}</definedName>
    <definedName name="уы_1" localSheetId="21" hidden="1">{#N/A,#N/A,TRUE,"Смета на пасс. обор. №1"}</definedName>
    <definedName name="уы_1" hidden="1">{#N/A,#N/A,TRUE,"Смета на пасс. обор. №1"}</definedName>
    <definedName name="ф" hidden="1">{#N/A,#N/A,TRUE,"Смета на пасс. обор. №1"}</definedName>
    <definedName name="ф_1" localSheetId="21" hidden="1">{#N/A,#N/A,TRUE,"Смета на пасс. обор. №1"}</definedName>
    <definedName name="ф_1" hidden="1">{#N/A,#N/A,TRUE,"Смета на пасс. обор. №1"}</definedName>
    <definedName name="фф" hidden="1">{#N/A,#N/A,TRUE,"Смета на пасс. обор. №1"}</definedName>
    <definedName name="фффф" hidden="1">{#N/A,#N/A,TRUE,"Смета на пасс. обор. №1"}</definedName>
    <definedName name="фыв" hidden="1">{#N/A,#N/A,TRUE,"Смета на пасс. обор. №1"}</definedName>
    <definedName name="фыв_1" localSheetId="21" hidden="1">{#N/A,#N/A,TRUE,"Смета на пасс. обор. №1"}</definedName>
    <definedName name="фыв_1" hidden="1">{#N/A,#N/A,TRUE,"Смета на пасс. обор. №1"}</definedName>
    <definedName name="хххх" hidden="1">{"IMRAK42x8x8",#N/A,TRUE,"IMRAK 1400 42U 800X800";"IMRAK32x6x6",#N/A,TRUE,"IMRAK 1400 32U 600x600";"IMRAK42x12x8",#N/A,TRUE,"IMRAK 1400 42U 1200x800";"IMRAK15x6x4",#N/A,TRUE,"IMRAK 400 15U FRONT SECTION"}</definedName>
    <definedName name="хэ" localSheetId="21" hidden="1">{#N/A,#N/A,TRUE,"Смета на пасс. обор. №1"}</definedName>
    <definedName name="хэ" hidden="1">{#N/A,#N/A,TRUE,"Смета на пасс. обор. №1"}</definedName>
    <definedName name="хэ_1" localSheetId="21" hidden="1">{#N/A,#N/A,TRUE,"Смета на пасс. обор. №1"}</definedName>
    <definedName name="хэ_1" hidden="1">{#N/A,#N/A,TRUE,"Смета на пасс. обор. №1"}</definedName>
    <definedName name="цвет" localSheetId="21" hidden="1">{#N/A,#N/A,TRUE,"Смета на пасс. обор. №1"}</definedName>
    <definedName name="цвет" hidden="1">{#N/A,#N/A,TRUE,"Смета на пасс. обор. №1"}</definedName>
    <definedName name="цвет_1" localSheetId="21" hidden="1">{#N/A,#N/A,TRUE,"Смета на пасс. обор. №1"}</definedName>
    <definedName name="цвет_1" hidden="1">{#N/A,#N/A,TRUE,"Смета на пасс. обор. №1"}</definedName>
    <definedName name="цуе" localSheetId="21" hidden="1">{#N/A,#N/A,TRUE,"Смета на пасс. обор. №1"}</definedName>
    <definedName name="цуе" hidden="1">{#N/A,#N/A,TRUE,"Смета на пасс. обор. №1"}</definedName>
    <definedName name="цц" hidden="1">{#N/A,#N/A,TRUE,"Смета на пасс. обор. №1"}</definedName>
    <definedName name="ч" localSheetId="21" hidden="1">{#N/A,#N/A,TRUE,"Смета на пасс. обор. №1"}</definedName>
    <definedName name="ч" hidden="1">{#N/A,#N/A,TRUE,"Смета на пасс. обор. №1"}</definedName>
    <definedName name="ч_1" localSheetId="21" hidden="1">{#N/A,#N/A,TRUE,"Смета на пасс. обор. №1"}</definedName>
    <definedName name="ч_1" hidden="1">{#N/A,#N/A,TRUE,"Смета на пасс. обор. №1"}</definedName>
    <definedName name="ш" hidden="1">{#N/A,#N/A,TRUE,"Смета на пасс. обор. №1"}</definedName>
    <definedName name="ш_1" localSheetId="21" hidden="1">{#N/A,#N/A,TRUE,"Смета на пасс. обор. №1"}</definedName>
    <definedName name="ш_1" hidden="1">{#N/A,#N/A,TRUE,"Смета на пасс. обор. №1"}</definedName>
    <definedName name="ы" hidden="1">{#N/A,#N/A,TRUE,"Смета на пасс. обор. №1"}</definedName>
    <definedName name="ы_1" localSheetId="21" hidden="1">{#N/A,#N/A,TRUE,"Смета на пасс. обор. №1"}</definedName>
    <definedName name="ы_1" hidden="1">{#N/A,#N/A,TRUE,"Смета на пасс. обор. №1"}</definedName>
    <definedName name="ыаролд" hidden="1">{#N/A,#N/A,TRUE,"Смета на пасс. обор. №1"}</definedName>
    <definedName name="ыва" hidden="1">{#N/A,#N/A,TRUE,"Смета на пасс. обор. №1"}</definedName>
    <definedName name="ыва_1" localSheetId="21" hidden="1">{#N/A,#N/A,TRUE,"Смета на пасс. обор. №1"}</definedName>
    <definedName name="ыва_1" hidden="1">{#N/A,#N/A,TRUE,"Смета на пасс. обор. №1"}</definedName>
    <definedName name="ьььь" hidden="1">{#N/A,#N/A,TRUE,"Смета на пасс. обор. №1"}</definedName>
    <definedName name="эл" localSheetId="21" hidden="1">{#N/A,#N/A,TRUE,"Смета на пасс. обор. №1"}</definedName>
    <definedName name="эл" hidden="1">{#N/A,#N/A,TRUE,"Смета на пасс. обор. №1"}</definedName>
    <definedName name="Эл.щиты" hidden="1">{"IMRAK42x8x8",#N/A,TRUE,"IMRAK 1400 42U 800X800";"IMRAK32x6x6",#N/A,TRUE,"IMRAK 1400 32U 600x600";"IMRAK42x12x8",#N/A,TRUE,"IMRAK 1400 42U 1200x800";"IMRAK15x6x4",#N/A,TRUE,"IMRAK 400 15U FRONT SECTION"}</definedName>
    <definedName name="эл_1" localSheetId="21" hidden="1">{#N/A,#N/A,TRUE,"Смета на пасс. обор. №1"}</definedName>
    <definedName name="эл_1" hidden="1">{#N/A,#N/A,TRUE,"Смета на пасс. обор. №1"}</definedName>
    <definedName name="юю" hidden="1">{#N/A,#N/A,TRUE,"Смета на пасс. обор. №1"}</definedName>
    <definedName name="ююю" hidden="1">{#N/A,#N/A,TRUE,"Смета на пасс. обор. №1"}</definedName>
    <definedName name="ююю_1" localSheetId="21" hidden="1">{#N/A,#N/A,TRUE,"Смета на пасс. обор. №1"}</definedName>
    <definedName name="ююю_1" hidden="1">{#N/A,#N/A,TRUE,"Смета на пасс. обор. №1"}</definedName>
  </definedNames>
  <calcPr calcId="162913" refMode="R1C1"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 i="26" l="1"/>
  <c r="A3" i="205"/>
  <c r="F14" i="34" l="1"/>
  <c r="F29" i="26" l="1"/>
  <c r="F28" i="26"/>
  <c r="F27" i="26"/>
  <c r="E20" i="26"/>
  <c r="E19" i="26"/>
  <c r="H25" i="209"/>
  <c r="H24" i="209"/>
  <c r="H23" i="209"/>
  <c r="H22" i="209"/>
  <c r="H21" i="209"/>
  <c r="H20" i="209"/>
  <c r="H19" i="209"/>
  <c r="H18" i="209"/>
  <c r="H17" i="209"/>
  <c r="H16" i="209"/>
  <c r="H15" i="209"/>
  <c r="H14" i="209"/>
  <c r="H13" i="209"/>
  <c r="H12" i="209"/>
  <c r="H11" i="209"/>
  <c r="E14" i="26" l="1"/>
  <c r="O19" i="208"/>
  <c r="O27" i="208" s="1"/>
  <c r="O28" i="208" s="1"/>
  <c r="O22" i="208"/>
  <c r="O31" i="208"/>
  <c r="O33" i="208"/>
  <c r="O36" i="208"/>
  <c r="O46" i="208" s="1"/>
  <c r="O47" i="208" s="1"/>
  <c r="O40" i="208"/>
  <c r="O43" i="208"/>
  <c r="O49" i="208"/>
  <c r="O65" i="208" s="1"/>
  <c r="O66" i="208" s="1"/>
  <c r="O52" i="208"/>
  <c r="O55" i="208"/>
  <c r="F70" i="208"/>
  <c r="O67" i="208" l="1"/>
  <c r="O68" i="208" s="1"/>
  <c r="F136" i="206"/>
  <c r="E13" i="26" l="1"/>
  <c r="O19" i="206"/>
  <c r="O22" i="206"/>
  <c r="O25" i="206"/>
  <c r="O28" i="206"/>
  <c r="O31" i="206"/>
  <c r="O38" i="206"/>
  <c r="O41" i="206"/>
  <c r="O44" i="206"/>
  <c r="O47" i="206"/>
  <c r="O50" i="206"/>
  <c r="O53" i="206"/>
  <c r="O56" i="206"/>
  <c r="O59" i="206"/>
  <c r="O62" i="206"/>
  <c r="O66" i="206"/>
  <c r="O69" i="206"/>
  <c r="O72" i="206"/>
  <c r="O75" i="206"/>
  <c r="O78" i="206"/>
  <c r="O81" i="206"/>
  <c r="O84" i="206"/>
  <c r="O87" i="206"/>
  <c r="O90" i="206"/>
  <c r="O96" i="206"/>
  <c r="O99" i="206"/>
  <c r="O102" i="206"/>
  <c r="O105" i="206"/>
  <c r="O108" i="206"/>
  <c r="O114" i="206"/>
  <c r="O117" i="206"/>
  <c r="O120" i="206"/>
  <c r="O124" i="206"/>
  <c r="O111" i="206" l="1"/>
  <c r="O112" i="206" s="1"/>
  <c r="O34" i="206"/>
  <c r="O35" i="206" s="1"/>
  <c r="O131" i="206"/>
  <c r="O132" i="206" s="1"/>
  <c r="O93" i="206"/>
  <c r="O94" i="206" s="1"/>
  <c r="O133" i="206" l="1"/>
  <c r="O134" i="206" s="1"/>
  <c r="F33" i="34" l="1"/>
  <c r="E17" i="26" l="1"/>
  <c r="I142" i="205"/>
  <c r="I125" i="205"/>
  <c r="I63" i="205"/>
  <c r="I141" i="205"/>
  <c r="H141" i="205"/>
  <c r="I138" i="205"/>
  <c r="H138" i="205"/>
  <c r="H137" i="205"/>
  <c r="H136" i="205"/>
  <c r="H135" i="205"/>
  <c r="H134" i="205"/>
  <c r="H133" i="205"/>
  <c r="H132" i="205"/>
  <c r="I131" i="205"/>
  <c r="H125" i="205"/>
  <c r="I122" i="205"/>
  <c r="H122" i="205"/>
  <c r="I121" i="205"/>
  <c r="H121" i="205"/>
  <c r="F100" i="205"/>
  <c r="H100" i="205" s="1"/>
  <c r="I98" i="205"/>
  <c r="H98" i="205"/>
  <c r="F97" i="205"/>
  <c r="H97" i="205" s="1"/>
  <c r="I96" i="205"/>
  <c r="H96" i="205"/>
  <c r="F92" i="205"/>
  <c r="I92" i="205" s="1"/>
  <c r="F89" i="205"/>
  <c r="H89" i="205" s="1"/>
  <c r="F88" i="205"/>
  <c r="I88" i="205" s="1"/>
  <c r="F84" i="205"/>
  <c r="I84" i="205" s="1"/>
  <c r="F81" i="205"/>
  <c r="H81" i="205" s="1"/>
  <c r="F80" i="205"/>
  <c r="I80" i="205" s="1"/>
  <c r="F76" i="205"/>
  <c r="I76" i="205" s="1"/>
  <c r="F73" i="205"/>
  <c r="H73" i="205" s="1"/>
  <c r="F72" i="205"/>
  <c r="I72" i="205" s="1"/>
  <c r="F68" i="205"/>
  <c r="I68" i="205" s="1"/>
  <c r="F65" i="205"/>
  <c r="H65" i="205" s="1"/>
  <c r="F64" i="205"/>
  <c r="I64" i="205" s="1"/>
  <c r="F63" i="205"/>
  <c r="F86" i="205" s="1"/>
  <c r="F58" i="205"/>
  <c r="H58" i="205" s="1"/>
  <c r="F57" i="205"/>
  <c r="I57" i="205" s="1"/>
  <c r="H54" i="205"/>
  <c r="F54" i="205"/>
  <c r="F55" i="205" s="1"/>
  <c r="F41" i="205"/>
  <c r="F42" i="205" s="1"/>
  <c r="I36" i="205"/>
  <c r="H36" i="205"/>
  <c r="F34" i="205"/>
  <c r="I34" i="205" s="1"/>
  <c r="I33" i="205"/>
  <c r="F33" i="205"/>
  <c r="H33" i="205" s="1"/>
  <c r="I31" i="205"/>
  <c r="H31" i="205"/>
  <c r="F31" i="205"/>
  <c r="I30" i="205"/>
  <c r="H30" i="205"/>
  <c r="I28" i="205"/>
  <c r="H28" i="205"/>
  <c r="H26" i="205"/>
  <c r="F26" i="205"/>
  <c r="I26" i="205" s="1"/>
  <c r="F25" i="205"/>
  <c r="I25" i="205" s="1"/>
  <c r="I24" i="205"/>
  <c r="H24" i="205"/>
  <c r="F24" i="205"/>
  <c r="I23" i="205"/>
  <c r="H23" i="205"/>
  <c r="I22" i="205"/>
  <c r="H22" i="205"/>
  <c r="I21" i="205"/>
  <c r="H21" i="205"/>
  <c r="I19" i="205"/>
  <c r="H19" i="205"/>
  <c r="I18" i="205"/>
  <c r="H18" i="205"/>
  <c r="F18" i="205"/>
  <c r="G17" i="205"/>
  <c r="I17" i="205" s="1"/>
  <c r="I37" i="205" s="1"/>
  <c r="I14" i="205"/>
  <c r="I15" i="205" s="1"/>
  <c r="I38" i="205" s="1"/>
  <c r="H14" i="205"/>
  <c r="I86" i="205" l="1"/>
  <c r="H86" i="205"/>
  <c r="I55" i="205"/>
  <c r="H55" i="205"/>
  <c r="F46" i="205"/>
  <c r="F48" i="205"/>
  <c r="I42" i="205"/>
  <c r="F51" i="205"/>
  <c r="F43" i="205"/>
  <c r="F45" i="205"/>
  <c r="H42" i="205"/>
  <c r="F52" i="205"/>
  <c r="F44" i="205"/>
  <c r="F49" i="205"/>
  <c r="F50" i="205"/>
  <c r="F47" i="205"/>
  <c r="H17" i="205"/>
  <c r="H25" i="205"/>
  <c r="H34" i="205"/>
  <c r="I41" i="205"/>
  <c r="F56" i="205"/>
  <c r="I58" i="205"/>
  <c r="I65" i="205"/>
  <c r="H68" i="205"/>
  <c r="F71" i="205"/>
  <c r="I73" i="205"/>
  <c r="H76" i="205"/>
  <c r="F79" i="205"/>
  <c r="I81" i="205"/>
  <c r="H84" i="205"/>
  <c r="F87" i="205"/>
  <c r="I89" i="205"/>
  <c r="H92" i="205"/>
  <c r="I97" i="205"/>
  <c r="I100" i="205"/>
  <c r="F114" i="205"/>
  <c r="H41" i="205"/>
  <c r="F59" i="205"/>
  <c r="H63" i="205"/>
  <c r="F66" i="205"/>
  <c r="F74" i="205"/>
  <c r="F82" i="205"/>
  <c r="F90" i="205"/>
  <c r="F69" i="205"/>
  <c r="F77" i="205"/>
  <c r="F85" i="205"/>
  <c r="I54" i="205"/>
  <c r="H57" i="205"/>
  <c r="F60" i="205"/>
  <c r="H64" i="205"/>
  <c r="F67" i="205"/>
  <c r="H72" i="205"/>
  <c r="F75" i="205"/>
  <c r="H80" i="205"/>
  <c r="F83" i="205"/>
  <c r="H88" i="205"/>
  <c r="F91" i="205"/>
  <c r="F70" i="205"/>
  <c r="F78" i="205"/>
  <c r="F105" i="205" l="1"/>
  <c r="I56" i="205"/>
  <c r="H56" i="205"/>
  <c r="I44" i="205"/>
  <c r="H44" i="205"/>
  <c r="H46" i="205"/>
  <c r="I46" i="205"/>
  <c r="I78" i="205"/>
  <c r="H78" i="205"/>
  <c r="H67" i="205"/>
  <c r="I67" i="205"/>
  <c r="F118" i="205"/>
  <c r="F115" i="205"/>
  <c r="I114" i="205"/>
  <c r="F119" i="205"/>
  <c r="F116" i="205"/>
  <c r="F117" i="205"/>
  <c r="H114" i="205"/>
  <c r="I79" i="205"/>
  <c r="H79" i="205"/>
  <c r="I52" i="205"/>
  <c r="H52" i="205"/>
  <c r="I77" i="205"/>
  <c r="H77" i="205"/>
  <c r="I59" i="205"/>
  <c r="H59" i="205"/>
  <c r="H49" i="205"/>
  <c r="I49" i="205"/>
  <c r="I48" i="205"/>
  <c r="H48" i="205"/>
  <c r="I69" i="205"/>
  <c r="H69" i="205"/>
  <c r="I90" i="205"/>
  <c r="H90" i="205"/>
  <c r="H70" i="205"/>
  <c r="I70" i="205"/>
  <c r="H91" i="205"/>
  <c r="I91" i="205"/>
  <c r="H60" i="205"/>
  <c r="I60" i="205"/>
  <c r="I82" i="205"/>
  <c r="H82" i="205"/>
  <c r="H45" i="205"/>
  <c r="I45" i="205"/>
  <c r="H43" i="205"/>
  <c r="I43" i="205"/>
  <c r="H51" i="205"/>
  <c r="I51" i="205"/>
  <c r="H75" i="205"/>
  <c r="I75" i="205"/>
  <c r="I74" i="205"/>
  <c r="H74" i="205"/>
  <c r="I71" i="205"/>
  <c r="H71" i="205"/>
  <c r="H83" i="205"/>
  <c r="I83" i="205"/>
  <c r="I66" i="205"/>
  <c r="H66" i="205"/>
  <c r="I47" i="205"/>
  <c r="H47" i="205"/>
  <c r="I85" i="205"/>
  <c r="H85" i="205"/>
  <c r="I87" i="205"/>
  <c r="H87" i="205"/>
  <c r="I50" i="205"/>
  <c r="I61" i="205" s="1"/>
  <c r="H50" i="205"/>
  <c r="I115" i="205" l="1"/>
  <c r="H115" i="205"/>
  <c r="I93" i="205"/>
  <c r="I94" i="205" s="1"/>
  <c r="H118" i="205"/>
  <c r="I118" i="205"/>
  <c r="I117" i="205"/>
  <c r="I123" i="205" s="1"/>
  <c r="H117" i="205"/>
  <c r="H116" i="205"/>
  <c r="I116" i="205"/>
  <c r="I119" i="205"/>
  <c r="H119" i="205"/>
  <c r="H105" i="205"/>
  <c r="I105" i="205"/>
  <c r="F99" i="205" l="1"/>
  <c r="F106" i="205"/>
  <c r="F107" i="205" l="1"/>
  <c r="I106" i="205"/>
  <c r="H106" i="205"/>
  <c r="I99" i="205"/>
  <c r="I101" i="205" s="1"/>
  <c r="F102" i="205" s="1"/>
  <c r="H99" i="205"/>
  <c r="I107" i="205" l="1"/>
  <c r="I108" i="205" s="1"/>
  <c r="H107" i="205"/>
  <c r="H102" i="205"/>
  <c r="I102" i="205"/>
  <c r="I103" i="205"/>
  <c r="I109" i="205" l="1"/>
  <c r="I110" i="205"/>
  <c r="I143" i="205" s="1"/>
  <c r="E12" i="26" l="1"/>
  <c r="M17" i="204"/>
  <c r="M21" i="204"/>
  <c r="M24" i="204"/>
  <c r="M27" i="204"/>
  <c r="M30" i="204"/>
  <c r="M33" i="204"/>
  <c r="M34" i="204" s="1"/>
  <c r="M36" i="204"/>
  <c r="M39" i="204"/>
  <c r="M42" i="204"/>
  <c r="M48" i="204" s="1"/>
  <c r="M49" i="204" s="1"/>
  <c r="M45" i="204"/>
  <c r="M51" i="204"/>
  <c r="M63" i="204" s="1"/>
  <c r="M64" i="204" s="1"/>
  <c r="M54" i="204"/>
  <c r="E18" i="26"/>
  <c r="O21" i="203"/>
  <c r="O25" i="203" s="1"/>
  <c r="O26" i="203" s="1"/>
  <c r="O28" i="203"/>
  <c r="O32" i="203" s="1"/>
  <c r="O33" i="203" s="1"/>
  <c r="M65" i="204" l="1"/>
  <c r="M66" i="204" s="1"/>
  <c r="F68" i="204" s="1"/>
  <c r="O35" i="203"/>
  <c r="O36" i="203" l="1"/>
  <c r="O37" i="203" s="1"/>
  <c r="O38" i="203" l="1"/>
  <c r="O39" i="203" s="1"/>
  <c r="O40" i="203" s="1"/>
  <c r="O41" i="203" s="1"/>
  <c r="O42" i="203" s="1"/>
  <c r="O43" i="203" s="1"/>
  <c r="F45" i="203" s="1"/>
  <c r="C5" i="179" l="1"/>
  <c r="B5" i="179"/>
  <c r="F23" i="26"/>
  <c r="C22" i="34" l="1"/>
  <c r="C21" i="34"/>
  <c r="C20" i="34"/>
  <c r="C16" i="34"/>
  <c r="C15" i="34"/>
  <c r="C14" i="34"/>
  <c r="G20" i="26" l="1"/>
  <c r="B16" i="34" s="1"/>
  <c r="D16" i="34" s="1"/>
  <c r="F16" i="34" s="1"/>
  <c r="C15" i="33" s="1"/>
  <c r="D15" i="33" s="1"/>
  <c r="E15" i="33" s="1"/>
  <c r="G19" i="26"/>
  <c r="B15" i="34" s="1"/>
  <c r="D15" i="34" s="1"/>
  <c r="F15" i="34" s="1"/>
  <c r="C14" i="33" s="1"/>
  <c r="D14" i="33" s="1"/>
  <c r="E14" i="33" s="1"/>
  <c r="G29" i="26"/>
  <c r="B22" i="34" s="1"/>
  <c r="D22" i="34" s="1"/>
  <c r="F22" i="34" s="1"/>
  <c r="C21" i="33" s="1"/>
  <c r="D21" i="33" s="1"/>
  <c r="E21" i="33" s="1"/>
  <c r="G28" i="26"/>
  <c r="B21" i="34" s="1"/>
  <c r="D21" i="34" s="1"/>
  <c r="F21" i="34" s="1"/>
  <c r="C20" i="33" s="1"/>
  <c r="D20" i="33" s="1"/>
  <c r="E20" i="33" s="1"/>
  <c r="G27" i="26"/>
  <c r="B20" i="34" s="1"/>
  <c r="D20" i="34" s="1"/>
  <c r="F20" i="34" s="1"/>
  <c r="C19" i="33" s="1"/>
  <c r="D19" i="33" s="1"/>
  <c r="E19" i="33" s="1"/>
  <c r="F24" i="26" l="1"/>
  <c r="G24" i="26" s="1"/>
  <c r="B4" i="199"/>
  <c r="B6" i="199" s="1"/>
  <c r="E16" i="26" l="1"/>
  <c r="E15" i="26"/>
  <c r="M21" i="198"/>
  <c r="M22" i="198"/>
  <c r="M23" i="198"/>
  <c r="M24" i="198"/>
  <c r="M26" i="198"/>
  <c r="M37" i="198" s="1"/>
  <c r="M38" i="198" s="1"/>
  <c r="M27" i="198"/>
  <c r="M28" i="198"/>
  <c r="M29" i="198"/>
  <c r="M30" i="198"/>
  <c r="M31" i="198"/>
  <c r="M32" i="198"/>
  <c r="M33" i="198"/>
  <c r="M36" i="198"/>
  <c r="M21" i="197"/>
  <c r="M22" i="197"/>
  <c r="M23" i="197"/>
  <c r="M24" i="197" s="1"/>
  <c r="M26" i="197"/>
  <c r="M27" i="197"/>
  <c r="M28" i="197"/>
  <c r="M37" i="197" s="1"/>
  <c r="M38" i="197" s="1"/>
  <c r="M29" i="197"/>
  <c r="M30" i="197"/>
  <c r="M31" i="197"/>
  <c r="M32" i="197"/>
  <c r="M33" i="197"/>
  <c r="M36" i="197"/>
  <c r="M40" i="198" l="1"/>
  <c r="M40" i="197"/>
  <c r="M41" i="198" l="1"/>
  <c r="M43" i="198" s="1"/>
  <c r="M41" i="197"/>
  <c r="M42" i="198" l="1"/>
  <c r="M44" i="198"/>
  <c r="M45" i="198" s="1"/>
  <c r="M46" i="198" s="1"/>
  <c r="M47" i="198" s="1"/>
  <c r="M48" i="198" s="1"/>
  <c r="F50" i="198" s="1"/>
  <c r="M43" i="197"/>
  <c r="M42" i="197"/>
  <c r="M44" i="197" s="1"/>
  <c r="M45" i="197" s="1"/>
  <c r="M46" i="197" s="1"/>
  <c r="M47" i="197" s="1"/>
  <c r="M48" i="197" s="1"/>
  <c r="F50" i="197" s="1"/>
  <c r="B8" i="34" l="1"/>
  <c r="C6" i="33"/>
  <c r="C5" i="33"/>
  <c r="F36" i="34"/>
  <c r="F37" i="34" s="1"/>
  <c r="D36" i="34"/>
  <c r="F34" i="34"/>
  <c r="E14" i="34" l="1"/>
  <c r="E13" i="34"/>
  <c r="C37" i="34"/>
  <c r="B2" i="34" l="1"/>
  <c r="A3" i="33"/>
  <c r="C4" i="37"/>
  <c r="C19" i="34"/>
  <c r="C18" i="34"/>
  <c r="C17" i="34"/>
  <c r="C13" i="34"/>
  <c r="G26" i="26" l="1"/>
  <c r="B19" i="34" s="1"/>
  <c r="D19" i="34" s="1"/>
  <c r="F19" i="34" s="1"/>
  <c r="C18" i="33" s="1"/>
  <c r="D18" i="33" s="1"/>
  <c r="E18" i="33" s="1"/>
  <c r="G15" i="26" l="1"/>
  <c r="E16" i="182"/>
  <c r="I20" i="182" s="1"/>
  <c r="D16" i="182"/>
  <c r="G15" i="182" s="1"/>
  <c r="C16" i="182"/>
  <c r="C20" i="182"/>
  <c r="D20" i="182" s="1"/>
  <c r="G20" i="182" s="1"/>
  <c r="H20" i="182" l="1"/>
  <c r="G14" i="182"/>
  <c r="G16" i="182" s="1"/>
  <c r="J20" i="182" s="1"/>
  <c r="K20" i="182" l="1"/>
  <c r="K21" i="182" s="1"/>
  <c r="A2" i="179"/>
  <c r="F47" i="34" l="1"/>
  <c r="F44" i="34"/>
  <c r="F41" i="34"/>
  <c r="A47" i="34"/>
  <c r="A44" i="34"/>
  <c r="A41" i="34"/>
  <c r="E31" i="33"/>
  <c r="E28" i="33"/>
  <c r="E25" i="33"/>
  <c r="A31" i="33"/>
  <c r="A28" i="33"/>
  <c r="A25" i="33"/>
  <c r="I34" i="37"/>
  <c r="I31" i="37"/>
  <c r="I28" i="37"/>
  <c r="A34" i="37"/>
  <c r="A31" i="37"/>
  <c r="A28" i="37"/>
  <c r="D5" i="179" l="1"/>
  <c r="F5" i="179" s="1"/>
  <c r="F25" i="26" s="1"/>
  <c r="G18" i="26" l="1"/>
  <c r="G16" i="26"/>
  <c r="G14" i="26"/>
  <c r="G13" i="26"/>
  <c r="G12" i="26"/>
  <c r="B14" i="34" l="1"/>
  <c r="D14" i="34" s="1"/>
  <c r="C13" i="33" s="1"/>
  <c r="D13" i="33" s="1"/>
  <c r="E13" i="33" s="1"/>
  <c r="G17" i="26"/>
  <c r="B13" i="34" s="1"/>
  <c r="D10" i="70" l="1"/>
  <c r="G21" i="26"/>
  <c r="A3" i="36"/>
  <c r="E18" i="34" l="1"/>
  <c r="E17" i="34"/>
  <c r="C4" i="33" l="1"/>
  <c r="C3" i="70" l="1"/>
  <c r="G25" i="26" l="1"/>
  <c r="B18" i="34" s="1"/>
  <c r="D18" i="34" l="1"/>
  <c r="F18" i="34" s="1"/>
  <c r="C17" i="33" s="1"/>
  <c r="D17" i="33" s="1"/>
  <c r="E17" i="33" s="1"/>
  <c r="G23" i="26"/>
  <c r="B17" i="34" l="1"/>
  <c r="B23" i="34" s="1"/>
  <c r="B24" i="34" s="1"/>
  <c r="B25" i="34" s="1"/>
  <c r="D13" i="70"/>
  <c r="G30" i="26"/>
  <c r="G31" i="26" s="1"/>
  <c r="D12" i="70"/>
  <c r="D15" i="70" l="1"/>
  <c r="D16" i="70" s="1"/>
  <c r="G16" i="70" s="1"/>
  <c r="D17" i="34"/>
  <c r="F17" i="34" s="1"/>
  <c r="C16" i="33" s="1"/>
  <c r="D13" i="34"/>
  <c r="D16" i="33" l="1"/>
  <c r="D23" i="34"/>
  <c r="D24" i="34" s="1"/>
  <c r="D25" i="34" s="1"/>
  <c r="D17" i="70"/>
  <c r="H17" i="70" s="1"/>
  <c r="H18" i="70" s="1"/>
  <c r="H19" i="70" s="1"/>
  <c r="F13" i="34"/>
  <c r="F23" i="34" l="1"/>
  <c r="F24" i="34" s="1"/>
  <c r="F25" i="34" s="1"/>
  <c r="C12" i="33"/>
  <c r="C22" i="33" s="1"/>
  <c r="E16" i="33"/>
  <c r="D12" i="33" l="1"/>
  <c r="D22" i="33" s="1"/>
  <c r="E12" i="33" l="1"/>
  <c r="E22" i="33" s="1"/>
  <c r="B20" i="36" s="1"/>
  <c r="G6" i="37" l="1"/>
  <c r="G22" i="33"/>
  <c r="A7" i="37"/>
</calcChain>
</file>

<file path=xl/sharedStrings.xml><?xml version="1.0" encoding="utf-8"?>
<sst xmlns="http://schemas.openxmlformats.org/spreadsheetml/2006/main" count="3557" uniqueCount="1434">
  <si>
    <t>Проектная документация</t>
  </si>
  <si>
    <t>№ п/п</t>
  </si>
  <si>
    <t>1.1</t>
  </si>
  <si>
    <t>1.2</t>
  </si>
  <si>
    <t>Итого</t>
  </si>
  <si>
    <t>2.1</t>
  </si>
  <si>
    <t>2.2</t>
  </si>
  <si>
    <t>Характеристика предприятия, здания, сооружения или виды работ</t>
  </si>
  <si>
    <t xml:space="preserve">СВОДНАЯ  СМЕТА </t>
  </si>
  <si>
    <t>на проектные (изыскательские) работы</t>
  </si>
  <si>
    <t>Наименование строительства
и стадии проектирования</t>
  </si>
  <si>
    <t>Наименование проектной организации - генерального проектировщика</t>
  </si>
  <si>
    <t>Наименование организации-заказчика</t>
  </si>
  <si>
    <t>Руб.</t>
  </si>
  <si>
    <t>Перечень выполняемых работ</t>
  </si>
  <si>
    <t>Характеристика проектируемого объекта п. ЗП</t>
  </si>
  <si>
    <t>Ссылка на №№ смет по формам 2п и 3п</t>
  </si>
  <si>
    <t xml:space="preserve">          Стоимость работ, руб без НДС</t>
  </si>
  <si>
    <t>Изыскательские работы</t>
  </si>
  <si>
    <t>Проектные работы</t>
  </si>
  <si>
    <t>1. ИЗЫСКАТЕЛЬСКИЕ РАБОТЫ</t>
  </si>
  <si>
    <t>комплекс</t>
  </si>
  <si>
    <t>Смета № 1-из</t>
  </si>
  <si>
    <t>Смета № 2-из</t>
  </si>
  <si>
    <t>1.3</t>
  </si>
  <si>
    <t>Смета № 3-из</t>
  </si>
  <si>
    <t>1.4</t>
  </si>
  <si>
    <t>Смета № 4-из</t>
  </si>
  <si>
    <t>1.5</t>
  </si>
  <si>
    <t>2. ПРОЕКТНЫЕ РАБОТЫ СТАДИИ ПД</t>
  </si>
  <si>
    <t>ИТОГО по разделу 2:</t>
  </si>
  <si>
    <t>ВСЕГО:</t>
  </si>
  <si>
    <t>Наименование предприятия, здания, сооружения</t>
  </si>
  <si>
    <t>Стадия проектирования</t>
  </si>
  <si>
    <t>Вид проектных или
изыскательских работ</t>
  </si>
  <si>
    <t>Экспертиза проектно-изыскательских работ</t>
  </si>
  <si>
    <t>Наименование проектной (изыскательской) организации</t>
  </si>
  <si>
    <t>Наименование организации
заказчика</t>
  </si>
  <si>
    <t>Номер частей, глав, таблиц, процентов, параграфов и пунктов указаний к разделу Справочника базовых цен на проектные и изыскательские работы для строительства</t>
  </si>
  <si>
    <t>Единица измерения</t>
  </si>
  <si>
    <t>Расчет стоимости: (a+bx)*Kj или (объём строительно-монтажных работ)*проц./ 100 или количество * цена</t>
  </si>
  <si>
    <t>Стоимость работ, Руб.</t>
  </si>
  <si>
    <t>рублей</t>
  </si>
  <si>
    <t>Стоимость проектных работ в уровне цен 01.01.2001 г. без НДС</t>
  </si>
  <si>
    <t>Итого: ИЗ+ПД</t>
  </si>
  <si>
    <t>Постановление Правительства РФ от 05.03.2007 № 145</t>
  </si>
  <si>
    <t>% от суммы Спд и Сиж</t>
  </si>
  <si>
    <t>месяцев</t>
  </si>
  <si>
    <t>Сумма Спд и Сиж (млн.рублей,</t>
  </si>
  <si>
    <t>в ценах 2001 года)</t>
  </si>
  <si>
    <t>(П)</t>
  </si>
  <si>
    <t>0-0,15</t>
  </si>
  <si>
    <t>более 0,15</t>
  </si>
  <si>
    <t>более 0,25</t>
  </si>
  <si>
    <t>более 0,5</t>
  </si>
  <si>
    <t>более 0,75</t>
  </si>
  <si>
    <t>более 1</t>
  </si>
  <si>
    <t>более 1,5</t>
  </si>
  <si>
    <t>более 3</t>
  </si>
  <si>
    <t>более 4</t>
  </si>
  <si>
    <t>более 6</t>
  </si>
  <si>
    <t>более 8</t>
  </si>
  <si>
    <t>более 12</t>
  </si>
  <si>
    <t>более 18</t>
  </si>
  <si>
    <t>более 24</t>
  </si>
  <si>
    <t>более 30</t>
  </si>
  <si>
    <t>более 36</t>
  </si>
  <si>
    <t>более 45</t>
  </si>
  <si>
    <t>более 52,5</t>
  </si>
  <si>
    <t>более 60</t>
  </si>
  <si>
    <t>более 70</t>
  </si>
  <si>
    <t>более 80</t>
  </si>
  <si>
    <t>более 100</t>
  </si>
  <si>
    <t>более 120</t>
  </si>
  <si>
    <t>более 140</t>
  </si>
  <si>
    <t>более 160</t>
  </si>
  <si>
    <t>более 180</t>
  </si>
  <si>
    <t>более 200</t>
  </si>
  <si>
    <t>более 220</t>
  </si>
  <si>
    <t>№ п.п.</t>
  </si>
  <si>
    <t>Перечень видов работ</t>
  </si>
  <si>
    <t xml:space="preserve"> Стоимость проектирования  объекта в прогнозных ценах периода проектирования (руб.)</t>
  </si>
  <si>
    <t>без НДС</t>
  </si>
  <si>
    <t>с учетом НДС</t>
  </si>
  <si>
    <t>Инженерные изыскания</t>
  </si>
  <si>
    <t>Итого:</t>
  </si>
  <si>
    <t>объект:</t>
  </si>
  <si>
    <t>по адресу:</t>
  </si>
  <si>
    <t>Основания для расчета:</t>
  </si>
  <si>
    <t>1. Задание на проектирование.</t>
  </si>
  <si>
    <t>Наименование работ и затрат</t>
  </si>
  <si>
    <t xml:space="preserve">Индекс фактической инфляции* </t>
  </si>
  <si>
    <t>Индекс прогнозной инфляции на период выполнения работ</t>
  </si>
  <si>
    <t>Начальная (максимальная) цена контракта с учетом индекса прогнозной инфляции на период выполнения работ</t>
  </si>
  <si>
    <t>Стоимость с учетом НДС</t>
  </si>
  <si>
    <t>Начало работ</t>
  </si>
  <si>
    <t>Окончание работ</t>
  </si>
  <si>
    <t>3. Продолжительность проектирования:</t>
  </si>
  <si>
    <t>Стоимость работ в ценах на дату формирования начальной (максимальной) цены контракта</t>
  </si>
  <si>
    <t>Индекс прогнозной инфляции</t>
  </si>
  <si>
    <t>Метод расчета - проектно-сметный</t>
  </si>
  <si>
    <t>Итоговая начальная максимальная цена проектно-изыскательских работ  составляет:</t>
  </si>
  <si>
    <t>рублей с учетом НДС</t>
  </si>
  <si>
    <t>начальной (максимальной) цены контракта</t>
  </si>
  <si>
    <t xml:space="preserve">Начальная (максимальная ) цена контракта составляет </t>
  </si>
  <si>
    <t>Начальная (максимальная ) цена контракта включает в себя расходы:</t>
  </si>
  <si>
    <t>Приложение:</t>
  </si>
  <si>
    <t>Расчет начальной (максимальной) цены контракта.</t>
  </si>
  <si>
    <t>АО "КАВКАЗ.РФ"</t>
  </si>
  <si>
    <t xml:space="preserve">Инженерно-геодезические изыскания </t>
  </si>
  <si>
    <t xml:space="preserve">Инженерно-экологические изыскания </t>
  </si>
  <si>
    <t>Процент от суммы Спд и Сиж</t>
  </si>
  <si>
    <t xml:space="preserve">Проектная документация </t>
  </si>
  <si>
    <t>Расчет начальной максимальной цены договора</t>
  </si>
  <si>
    <t>Дата формирования НМЦК</t>
  </si>
  <si>
    <t>ПОЯСНИТЕЛЬНАЯ ЗАПИСКА</t>
  </si>
  <si>
    <t>Протокол</t>
  </si>
  <si>
    <t xml:space="preserve">Расчет начальной (максимальной) цены контракта при осуществлении закупок работ по инженерным изысканиям и по подготовке проектной документации </t>
  </si>
  <si>
    <t>Проверил:</t>
  </si>
  <si>
    <t>*Индекс фактической инфляции по данным Росстата от цен  сметной документации до даты формирования НМЦК:</t>
  </si>
  <si>
    <t>РАСЧЕТ ЗАТРАТ НА ГОСУДАРСТВЕННУЮ ЭКСПЕРТИЗУ</t>
  </si>
  <si>
    <t>Оценка воздействия на окружающую среду</t>
  </si>
  <si>
    <t>Расчет ОВОС</t>
  </si>
  <si>
    <t>№ п\п</t>
  </si>
  <si>
    <t>1.6</t>
  </si>
  <si>
    <t>Описание метода расчета стоимости изыскательских работ</t>
  </si>
  <si>
    <t xml:space="preserve">В расчете приняты предполагаемые виды и объемы изыскательских работ  в соответствие с заданием на проектирование. </t>
  </si>
  <si>
    <t>1.7</t>
  </si>
  <si>
    <t>1.8</t>
  </si>
  <si>
    <t>Разработал:</t>
  </si>
  <si>
    <t>Согласовал:</t>
  </si>
  <si>
    <t>Директор Департамента развития инфраструктуры</t>
  </si>
  <si>
    <t>на выполнение проектно-изыскательских работ по объекту:</t>
  </si>
  <si>
    <t>Начало работ:</t>
  </si>
  <si>
    <t>Окончание работ:</t>
  </si>
  <si>
    <t>^(1/12)</t>
  </si>
  <si>
    <t>Стоимость инженерных изысканий в уровне цен 01.01.2001 г. без НДС</t>
  </si>
  <si>
    <t>коэффициент, отражающий инфляционные процессы по сравнению с 1 января 2001 г., который определяется как произведение публикуемых Федеральной службой государственной статистики индексов потребительских цен для каждого года, следующего за 2000 годом, до года, предшествующего тому, в котором определяется размер платы за проведение государственной экспертизы (включительно).</t>
  </si>
  <si>
    <t>ПИР в %</t>
  </si>
  <si>
    <t>Разработка проектной документации стадии "Проектная документация"</t>
  </si>
  <si>
    <t>к расчету начальной максимальной цены договора</t>
  </si>
  <si>
    <t>Начальная максимальная цена договора (далее - НМЦД) определена в соответствии с  Приказом Минстроя России от 23 декабря 2019 г. № 841/пр «Об утверждении Порядка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в сфере градостроительной деятельности (за исключением территориального планирования); требованием Положения о закупке товаров, работ, услуг акционерного общества "КАВКАЗ.РФ", утвержденного  Приказом акционерного общества "КАВКАЗ.РФ" от27.01.2026  № Пр-26-18.</t>
  </si>
  <si>
    <t xml:space="preserve">Для определения цены изыскательских работ принят  проектно-сметный метод с  использованием в расчетах нормативных документов, включенных в Федеральный реестр сметных нормативов, подлежащих применению при определении сметной стоимости объектов капитального строительства,  строительство которых финансируется с привлечением средств федерального бюджета:  справочников базовых цен  на инженерные изыскания в строительстве, нормативных затрат на работы по инженерным изысканиям, Методического пособия по определению стоимости инженерных изысканий для строительства, введенного в действие письмом Госстроя России от 31.03.2004 № НЗ-2078/10, Методики определения стоимости работ по инженерным изысканиям, утвержденной приказом Минстрой РФ от 09.01.2024 № 1/пр. </t>
  </si>
  <si>
    <t>Индекс пересчета в текущие цены на II квартал 2026 года принят согласно письму Минстроя России от 08.04.2026 №20212-ИФ/09;</t>
  </si>
  <si>
    <t>В расчете приняты предполагаемые виды и объемы проектных работ в соответствии с заданием на проектирование, предполагаемые технические характеристики объектов проектирования.</t>
  </si>
  <si>
    <t>2. Предполагаемые виды и объемы изыскательских работ</t>
  </si>
  <si>
    <t>Стоимость работ в ценах  сметной документации
II квартала 2026 г.</t>
  </si>
  <si>
    <t>Индекс прогнозной инфляции:</t>
  </si>
  <si>
    <t>ежемесячный прогнозный индекс на 2026 год</t>
  </si>
  <si>
    <t>Начальник отдела ценообразования
управления проектов
департамента развития инфраструктуры</t>
  </si>
  <si>
    <t>Смета № 5-из</t>
  </si>
  <si>
    <t>Итого по разделу 1</t>
  </si>
  <si>
    <t>Расчет оценки воздействия на окружающую среду</t>
  </si>
  <si>
    <t>Итого затраты на ОВОС, руб.</t>
  </si>
  <si>
    <t>Норма затрат на ОВОС-4% от (ПД+РД) согласно п. 10 Приложения № 4 к Методике № 707/пр</t>
  </si>
  <si>
    <t>Стоимость инженерных изысканий в ценах 2 кв. 2026 г.</t>
  </si>
  <si>
    <t>Индекс 2 кв. 2026 г.</t>
  </si>
  <si>
    <t>Стоимость проектных работ в ценах 2 кв. 2026 г.</t>
  </si>
  <si>
    <t xml:space="preserve">Индекс пересчета в текущие цены 2026 г. </t>
  </si>
  <si>
    <t>С учетом НДС-22%</t>
  </si>
  <si>
    <t>Распоряжение ФАУ "Главгосэкспертиза России"от 20.01.2026 № 6-р</t>
  </si>
  <si>
    <t>Стоимость проведения экологической экспертизы</t>
  </si>
  <si>
    <t>НДС-22 %</t>
  </si>
  <si>
    <t>Ориентировочная стоимость строительства, руб.</t>
  </si>
  <si>
    <t>- прогнозный индекс инфляции для пересчета из уровня цен на дату определения НМЦК в уровень цен соответствующего периода исполнения договора;</t>
  </si>
  <si>
    <t>Прогнозный индекс инфляции для пересчета из уровня цен на дату определения НМЦК в уровень цен соответствующего периода реализации проекта определен  согласно Письму Минэкономразвития России от 30.09.2025 № 37099-ПК/Д03и "О применении показателей прогноза социально-экономического развития Российской Федерации в целях ценообразования на продукцию, поставляемую по государственному оборонному заказу".</t>
  </si>
  <si>
    <t>Индекс Минэкономразвития РФ на 2026 г.  (Письмо Минэкономразвития России от 30.09.2025 г. N 37099-ПК/Д03и)</t>
  </si>
  <si>
    <t>А.Ю. Татаринов</t>
  </si>
  <si>
    <t>Е.А. Татаринова</t>
  </si>
  <si>
    <t>И.В. Евдокимов</t>
  </si>
  <si>
    <t>Заместитель директора департамента
по ценообразованию и сметному регулированию
Департамента развития инфраструктуры</t>
  </si>
  <si>
    <t>на выполнение проектно-изыскательских работ</t>
  </si>
  <si>
    <t>Объект закупки:</t>
  </si>
  <si>
    <t>Российская Федерация, Кабардино-Балкарская Республика</t>
  </si>
  <si>
    <t>Описание метода расчета стоимости проектных работ и оценки воздействия на окружающую среду</t>
  </si>
  <si>
    <t>Кол-во</t>
  </si>
  <si>
    <t xml:space="preserve">Инженерно-геологические изыскания </t>
  </si>
  <si>
    <t xml:space="preserve">Инженерно-геофизические исследования </t>
  </si>
  <si>
    <t xml:space="preserve">Инженерно-гидрометеорологические изыскания </t>
  </si>
  <si>
    <t xml:space="preserve">Обследование территории на наличие взрывоопасных предметов </t>
  </si>
  <si>
    <t>руб. без НДС (не облагается)</t>
  </si>
  <si>
    <t>Стоимость принята на основании аналога "Всесезонный туристско-рекреационный комплекс «Эльбрус», Кабардино-Балкарская Республика. Пассажирская подвесная канатная дорога EL8"</t>
  </si>
  <si>
    <t>Определение размера платы за проведение историко-культурной экспертизы</t>
  </si>
  <si>
    <t>Стоимость проведения государственной историко-культурной экспертизы определяется  на основании Постановления Правительства Российской Федерации от 25.04.2024 № 530</t>
  </si>
  <si>
    <t>35. Размер оплаты экспертизы, касающейся объекта культурного наследия федерального значения, устанавливается договором и определяется исходя из объема и сложности выполняемых экспертом работ и общей суммы следующих расходов:</t>
  </si>
  <si>
    <t>а) оплата труда эксперта;</t>
  </si>
  <si>
    <t>б) оплата документов, материалов, техники, средств и услуг, необходимых для проведения экспертизы (за исключением расходов, связанных с оформлением усиленной квалифицированной электронной подписи и установкой необходимого программного обеспечения);</t>
  </si>
  <si>
    <t>в) оплата транспортных и командировочных расходов, связанных с проведением экспертизы.</t>
  </si>
  <si>
    <t>36. Размер оплаты экспертизы не может зависеть от ее результатов.</t>
  </si>
  <si>
    <t>Наименование должностей исполнителей</t>
  </si>
  <si>
    <t>Коэффициент квалификации (участия) 
специалистов одной 
квалификации, ∑ 
(гр.3 / итог гр.4 × 
гр.5 × гр.6) /∑ гр. 5</t>
  </si>
  <si>
    <t xml:space="preserve">Пассажирская подвесная канатная дорога EL7
</t>
  </si>
  <si>
    <t>*</t>
  </si>
  <si>
    <t xml:space="preserve">Расчет стоимости авторского надзора в соответствии с калькуляцией затрат </t>
  </si>
  <si>
    <t>Итого с НДС 22%</t>
  </si>
  <si>
    <t>Главный специалист</t>
  </si>
  <si>
    <t>Начальник отдела</t>
  </si>
  <si>
    <t>Заказчик</t>
  </si>
  <si>
    <t>Всего по смете (руб.):</t>
  </si>
  <si>
    <t/>
  </si>
  <si>
    <t>Всего по смете:</t>
  </si>
  <si>
    <t>7</t>
  </si>
  <si>
    <t>Итого по смете:</t>
  </si>
  <si>
    <t>6</t>
  </si>
  <si>
    <t>Коэффициенты</t>
  </si>
  <si>
    <t>5.1</t>
  </si>
  <si>
    <t>Раздел</t>
  </si>
  <si>
    <t>5</t>
  </si>
  <si>
    <t>4.4</t>
  </si>
  <si>
    <t>4.3</t>
  </si>
  <si>
    <t>4.2</t>
  </si>
  <si>
    <t>4.1</t>
  </si>
  <si>
    <t>4</t>
  </si>
  <si>
    <t>3.5</t>
  </si>
  <si>
    <t>3.4</t>
  </si>
  <si>
    <t>3.3</t>
  </si>
  <si>
    <t>3.2</t>
  </si>
  <si>
    <t>3.1</t>
  </si>
  <si>
    <t>3</t>
  </si>
  <si>
    <t>2.5</t>
  </si>
  <si>
    <t>2.4</t>
  </si>
  <si>
    <t>2.3</t>
  </si>
  <si>
    <t>2</t>
  </si>
  <si>
    <t>1</t>
  </si>
  <si>
    <t>Примечания</t>
  </si>
  <si>
    <t>Стоимость, руб.</t>
  </si>
  <si>
    <t>Расчет стоимости</t>
  </si>
  <si>
    <t>Наименование, номера глав, таблиц, параграфов и пунктов МНЗ на проектные работы</t>
  </si>
  <si>
    <t>№ пп</t>
  </si>
  <si>
    <t>Сметный расчет составлен в ценах II кв. 2026 г.</t>
  </si>
  <si>
    <t>По объекту:</t>
  </si>
  <si>
    <t>Адепт: Проект v 2026.3.0 © ООО"Адепт"</t>
  </si>
  <si>
    <t>Оценка воздействия проектируемого объекта на водные биологические ресурсы и среду их обитания, Расчет  ущерба водно-биологическим ресурсам (2 водных объекта  второй рыбохозяйственной категории)</t>
  </si>
  <si>
    <t>Смета № 1-ПД</t>
  </si>
  <si>
    <t>Прейскурант ГНЦ РФ ФГНБУ "ВНИРО" (приложение №1 к приказу от 30.12.2025 №206), п.1.1.2б</t>
  </si>
  <si>
    <t>Коэф-т 80.58 от п.6</t>
  </si>
  <si>
    <t>Письмо Минстроя России от 08.04.2026 №20212-ИФ/09</t>
  </si>
  <si>
    <t>Индекс на II квартал 2026 года на изыскательские работы к уровню цен на 01.01.1991</t>
  </si>
  <si>
    <t>Сумма от п.5</t>
  </si>
  <si>
    <t>Всего по смете в ценах на 01.01.1991 г.</t>
  </si>
  <si>
    <t>Всего Прочие расходы</t>
  </si>
  <si>
    <t>Коэф-т 2.5 и 6% от п.1.4, 4.1-4.2</t>
  </si>
  <si>
    <t>СБЦ на инж.из. для стр-ва "Инженерно-гидрографические работы. Инженерно-гидрометеорологические изыскания на реках"(ОУ п. 13)</t>
  </si>
  <si>
    <t>Расходы по организации и ликвидации работ коэффициента для изысканий со сметной стоимостью до 2 тыс. руб</t>
  </si>
  <si>
    <t>36.4% от п.1.4, 4.1-4.2</t>
  </si>
  <si>
    <t>СБЦ на инж.из. для стр-ва "Инженерно-гидрографические работы. Инженерно-гидрометеорологические изыскания на реках" (ОУ п. 10 Таблица 5)</t>
  </si>
  <si>
    <t>Расходы по внешнему транспорту. Расстояние проезда и перевозки в одном направлении св. 1000 до 2000 км. Продолжительность экспедиции до 1 мес</t>
  </si>
  <si>
    <t>8.75% от п.1.4, 4.1</t>
  </si>
  <si>
    <t>СБЦ на инж.из. для стр-ва "Инженерно-гидрографические работы. Инженерно-гидрометеорологические изыскания на реках" (ОУ п. 9 Таблица 4)</t>
  </si>
  <si>
    <t>Расходы по внутреннему транспорту. Расстояние от базы до участка изысканий до 5 км. Сметная стоимость полевых изыск.работ до 5 тыс.руб</t>
  </si>
  <si>
    <t>СБЦ на инж.из. для стр-ва "Инженерно-гидрографические работы. Инженерно-гидрометеорологические изыскания на реках" (ОУ п.8а табл. 1)</t>
  </si>
  <si>
    <t>Прочие расходы</t>
  </si>
  <si>
    <t>Всего Камеральные работы</t>
  </si>
  <si>
    <t>2.11</t>
  </si>
  <si>
    <t>Итого Камеральные работы</t>
  </si>
  <si>
    <t>2.10</t>
  </si>
  <si>
    <t>A * Количество
450 руб. * 1</t>
  </si>
  <si>
    <t>СБЦи5.3_0-11-53-1-2 Таблица 53 п.
A = 450 руб.;
Количество = 1 (1 программа)</t>
  </si>
  <si>
    <t xml:space="preserve">Стоимость камеральных работ, тыс. руб.:. до 2. Обоснование проекта (ТЭО). </t>
  </si>
  <si>
    <t>2.9</t>
  </si>
  <si>
    <t>K1 = 1.25
Прим. к табл.62, п.6 (Ценообразующий)</t>
  </si>
  <si>
    <t xml:space="preserve">При весьма сложных физико-географических условиях района (участка) изысканий применяется коэффициент </t>
  </si>
  <si>
    <t>60% от п.3.1-3.7 * K1
410 руб. * 60 / 100 * 1.25</t>
  </si>
  <si>
    <t>СБЦи5.3_0-11-62-1-2 Таблица 62</t>
  </si>
  <si>
    <t xml:space="preserve">Составление технического отчета. Стоимость камеральных работ до 500 руб. Недостаточно изученная. </t>
  </si>
  <si>
    <t>2.8</t>
  </si>
  <si>
    <t>Составление карты лавинной опасности территории района изысканий</t>
  </si>
  <si>
    <t>A * Количество
108 руб. * 1</t>
  </si>
  <si>
    <t>СБЦи5.3_0-11-52-1 Таблица 52 п.1
A = 108 руб.;
Количество = 1 (1 таблица);</t>
  </si>
  <si>
    <t xml:space="preserve">Составление вспомогательной таблицы характеристик гидрологического режима (по одному пункту и одному элементу) при неискаженном водном режиме и числе лет наблюдений: до 50. </t>
  </si>
  <si>
    <t>2.7</t>
  </si>
  <si>
    <t>Определение дальности выброса лавин</t>
  </si>
  <si>
    <t>A * Количество
34 руб. * 2</t>
  </si>
  <si>
    <t>СБЦи5.3_0-11-56-2 Таблица 56 п.2
A = 34 руб.;
Количество = 2 (1 расчет);</t>
  </si>
  <si>
    <t>Определение максимальных расходов весеннего половодья или дождевых паводков по эмпирическим редукционным формулам</t>
  </si>
  <si>
    <t>2.6</t>
  </si>
  <si>
    <t>Построение профилей лавиносборов для расчета воздушной волны</t>
  </si>
  <si>
    <t>A * Количество
7 руб. * 2</t>
  </si>
  <si>
    <t>СБЦи5.3_0-7-40-1 Таблица 40 п.1
A = 7 руб.;
Количество = 2 (1 км реки);</t>
  </si>
  <si>
    <t xml:space="preserve">Составление продольного профиля реки в масштабе: 1:10000. </t>
  </si>
  <si>
    <t>Определение углов наклона зон зарождения и транзита снежных лавин</t>
  </si>
  <si>
    <t>Определение площади зон зарождения лавин</t>
  </si>
  <si>
    <t>установление высот границ действия снежных лавин</t>
  </si>
  <si>
    <t>A * Количество
8 руб. * 2</t>
  </si>
  <si>
    <t>СБЦи5.3_0-8-43-2-3-2 Таблица 43 п.2
A = 8 руб.;
Количество = 2 (1 км маршрута);</t>
  </si>
  <si>
    <t xml:space="preserve">Рекогносцировочное обследование бассейна реки. Категория сложности III. </t>
  </si>
  <si>
    <t>Камеральные работы</t>
  </si>
  <si>
    <t>Всего Полевые работы</t>
  </si>
  <si>
    <t>Итого Полевые работы</t>
  </si>
  <si>
    <t>A * Количество
7 руб. * 15</t>
  </si>
  <si>
    <t>СБЦи5.3_0-10-48-15-1 Таблица 48 п.15
A = 7 руб.;
Количество = 15 (1 снимок);</t>
  </si>
  <si>
    <t xml:space="preserve">Фотоработы. Ширина реки, м: до 20. </t>
  </si>
  <si>
    <t>рекогносцировочное обследование лавиносборов</t>
  </si>
  <si>
    <t>A * Количество
24 руб. * 2</t>
  </si>
  <si>
    <t>СБЦи5.3_0-8-43-2-3-1 Таблица 43 п.2
A = 24 руб.;
Количество = 2 (1 км маршрута);</t>
  </si>
  <si>
    <t>Полевые работы</t>
  </si>
  <si>
    <t>Обоснование стоимости</t>
  </si>
  <si>
    <t>Сметный расчет составлен по следующим документам: Справочник базовых цен на инженерные изыскания для строительства. Инженерно-гидрографические работы. Инженерно-гидрометеорологические изыскания на реках. 2000 г.</t>
  </si>
  <si>
    <t>Подрядчик:</t>
  </si>
  <si>
    <t>Заказчик:</t>
  </si>
  <si>
    <t>Инженерно-гидрометеорологические изыскания. Оценка селевой и лавинной опасностей</t>
  </si>
  <si>
    <t>Наименование объекта изысканий:</t>
  </si>
  <si>
    <t>Смета №4-из</t>
  </si>
  <si>
    <t xml:space="preserve">форма №2П, МП 2004г.
</t>
  </si>
  <si>
    <t>Оценка селевой и лавинной опасностей</t>
  </si>
  <si>
    <t>65% от п.3.1-3.7 * K1
886 руб. * 65 / 100 * 1.25</t>
  </si>
  <si>
    <t>СБЦи5.3_0-11-62-2-2 Таблица 62</t>
  </si>
  <si>
    <t xml:space="preserve">Составление технического отчета. Стоимость камеральных работ св. 500 до 1000 руб. Недостаточно изученная. </t>
  </si>
  <si>
    <t>A * Количество
243 руб. * 1</t>
  </si>
  <si>
    <t>СБЦи5.3_0-12-69-2-1 Таблица 69 п.2
A = 243 руб.;
Количество = 1 (1 записка);</t>
  </si>
  <si>
    <t xml:space="preserve">Составление климатической характеристики района изысканий при числе метеорологических станций: 3. Число годостанций: до 50. </t>
  </si>
  <si>
    <t>A * Количество
49 руб. * 1</t>
  </si>
  <si>
    <t>СБЦи5.3_0-12-68-15 Таблица 68 п.15
A = 49 руб.;
Количество = 1 (1 расчет);</t>
  </si>
  <si>
    <t>Глубина промерзания грунта; 20 годостанций</t>
  </si>
  <si>
    <t>A * Количество
116 руб. * 2</t>
  </si>
  <si>
    <t>СБЦи5.3_0-12-68-11 Таблица 68 п.11
A = 116 руб.;
Количество = 2 (1 расчет);</t>
  </si>
  <si>
    <t>Розы сильных ветров (15 м/с и более); 15 годостанций</t>
  </si>
  <si>
    <t>A * Количество
90 руб. * 2</t>
  </si>
  <si>
    <t>СБЦи5.3_0-12-67-1 Таблица 67 п.1
A = 90 руб.;
Количество = 2 (1 годостанция);</t>
  </si>
  <si>
    <t>Систематизация собранных материалов и данных метеорологических наблюдений. Подбор станций или постов с оценкой качества материалов наблюдений и степени их репрезентативности</t>
  </si>
  <si>
    <t>A * Количество
61 руб. * 1</t>
  </si>
  <si>
    <t>СБЦи5.3_0-11-51-3 Таблица 51 п.3
A = 61 руб.;
Количество = 1 (1 схема);</t>
  </si>
  <si>
    <t xml:space="preserve">Составление схемы гидрометеорологической изученности бассейна реки при числе пунктов наблюдений: до 50. </t>
  </si>
  <si>
    <t>A * Количество
105 руб. * 1</t>
  </si>
  <si>
    <t>СБЦи5.3_0-11-51-1 Таблица 51 п.1
A = 105 руб.;
Количество = 1 (1 таблица);</t>
  </si>
  <si>
    <t xml:space="preserve">Составление таблицы гидрологической изученности бассейна реки при числе пунктов наблюдений: до 50. </t>
  </si>
  <si>
    <t>A * Количество
7 руб. * 5</t>
  </si>
  <si>
    <t>СБЦи5.3_0-10-48-15-1 Таблица 48 п.15
A = 7 руб.;
Количество = 5 (1 снимок);</t>
  </si>
  <si>
    <t>Инженерно-гидрометеорологические изыскания</t>
  </si>
  <si>
    <t>Смета № 6-из</t>
  </si>
  <si>
    <t>Смета №5-из</t>
  </si>
  <si>
    <t>должность, подпись (инициалы, фамилия)</t>
  </si>
  <si>
    <t>Проверил</t>
  </si>
  <si>
    <t>Составил</t>
  </si>
  <si>
    <t>Всего по разделу III</t>
  </si>
  <si>
    <t>Итого по разделу III</t>
  </si>
  <si>
    <t xml:space="preserve">Результат работ </t>
  </si>
  <si>
    <t>Составление технического отчета по результатам выполнения работ по ИГДИ при общей стоимости полевых и камеральных работ, определенной по показателям затрат, приведенным в НЗ, тысяч рублей:</t>
  </si>
  <si>
    <t>Составление и оформление программы инженерно-геодезических изысканий в соответствии с требованиями документов по стандартизации.</t>
  </si>
  <si>
    <t>Составление программы инженерно-геодезических изысканий при общей стоимости полевых и камеральных работ, определенной по показателям затрат, приведенным в НЗ, тысяч рублей:</t>
  </si>
  <si>
    <t xml:space="preserve">Местоположение базы г.Нальчик.
Расстояние до места изысканий (поляна Авау) 139 км. </t>
  </si>
  <si>
    <t xml:space="preserve">Показатель дополнительных затрат на организацию полевых работ (ПД3орг)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до 200 километров включительно. </t>
  </si>
  <si>
    <t xml:space="preserve">Значения показателя дополнительных затрат на внешний транспорт (ПДЗвнеш), применяемые при использовании для ежедневного проезда работников и перевозки технических средств для полевых работ от места базирования до участка проведения полевых работ до начала рабочего времени и обратно на место базирования после завершения рабочего времени транспортных средств автомобильного транспорта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до 200 километров включительно. </t>
  </si>
  <si>
    <t>III. Дополнительные и специальные работы</t>
  </si>
  <si>
    <t>Всего по разделу II</t>
  </si>
  <si>
    <t>Итого по разделу II</t>
  </si>
  <si>
    <t>A * Количество * Ктек
21451 руб. * 4 * 1.25</t>
  </si>
  <si>
    <t>НЗ 11.16_0-11-82-1 Таблица 82 п.1
A = 21451 руб.;
Количество = 4 (1 собственник (эксплуатирующая организация));</t>
  </si>
  <si>
    <t xml:space="preserve">Согласование нанесения на инженерно-топографический план подземных инженерных коммуникаций и их технических характеристик с собственниками (эксплуатирующими организациями): известными. </t>
  </si>
  <si>
    <t>Процесс поиска и обследования линейных сетей (трубопроводов, кабельных линий, коллекторов) с целью их отображения на плане</t>
  </si>
  <si>
    <t>Графическое изображение территории в виде карты, на которой указаны границы участков, объекты инфраструктуры, рельеф, коммуникации и другая информация: Рельеф местности; Границы участка и соседних земель; Естественные объекты; Инженерные коммуникации; Существующие здания, сооружения и инфраструктуру; Земельные участки; Планируемые объекты и строения</t>
  </si>
  <si>
    <t>A * Количество * Ктек
1714 руб. * 4 * 1.25</t>
  </si>
  <si>
    <t>НЗ 11.16_0-3-16-1 Таблица 16 п.1
A = 1714 руб.;
Количество = 4 (1 пункт);</t>
  </si>
  <si>
    <t>Камеральная обработка результатов измерений, выполненных при создании пунктов плановой опорной геодезической сети 4-го класса, 1-го и 2-го разрядов</t>
  </si>
  <si>
    <t>II. Камеральные работы</t>
  </si>
  <si>
    <t>Всего по разделу I</t>
  </si>
  <si>
    <t>Итого по разделу I</t>
  </si>
  <si>
    <t xml:space="preserve">Привязка инженерно-геологических выработок, геофизических гидрогеологических точек наблюдения: при расстоянии между точками от 50 (пятидесяти) до 100 (ста) метров включительно, в условиях выполнения полевых работ . Категория II. </t>
  </si>
  <si>
    <t xml:space="preserve">Поиск местоположения трассы подземной инженерной коммуникации. Съёмка оси трассы подземной инженерной коммуникации. Планово-высотная привязка выходов подземных инженерных коммуникаций на поверхность земли. Определение глубины залегания. Закрепление оси трасс в местах пересечения существующих инженерных сетей с проектируемой. </t>
  </si>
  <si>
    <t xml:space="preserve">Поиск и съемка подземных инженерных коммуникаций при помощи трубокабелеискателя при количестве точек подземных инженерных коммуникаций на 1 гектар снимаемого участка: до 6 включительно. </t>
  </si>
  <si>
    <t>A * Количество * Ктек
26188 руб. * 4 * 1.25</t>
  </si>
  <si>
    <t>НЗ 11.16_0-3-12-4 Таблица 12 п.4
A = 26188 руб.;
Количество = 4 (1 пункт);</t>
  </si>
  <si>
    <t xml:space="preserve">Закладка центров (реперов) пунктов опорной геодезической сети с применением буровых установок: глубиной до 2 метров включительно. Категория II. </t>
  </si>
  <si>
    <t>К3 = 0.5
Прим. к табл.7, п.1 (Ценообразующий)</t>
  </si>
  <si>
    <t xml:space="preserve">(К3) Стоимость полевых работ по созданию пунктов плановой опорной геодезической сети без закладки центров методом спутниковых геодезических определений, совмещенных с пунктами высотной опорной сети IV класса, созданных без закладки центров методом спутниковых геодезических определений, рассчитывается суммированием соответствующих показателей затрат на работы по созданию пунктов плановой опорной геодезической сети, приведенных в таблице 7 НЗ, и показателей затрат, умноженных на корректирующий коэффициент </t>
  </si>
  <si>
    <t>I. Полевые работы</t>
  </si>
  <si>
    <t>Сметная стоимость в уровне цен, сложившемся на день составления сметной документации, руб.</t>
  </si>
  <si>
    <t>(наименование объекта капитального строительства)</t>
  </si>
  <si>
    <t>(наименование вида инженерных изысканий)</t>
  </si>
  <si>
    <t>СМЕТА №1-из</t>
  </si>
  <si>
    <t xml:space="preserve">форма №2П, 1/пр
</t>
  </si>
  <si>
    <t>Итого расходы на специальные виды исследований без НДС</t>
  </si>
  <si>
    <t>1 Га</t>
  </si>
  <si>
    <t xml:space="preserve">Проведение натурного обследования участка </t>
  </si>
  <si>
    <t>Специальные исследования</t>
  </si>
  <si>
    <t>бенз(а)пирен</t>
  </si>
  <si>
    <t>оксид углерода</t>
  </si>
  <si>
    <t>оксид азота</t>
  </si>
  <si>
    <t>диоксид азота</t>
  </si>
  <si>
    <t>диоксид серы</t>
  </si>
  <si>
    <t>взвешенные вещества</t>
  </si>
  <si>
    <t>1 шт.</t>
  </si>
  <si>
    <t>Сборник цен на гидрометеорологическую продукцию и информацию о состоянии окружающей среды, её загрязнении 2026 Северо-Кавказское УМГС  п.п 8.16</t>
  </si>
  <si>
    <t xml:space="preserve">1 шт. </t>
  </si>
  <si>
    <t>Получение ИРД</t>
  </si>
  <si>
    <t>№ 6</t>
  </si>
  <si>
    <t>1 точка</t>
  </si>
  <si>
    <t xml:space="preserve">Эквивалентный уровень звука, 1 точка измерения, ночной период суток </t>
  </si>
  <si>
    <t>№ 5</t>
  </si>
  <si>
    <t xml:space="preserve">Эквивалентный уровень звука, 1 точка измерения, дневной период суток </t>
  </si>
  <si>
    <t>Определение акустического режима территории</t>
  </si>
  <si>
    <t>№ 49</t>
  </si>
  <si>
    <t>1 образец</t>
  </si>
  <si>
    <t>Колифаги</t>
  </si>
  <si>
    <t>№ 50</t>
  </si>
  <si>
    <t>Общие колиформные бактерии</t>
  </si>
  <si>
    <t>№ 53</t>
  </si>
  <si>
    <t>Термотолерантные колиформные бактерии</t>
  </si>
  <si>
    <t>№ 58</t>
  </si>
  <si>
    <t xml:space="preserve">Жизнеспособные цисты патогенных кишечных простейших </t>
  </si>
  <si>
    <t>№ 60</t>
  </si>
  <si>
    <t>Жизнеспособные яйца гельминтозов</t>
  </si>
  <si>
    <t>По прейскуранту № 48</t>
  </si>
  <si>
    <t>Возбудители кишечных инфекций</t>
  </si>
  <si>
    <t>Санитарно-микробиологические и паразитологические показатели:</t>
  </si>
  <si>
    <t>Прейскурант стоимости услуг испытательной лаборатории ООО "Лаб24" от 7.04.2026</t>
  </si>
  <si>
    <t xml:space="preserve">Производство специальных видов анализов и исследований проб почво-грунтов, донных отложений, поверхностных и подземных вод, 
снега и льда, выполняемых специализированными лабораториями, имеющими лицензию на проведение таких работ (бактериологический анализ, полные испытания заполнителей в бетоне, радиохимия изотопов и т.д.). Стоимость работы приведена в соответствии с прейскурантом.
Страница 11, п. 12 справочника базовых цен на инженерно-геологические и инженерно-экологические изыскания / Госстрой России. - М. ПНИИИС Госстроя России, 1999 г. </t>
  </si>
  <si>
    <t xml:space="preserve">Всего по смете в ценах на на II квартал 2026 г. Письмо Минстроя России от 08.04.2026 № 20212-ИФ/09  индекс - 80,58
</t>
  </si>
  <si>
    <t>Итого, в ценах 1991 г.</t>
  </si>
  <si>
    <t>Итого прочие расходы</t>
  </si>
  <si>
    <t>Общие указания СБЦ, пункт 13</t>
  </si>
  <si>
    <t>%</t>
  </si>
  <si>
    <t xml:space="preserve">Организация и ликвидация работ </t>
  </si>
  <si>
    <t xml:space="preserve">Табл. 5, § 2   </t>
  </si>
  <si>
    <t>Итого стоимость камеральных работ и составление отчета</t>
  </si>
  <si>
    <t xml:space="preserve">отчет </t>
  </si>
  <si>
    <t>Итого стоимость камеральных работ</t>
  </si>
  <si>
    <t>Табл. 91, § 1</t>
  </si>
  <si>
    <t>20 точек</t>
  </si>
  <si>
    <t xml:space="preserve">Измерение потока радона на участке </t>
  </si>
  <si>
    <t>Табл. 86, § 6</t>
  </si>
  <si>
    <t>Камеральная обработка химических анализов  почв, грунтов, воды и донных отложений на загрязненность</t>
  </si>
  <si>
    <t>Табл. 11, § 2, прим.1</t>
  </si>
  <si>
    <t>Описание точек наблюдений при составлении инженерно-экологических карт. Категория сложности-II. (ПКОЛ)</t>
  </si>
  <si>
    <t>Табл. 10, § 4, прим.</t>
  </si>
  <si>
    <t>1 км маршрута</t>
  </si>
  <si>
    <t xml:space="preserve">Маршрутные наблюдения, выполняемые при составлении инженерно-экологических карт в масштабе: 1:2000-1:1000. Определение мощности эквивалентной дозы гамма-излучения </t>
  </si>
  <si>
    <t>Табл. 9, § 2, прим. 1</t>
  </si>
  <si>
    <t>Инженерно-экологическая рекогносцировка 
(район II категории сложности инженерно-геологических условий)</t>
  </si>
  <si>
    <t>ИТОГО ЛАБОРАТОРНЫХ РАБОТ</t>
  </si>
  <si>
    <t>Итого лабораторных исследований по определению химического состава подземных вод</t>
  </si>
  <si>
    <t>Гл. 18, табл. 72, § 46</t>
  </si>
  <si>
    <t>Радионуклиды (Альфа- и Бета-активность)</t>
  </si>
  <si>
    <t>Гл. 18, табл. 72, § 72</t>
  </si>
  <si>
    <t>Хлориды</t>
  </si>
  <si>
    <t>Гл. 18, табл. 72, § 55</t>
  </si>
  <si>
    <t>Сульфаты</t>
  </si>
  <si>
    <t>Гл. 18, табл. 72, § 51</t>
  </si>
  <si>
    <t>Сероводород</t>
  </si>
  <si>
    <t>Гл. 18, табл. 72, § 35</t>
  </si>
  <si>
    <t>Мышьяк</t>
  </si>
  <si>
    <t>Гл. 18, табл. 72, § 40</t>
  </si>
  <si>
    <t>Никель</t>
  </si>
  <si>
    <t>Гл. 18, табл. 72, § 75</t>
  </si>
  <si>
    <t>Цинк</t>
  </si>
  <si>
    <t>Гл. 18, табл. 72, § 15</t>
  </si>
  <si>
    <t>Кадмий</t>
  </si>
  <si>
    <t>Гл. 18, табл. 72, § 48</t>
  </si>
  <si>
    <t xml:space="preserve">Ртуть </t>
  </si>
  <si>
    <t>Гл. 18, табл. 72, § 49</t>
  </si>
  <si>
    <t xml:space="preserve">Свинец </t>
  </si>
  <si>
    <t>Гл. 18, табл. 72, § 33</t>
  </si>
  <si>
    <t xml:space="preserve">Медь </t>
  </si>
  <si>
    <t>Гл. 18, табл. 72, § 31</t>
  </si>
  <si>
    <t>Марганец</t>
  </si>
  <si>
    <t>Гл. 18, табл. 72, § 8</t>
  </si>
  <si>
    <t xml:space="preserve">Железо </t>
  </si>
  <si>
    <t>Гл. 18, табл. 72, § 66</t>
  </si>
  <si>
    <t>Фенолы</t>
  </si>
  <si>
    <t>Гл. 18, табл. 72, § 38</t>
  </si>
  <si>
    <t>Нефтепродукты</t>
  </si>
  <si>
    <t>Гл. 18, табл. 72, § 85</t>
  </si>
  <si>
    <t>СПАВ</t>
  </si>
  <si>
    <t>Гл. 18, табл. 72, § 67</t>
  </si>
  <si>
    <t>Фосфатный фосфор</t>
  </si>
  <si>
    <t>Гл. 18, табл. 72, § 42</t>
  </si>
  <si>
    <t>Нитриты</t>
  </si>
  <si>
    <t>Гл. 18, табл. 72, § 41</t>
  </si>
  <si>
    <t>Нитраты</t>
  </si>
  <si>
    <t>Гл. 18, табл. 72, § 2</t>
  </si>
  <si>
    <t>Аммонийный азот</t>
  </si>
  <si>
    <t>Гл. 18, табл. 72, § 43</t>
  </si>
  <si>
    <t>Перманганатная окисляемость</t>
  </si>
  <si>
    <t>Гл. 18, табл. 72, § 79</t>
  </si>
  <si>
    <t>Химическое потребление кислорода ХПК</t>
  </si>
  <si>
    <t>Гл. 18, табл. 72, § 78</t>
  </si>
  <si>
    <r>
      <t>Биологическое потребление кислорода БПК</t>
    </r>
    <r>
      <rPr>
        <sz val="10"/>
        <rFont val="Times New Roman"/>
        <family val="1"/>
        <charset val="204"/>
      </rPr>
      <t>5</t>
    </r>
  </si>
  <si>
    <t>Гл. 18, табл. 72, § 12</t>
  </si>
  <si>
    <t>Общая жесткость</t>
  </si>
  <si>
    <t>Гл. 18, табл. 72, § 56</t>
  </si>
  <si>
    <t>Сухой остаток (минерализация)</t>
  </si>
  <si>
    <t>Гл. 18, табл. 72, § 25</t>
  </si>
  <si>
    <t>Концентрация водородных ионов - рН</t>
  </si>
  <si>
    <t>Гл. 18, табл. 72, § 90</t>
  </si>
  <si>
    <t>Мутность</t>
  </si>
  <si>
    <t>Гл. 18, табл. 72, § 84</t>
  </si>
  <si>
    <t xml:space="preserve">Цветность </t>
  </si>
  <si>
    <t>Гл. 18, табл. 72, § 82</t>
  </si>
  <si>
    <t>Гл. 18, табл. 72, § 81</t>
  </si>
  <si>
    <t xml:space="preserve">Итого лабораторных исследований по определению химического состава почв </t>
  </si>
  <si>
    <t>Гл. 18, табл. 70, § 69</t>
  </si>
  <si>
    <t>Радионуклиды (40 К, 226 Ra, 232Th, 137Cs)</t>
  </si>
  <si>
    <t>Гл. 18, табл. 70, § 79</t>
  </si>
  <si>
    <t>Гранулометрический состав
 (сумма фракций менее 0,001 мм; сумма фракций более 3 мм)</t>
  </si>
  <si>
    <t>Гл. 18, табл. 70, § 29</t>
  </si>
  <si>
    <t xml:space="preserve"> Натрий (Na)</t>
  </si>
  <si>
    <t>Гл. 18, табл. 70, § 15</t>
  </si>
  <si>
    <t>АI подвижный</t>
  </si>
  <si>
    <t>Гл. 18, табл. 70, § 50</t>
  </si>
  <si>
    <t>Сумма токсичных солей в водной вытяжке</t>
  </si>
  <si>
    <t>Гл. 18, табл. 70, § 7</t>
  </si>
  <si>
    <t>Гл. 18, табл. 70, § 22</t>
  </si>
  <si>
    <t>Гумус (ограническое вещество)</t>
  </si>
  <si>
    <t>Исследование почво-грунтов для оценки целесообразности или нецелесообразности снятия плодородного и потенциально плодородного слоя в почв</t>
  </si>
  <si>
    <t>Гл. 18, табл. 70, § 57</t>
  </si>
  <si>
    <t>Гл. 18, табл. 70,  § 57</t>
  </si>
  <si>
    <t>Гл. 18, табл. 70,  § 14</t>
  </si>
  <si>
    <t>pH солевой вытяжки</t>
  </si>
  <si>
    <t>pH водной вытяжки</t>
  </si>
  <si>
    <t>Гл. 18, табл. 70, § 63</t>
  </si>
  <si>
    <t>Нефтяные углеводороды</t>
  </si>
  <si>
    <t>Гл. 18, табл. 70, § 66</t>
  </si>
  <si>
    <t>Бенз(а)пирен</t>
  </si>
  <si>
    <t>Гл. 18, табл. 70, § 84</t>
  </si>
  <si>
    <t>ИТОГО ПОЛЕВЫХ и ПРЕДПОЛЕВЫХ РАБОТ</t>
  </si>
  <si>
    <t>Итого полевых работ на участке</t>
  </si>
  <si>
    <t>Оценка радиационной обстановки</t>
  </si>
  <si>
    <t xml:space="preserve">Табл. 60, § 2 </t>
  </si>
  <si>
    <t>проба</t>
  </si>
  <si>
    <t>Отбор точечных проб подземных  воды с глубины более 0,5 м</t>
  </si>
  <si>
    <t>Отбор подземных вод</t>
  </si>
  <si>
    <t xml:space="preserve">Табл. 60, § 10 прим. 4 </t>
  </si>
  <si>
    <t>На гельминтологический анализ</t>
  </si>
  <si>
    <t xml:space="preserve">Табл. 60, § 10 </t>
  </si>
  <si>
    <t>На бактериологический анализ</t>
  </si>
  <si>
    <t xml:space="preserve">Табл. 60, § 10 прим. 2 </t>
  </si>
  <si>
    <t>На радиоактивное загрязнение</t>
  </si>
  <si>
    <t xml:space="preserve">Табл. 60, § 10  </t>
  </si>
  <si>
    <t>На агрохимические показатели</t>
  </si>
  <si>
    <t>Табл. 60, § 7 прим. 1</t>
  </si>
  <si>
    <t>Отбор точечных проб для анализа на загрязненность по химическим показателям</t>
  </si>
  <si>
    <t>2. Полевые работы</t>
  </si>
  <si>
    <t>ИТОГО предполевые камеральные работы</t>
  </si>
  <si>
    <t xml:space="preserve"> Табл. 81, § 2, прим.1</t>
  </si>
  <si>
    <t>1 программа</t>
  </si>
  <si>
    <t>Составление программы производства работ 
(район II категории сложности инженерно-геологических условий)</t>
  </si>
  <si>
    <t>1. Предполевые камеральные работы</t>
  </si>
  <si>
    <t xml:space="preserve">Расчёт стоимости ПИР 
</t>
  </si>
  <si>
    <t>Коэфф</t>
  </si>
  <si>
    <t>Цена, руб.</t>
  </si>
  <si>
    <t xml:space="preserve">Расчет стоимости </t>
  </si>
  <si>
    <t>Номер частей, глав, таблиц, процентов, параграфов и пунктов указаний к разделу СБЦ на ПИР для строительства</t>
  </si>
  <si>
    <t xml:space="preserve">Ед. изм. </t>
  </si>
  <si>
    <t>Форма 2П</t>
  </si>
  <si>
    <t xml:space="preserve">Сметный расчет составлен по следующим документам: СБЦ на инженерно-геологические и инженерно-экологические изыскания для строительства 1999г.
</t>
  </si>
  <si>
    <t>Наименование организации заказчика: АО "КАВКАЗ.РФ"</t>
  </si>
  <si>
    <t>Наименование проектной (изыскательской) организации:</t>
  </si>
  <si>
    <t>Наименование вида инженерных изысканий: Инженерно-экологические изыскания (ИЭИ)</t>
  </si>
  <si>
    <t>на инженерно-экологические изыскания</t>
  </si>
  <si>
    <t>СМЕТА  № 6-из</t>
  </si>
  <si>
    <t>Коэф-т 7.07 от п.6</t>
  </si>
  <si>
    <t>Индекс на II квартал 2026 года на изыскательские работы к уровню цен на 01.01.2001</t>
  </si>
  <si>
    <t>Всего по смете в ценах на 01.01.2001 г.</t>
  </si>
  <si>
    <t>СБЦ на инж.из. для стр-ва "Инженерно-геодезические изыскания при строительстве и эксплуатации зданий и сооружений" (ОУ п. 10 Таблица 5)</t>
  </si>
  <si>
    <t>Расходы по внешнему транспорту. Расстояние проезда и перевозки в одном направлении св.100 до 300 км. Продолжительность экспедиции до 1 мес</t>
  </si>
  <si>
    <t>СБЦ на инж.из. для стр-ва "Инженерно-геодезические изыскания при строительстве и эксплуатации зданий и сооружений" (ОУ п. 9 Таблица 4)</t>
  </si>
  <si>
    <t>СБЦ на инж.из. для стр-ва "Инженерно-геодезические изыскания при строительстве и эксплуатации зданий и сооружений" (ОУ п.8а Таблица 1)</t>
  </si>
  <si>
    <t>K2 = 0.5
Раздел 3 п.3.1.2 (Ценообразующий)</t>
  </si>
  <si>
    <t xml:space="preserve">Стоимость камеральных работ определяется с коэффициентом </t>
  </si>
  <si>
    <t>K1 = 1.35
Прим. к табл.1 п.4 (Ценообразующий)</t>
  </si>
  <si>
    <t xml:space="preserve">При регистрации результатов работы по очистке местности от взрывоопасных предметов в геоинформационных системах уполномоченных органов с привязкой к GPS-системам применяется коэффициент, учитывающий применение специализированного оборудования и программного обеспечения и увеличение трудоемкости работ </t>
  </si>
  <si>
    <t xml:space="preserve">K2 = 2.5
Прим. к табл.2 п.3.1 (Усложняющий) </t>
  </si>
  <si>
    <t xml:space="preserve">При глубине разведки до 2,0 м применяется коэффициент </t>
  </si>
  <si>
    <t xml:space="preserve">K1 = 1.1
Прим. к табл.2 п.3.2 (Усложняющий) </t>
  </si>
  <si>
    <t xml:space="preserve">При пересеченной местности применяется коэффициент </t>
  </si>
  <si>
    <t>Стоимость полевых работ при разведке территории и разминировании ручным способом (с применением металлодетекторов): Уровень минной опасности-Низкий; Уровень засоренности местности ферромагнитными предметами-Низкий</t>
  </si>
  <si>
    <t>Сметный расчет составлен по следующим документам: Методика определения стоимости работ по очистке местности от взрывоопасных предметов в сфере градостроительной деятельности. 2010 г.</t>
  </si>
  <si>
    <t>Обследование территории на наличие взрывоопасных предметов</t>
  </si>
  <si>
    <t xml:space="preserve"> </t>
  </si>
  <si>
    <t>Ед. изм.</t>
  </si>
  <si>
    <t>Сумма</t>
  </si>
  <si>
    <t>Ктек = 1.25
Письмо Минстроя России от 08.04.2026 №20212-ИФ/09</t>
  </si>
  <si>
    <t xml:space="preserve">инд.2кв.2026г.к 01.01.2024 на инж.из. </t>
  </si>
  <si>
    <t>Всего по разделу IV</t>
  </si>
  <si>
    <t>Итого по разделу IV</t>
  </si>
  <si>
    <t>один отчет</t>
  </si>
  <si>
    <t>Составление технического отчета по результатам выполнения работ по ИГИ при общей стоимости камеральных работ в уровне цен по состоянию на 1 января 2024 г. (без учета дополнительных затрат), определенной по показателям затрат, приведенным в НЗ, в условиях инженерно-геологических условий категории сложности III, тысяч рублей:</t>
  </si>
  <si>
    <t>К22 = 1.4
Прим. к табл.66, п.2 (Ценообразующий)</t>
  </si>
  <si>
    <t xml:space="preserve">(К22) Стоимость камеральных работ по составлению программы инженерно-геологических изысканий для инженерно-геологических условий категорий сложности III определяется по показателям затрат (ПЗдоп) с применением корректирующего коэффициента </t>
  </si>
  <si>
    <t>одна программа</t>
  </si>
  <si>
    <t>Программа и отчет</t>
  </si>
  <si>
    <t>IV. Дополнительные и специальные работы</t>
  </si>
  <si>
    <t>один образец</t>
  </si>
  <si>
    <t>Камеральная обработка результатов лабораторных исследований физических свойств, химического состава и агрессивности водной вытяжки из грунтов и удельного электрического сопротивления и средней плотности катодного тока грунта</t>
  </si>
  <si>
    <t>10</t>
  </si>
  <si>
    <t xml:space="preserve">Камеральная обработка результатов лабораторных определений физических свойств грунтов: скальных и полускальных. </t>
  </si>
  <si>
    <t>A * Количество * Ктек
320 руб. * 20 * 1.25</t>
  </si>
  <si>
    <t>20</t>
  </si>
  <si>
    <t xml:space="preserve">Камеральная обработка результатов лабораторных определений физических свойств грунтов: песчаных. </t>
  </si>
  <si>
    <t>одна закопушка</t>
  </si>
  <si>
    <t>Камеральная обработка результатов полевых работ по проходке следующих инженерно-геологических выработок: закопушек</t>
  </si>
  <si>
    <t>погонный метр</t>
  </si>
  <si>
    <t xml:space="preserve">Камеральная обработка результатов полевых работ по проходке следующих инженерно-геологических выработок инженерно-геологических скважин в условиях категории сложности инженерно-геологических условий: III. </t>
  </si>
  <si>
    <t>III. Камеральные работы</t>
  </si>
  <si>
    <t>одно определение</t>
  </si>
  <si>
    <t>Определение удельного электрического сопротивления и средней плотности катодного тока грунта</t>
  </si>
  <si>
    <t>2.17</t>
  </si>
  <si>
    <t>Определения предела прочности скального и полускального грунта при одноосном сжатии образца правильной формы плоскими плитами в природном состоянии</t>
  </si>
  <si>
    <t>2.16</t>
  </si>
  <si>
    <t>Лабораторные определения физических свойств глинистых грунтов. Растворимость скальных грунтов в воде</t>
  </si>
  <si>
    <t>2.15</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</si>
  <si>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плотности частиц грунта пикнометрическим методом</t>
  </si>
  <si>
    <t>2.14</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</si>
  <si>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плотности грунта методом взвешивания в воде</t>
  </si>
  <si>
    <t>2.13</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</si>
  <si>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влажности грунта методом высушивания до постоянной массы</t>
  </si>
  <si>
    <t>2.12</t>
  </si>
  <si>
    <t>A * Количество * Ктек
141 руб. * 10 * 1.25</t>
  </si>
  <si>
    <t>один образец грунта</t>
  </si>
  <si>
    <t>Описание образца грунта при проведении лабораторных определений физических свойств</t>
  </si>
  <si>
    <t>A * Количество * Ктек
335 руб. * 10 * 1.25</t>
  </si>
  <si>
    <t>Отбор проб из образца грунта для определения физических свойств</t>
  </si>
  <si>
    <t>A * Количество * Ктек
459 руб. * 10 * 1.25</t>
  </si>
  <si>
    <t>Приемка, регистрация, консервация образца грунта с отбором части для хранения в архиве</t>
  </si>
  <si>
    <t>Скальные грунты</t>
  </si>
  <si>
    <t>A * Количество * Ктек
13689 руб. * 10 * 1.25</t>
  </si>
  <si>
    <t>Лабораторные определения физических свойств песчаных и крупнообломочных грунтов. Определение истираемости крупнообломочных грунтов (включений)</t>
  </si>
  <si>
    <t>A * Количество * Ктек
1835 руб. * 20 * 1.25</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</si>
  <si>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гранулометрического (зернового) состава грунта ситовым методом с промывкой водой с разделением грунта на фракции размерами: свыше 10 миллиметров, от 5 до 10 миллиметров, от 2 до 5 миллиметров, от 1 до 2 миллиметров, от 0,5 до 1 миллиметра, от 0,25 до 0,5 миллиметра, от 0,1 до 0,25 миллиметра и до 0,1 миллиметра</t>
  </si>
  <si>
    <t>A * Количество * Ктек
600 руб. * 20 * 1.25</t>
  </si>
  <si>
    <t>A * Количество * Ктек
512 руб. * 20 * 1.25</t>
  </si>
  <si>
    <t>Лабораторные определения физических свойств песчаных и крупнообломочных грунтов. Определение плотности песчаного грунта методом режущего кольца</t>
  </si>
  <si>
    <t>A * Количество * Ктек
229 руб. * 20 * 1.25</t>
  </si>
  <si>
    <t>A * Количество * Ктек
141 руб. * 20 * 1.25</t>
  </si>
  <si>
    <t>A * Количество * Ктек
335 руб. * 20 * 1.25</t>
  </si>
  <si>
    <t>A * Количество * Ктек
459 руб. * 20 * 1.25</t>
  </si>
  <si>
    <t>Песчаные и крупнообломочные грунты</t>
  </si>
  <si>
    <t>II. Лабораторные работы</t>
  </si>
  <si>
    <t xml:space="preserve">Проходка закопушек в условиях производства полевых работ категории: III в грунтах категории. IV - V. </t>
  </si>
  <si>
    <t>40</t>
  </si>
  <si>
    <t>Крепление инженерно-геологических скважин обсадными трубами</t>
  </si>
  <si>
    <t>27</t>
  </si>
  <si>
    <t>Проходка инженерно-геологических скважин колонковым способом бурения: диаметром от 76 (семидесяти шести) до 122 (ста двадцати двух) миллиметров включительно при глубине скважины до 25 (двадцати пяти) метров включительно в грунтах категории IX</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</si>
  <si>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до 15 (пятнадцати) метров включительно. в грунтах категории VIII. </t>
  </si>
  <si>
    <t>Ед.изм.</t>
  </si>
  <si>
    <t>Сметный расчет составлен по следующим документам: НЗ №281/пр. Работы по инженерно-геологическим изысканиям (ИГИ). 2025 г.</t>
  </si>
  <si>
    <t>Инженерно-геологические изыскания</t>
  </si>
  <si>
    <t>СМЕТА №2-из</t>
  </si>
  <si>
    <t>отчет</t>
  </si>
  <si>
    <t>Составление технического отчета по результатам инженерно-геофизических исследований</t>
  </si>
  <si>
    <t>программа</t>
  </si>
  <si>
    <t>Составление программы инженерно-геофизических исследований при общей стоимости полевых и камеральных работ</t>
  </si>
  <si>
    <t>Сметный расчет составлен по следующим документам: НЗ №282/пр. Работы по инженерно-геофизическим исследованиям (ИГФИ). 2025 г.</t>
  </si>
  <si>
    <t>Инженерно-геофизические исследования</t>
  </si>
  <si>
    <t>СМЕТА №3-из</t>
  </si>
  <si>
    <t>Период от даты определения НМЦК до даты окончания работ, мес.</t>
  </si>
  <si>
    <t>Продолжительность работ в соответствии с Графиком</t>
  </si>
  <si>
    <t>«Всесезонный туристско-рекреационный комплекс «Эльбрус», Кабардино-Балкарская Республика. Пассажирская подвесная канатная дорога. Буксировочная канатная дорога» расположенного по адресу: Южный склон г. Эльбрус в районе ледника Гарабаши</t>
  </si>
  <si>
    <t>Налог на добавленную стоимость - 22 %.</t>
  </si>
  <si>
    <r>
      <t xml:space="preserve">Фактическое 
время участия исполнителя в работе, </t>
    </r>
    <r>
      <rPr>
        <b/>
        <sz val="11"/>
        <color rgb="FFFF0000"/>
        <rFont val="Times New Roman"/>
        <family val="1"/>
        <charset val="204"/>
      </rPr>
      <t>Тфi</t>
    </r>
    <r>
      <rPr>
        <sz val="11"/>
        <color rgb="FFFF0000"/>
        <rFont val="Times New Roman"/>
        <family val="1"/>
        <charset val="204"/>
      </rPr>
      <t xml:space="preserve">
(дни)
</t>
    </r>
  </si>
  <si>
    <r>
      <t xml:space="preserve">Плановая продолжительность 
выполнения проектных работ, предусмотренных 
калькуляцией, </t>
    </r>
    <r>
      <rPr>
        <b/>
        <sz val="11"/>
        <color rgb="FFFF0000"/>
        <rFont val="Times New Roman"/>
        <family val="1"/>
        <charset val="204"/>
      </rPr>
      <t>Тп</t>
    </r>
    <r>
      <rPr>
        <sz val="11"/>
        <color rgb="FFFF0000"/>
        <rFont val="Times New Roman"/>
        <family val="1"/>
        <charset val="204"/>
      </rPr>
      <t xml:space="preserve"> (дни)</t>
    </r>
  </si>
  <si>
    <r>
      <t xml:space="preserve">Численность исполнителей 
одной квалификации 
</t>
    </r>
    <r>
      <rPr>
        <b/>
        <sz val="11"/>
        <color rgb="FFFF0000"/>
        <rFont val="Times New Roman"/>
        <family val="1"/>
        <charset val="204"/>
      </rPr>
      <t xml:space="preserve">Чi </t>
    </r>
    <r>
      <rPr>
        <sz val="11"/>
        <color rgb="FFFF0000"/>
        <rFont val="Times New Roman"/>
        <family val="1"/>
        <charset val="204"/>
      </rPr>
      <t xml:space="preserve">(чел)
</t>
    </r>
  </si>
  <si>
    <r>
      <t xml:space="preserve">Индекс 
уровня квалификации 
специалистов 
исполнителей 
работы </t>
    </r>
    <r>
      <rPr>
        <b/>
        <sz val="11"/>
        <color rgb="FFFF0000"/>
        <rFont val="Times New Roman"/>
        <family val="1"/>
        <charset val="204"/>
      </rPr>
      <t>Иi</t>
    </r>
    <r>
      <rPr>
        <sz val="11"/>
        <color rgb="FFFF0000"/>
        <rFont val="Times New Roman"/>
        <family val="1"/>
        <charset val="204"/>
      </rPr>
      <t xml:space="preserve">
</t>
    </r>
  </si>
  <si>
    <t>- Налог на добавленную стоимость - 22 %.</t>
  </si>
  <si>
    <t>Для определения цены проектных работ принят  проектно-сметный метод с  использованием в расчетах нормативных документов, включенных в Федеральный реестр сметных нормативов, подлежащих применению при определении сметной стоимости объектов капитального строительства,  строительство которых финансируется с привлечением средств федерального бюджета: нормативов затрат на работы по подготовке проектной документации,  справочников базовых цен  на проектные работы в строительстве, Методики определения стоимости работ
по подготовке проектной документации, утвержденной приказом Минстрой РФ от 01.10.2021 № 707/пр, Методических указаний по применению справочников базовых цен на проектные работы в строительстве, утвержденных приказом Минрегионразвития РФ от 29.12. 2009 № 620.</t>
  </si>
  <si>
    <t>Коэф-т 0.25 от п.1.4</t>
  </si>
  <si>
    <t>Надбавки за выполнение изысканий в горных и высокогорных районах. Горный и высокогорный район с абсолютными высотами поверхности участка над уровнем моря св. 3000 м</t>
  </si>
  <si>
    <t>на инженерно-гидрометеорологические изыскания</t>
  </si>
  <si>
    <t>Приложение № 7</t>
  </si>
  <si>
    <t xml:space="preserve">Утверждено приказом Минстроя РФ № 707/пр от 01 октября 2021 г c учетом изменений по приказу № 409/пр от 08.06.2023 года </t>
  </si>
  <si>
    <t>СМЕТА № 1-ПД</t>
  </si>
  <si>
    <t>на проектные работы</t>
  </si>
  <si>
    <t>«Всесезонный туристско-рекреационный комплекс «Эльбрус», Кабардино-Балкарская Республика. Пассажирская подвесная канатная дорога. Буксировочная канатная дорога» расположенного по адресу: Южный склон г. Эльбрус в районе ледника Гарабаши, Проектные работы стадии "Проектная документация"</t>
  </si>
  <si>
    <t>(наименование стройки)</t>
  </si>
  <si>
    <t>(наименование организации)</t>
  </si>
  <si>
    <t>Проектная организация</t>
  </si>
  <si>
    <t>Составлена в уровне цен на базовые цены c пересчетом на II квартал 2026 г.</t>
  </si>
  <si>
    <t>Наименование
объекта проектирования или вида проектных работ</t>
  </si>
  <si>
    <t>Сметная стоимость, руб.</t>
  </si>
  <si>
    <t>Раздел 1. Канатные дороги</t>
  </si>
  <si>
    <t>Пассажирская подвесная канатная дорога с 2-местными креслами</t>
  </si>
  <si>
    <t>Пропускная способность 1028 чел/час, длина дороги по горизонтали 660 м, скорость движения 2 м/с, вместимость 2 чел</t>
  </si>
  <si>
    <t>Канатная дорога в составе горнолыжного комплекса, от 1500 до 4500 м включительно
(разделы: ПЗУ, КР, ИОС), 660 (м)</t>
  </si>
  <si>
    <t>НЗ "Объекты жилищно-гражданского назначения" табл. 3.7 п.8-2 (НЗ_ОЖГС-3.7-8-2)</t>
  </si>
  <si>
    <t xml:space="preserve">((2265000+1168*(0.4*1500+0.6*0.5*1500))*0,88)*(1+(0,3+0,15+0,15+0,15))*0,4*1,68*0,76
</t>
  </si>
  <si>
    <t>Понижающий коэффициент (660/(0.5*1500)) Кпониж = 0,88</t>
  </si>
  <si>
    <t>(Приказ от 01.10.2021 № 707/пр, № 409/пр от 08.06.2023 г. Прил.5 табл.5.1 п.2.3) Сейсмичность 9 баллов и более К1 = 1,3</t>
  </si>
  <si>
    <t>(Приказ от 01.10.2021 № 707/пр, № 409/пр от 08.06.2023 г. Прил.5 табл.5.1 п.1.1) Опасные гидрологические и геологические явления (просадочные, набухающие, карстовые грунты, оползневые явления, расположение площадки строительства над горными выработками, скальные и полускальные грунты, заболоченная территория, тектонические разломы) К2 = 1,15</t>
  </si>
  <si>
    <t>(Приказ от 01.10.2021 № 707/пр, № 409/пр от 08.06.2023 г. Прил.5 табл.5.1 п.1.4) Опасные метеорологические явления и процессы (ураган, циклон, шторм, смерч, шквал и т.д.) К3 = 1,15</t>
  </si>
  <si>
    <t>(Приказ от 01.10.2021 № 707/пр, № 409/пр от 08.06.2023 г. Прил.5 табл.5.1 п.1.2) Опасные геологические явления (вечномерзлые грунты) К4 = 1,15</t>
  </si>
  <si>
    <t>Стадийность проектирования Ки1 = 0,4</t>
  </si>
  <si>
    <t>(3) Индекс изменения сметной стоимости проектных работ на II квартал 2026 года к уровню цен по состоянию на 01.01.2021 по Письму Минстроя России от 08.04.2026 №20212-ИФ/09 Кинф = 1,6800</t>
  </si>
  <si>
    <t>Котн = 76%</t>
  </si>
  <si>
    <t>Канатная дорога в составе горнолыжного комплекса, от 1500 до 4500 м включительно
(разделы: ПЗ, ПОС, ООС, ПБ, ТБЭ, ЭЭ, СМ), 660 (м)</t>
  </si>
  <si>
    <t xml:space="preserve">((2265000+1168*(0.4*1500+0.6*0.5*1500))*0,88)*0,4*1,68*0,23
</t>
  </si>
  <si>
    <t>Котн = 23%</t>
  </si>
  <si>
    <t>Буксировочная канатная дорога, тип подвижного состава: канат с закрепленными двухместными  бугелями</t>
  </si>
  <si>
    <t>Пропускная способность 900 чел/час, длина дороги по горизонтали 572 м, скорость движения 2,7 м/с, количество буксировочных устройств 54 шт</t>
  </si>
  <si>
    <t>Канатная дорога в составе горнолыжного комплекса, от 1500 до 4500 м включительно
(разделы: ПЗУ, КР, ИОС), 572 (м)</t>
  </si>
  <si>
    <t xml:space="preserve">((2265000+1168*(0.4*1500+0.6*0.5*1500))*0,7627)*(1+(0,3+0,15+0,15+0,15))*0,35*0,4*1,68*0,76
</t>
  </si>
  <si>
    <t>Понижающий коэффициент (572/(0.5*1500)) Кпониж = 0,7627</t>
  </si>
  <si>
    <t>(Приказ от 01.10.2021 № 707/пр, п. 152 б)) Проектирование с внесением в привязываемую повторно применяемую проектную документацию изменений в подземную часть здания (сооружения) размер корректирующего коэффициента принимается свыше 0,2 до 0,35 К5 = 0,35</t>
  </si>
  <si>
    <t>Канатная дорога в составе горнолыжного комплекса, от 1500 до 4500 м включительно
(разделы: ПЗ, ПОС, ООС, ПБ, ТБЭ, ЭЭ, СМ), 572 (м)</t>
  </si>
  <si>
    <t xml:space="preserve">((2265000+1168*(0.4*1500+0.6*0.5*1500))*0,7627)*0,35*0,4*1,68*0,23
</t>
  </si>
  <si>
    <t>(Приказ от 01.10.2021 № 707/пр, п. 152 б)) Проектирование с внесением в привязываемую повторно применяемую проектную документацию изменений в подземную часть здания (сооружения) размер корректирующего коэффициента принимается свыше 0,2 до 0,35 К2 = 0,35</t>
  </si>
  <si>
    <t>Раздел 3. Инженерная защита</t>
  </si>
  <si>
    <t>Открытые траншеи, каналы, канавы глубиной до 3 м в устойчивых грунтах с габионным креплением откосов протяженностью: от 100 до 500 м включительно
(разделы: ППО, ПЗУ, КР, ТР), 360 (м)</t>
  </si>
  <si>
    <t>НЗ "Создание инженерной защиты территорий, зданий и сооружений от опасных геологических процессов" таб.3.2 п.2.2 (НЗ_ИЗТ-3.2-2.2)</t>
  </si>
  <si>
    <t xml:space="preserve">(1600+480*360)*(1+(0,3+0,15+0,15+0,15))*0,4*1,53*0,68
</t>
  </si>
  <si>
    <t>(4) Индекс изменения сметной стоимости проектных работ на II квартал 2026 года к уровню цен по состоянию на 01.01.2022 по Письму Минстроя России от 08.04.2026 №20212-ИФ/09 Кинф = 1,5300</t>
  </si>
  <si>
    <t>Котн = 68%</t>
  </si>
  <si>
    <t>Открытые траншеи, каналы, канавы глубиной до 3 м в устойчивых грунтах с габионным креплением откосов протяженностью: от 100 до 500 м включительно
(разделы: ПЗ, ПОС, ООС, ТБЭ, СМ), 360 (м)</t>
  </si>
  <si>
    <t xml:space="preserve">(1600+480*360)*0,4*1,53*0,32
</t>
  </si>
  <si>
    <t>Котн = 32%</t>
  </si>
  <si>
    <t>Раздел 4. Электроснабжение</t>
  </si>
  <si>
    <t>Сооружений кабельной электрической линии напряжением до 20 кВ:от 100 до 500 включительно
(разделы: ППО, ТКР), 300 (п.м)</t>
  </si>
  <si>
    <t>НЗ_СИТО_ИО "Строительство, реконструкция сетей инженерно-технического обеспечения и объектов инфраструктуры", таб.3.11 п.1-1 (НЗ_СИТО_ИО-3.11-1-1)</t>
  </si>
  <si>
    <t xml:space="preserve">(17700+234*300)*0,8*(1+(0,3+0,15+0,15+0,15))*0,4*1,68*0,79
</t>
  </si>
  <si>
    <t>(Таб.3.11.1 п.3) Проектирование сооружений кабельной электрической линии напряжением до 1 кВ К2 = 0,8</t>
  </si>
  <si>
    <t>(Приказ от 01.10.2021 № 707/пр, № 409/пр от 08.06.2023 г. Прил.5 табл.5.1 п.2.3) Сейсмичность 9 баллов и более К3 = 1,3</t>
  </si>
  <si>
    <t>(Приказ от 01.10.2021 № 707/пр, № 409/пр от 08.06.2023 г. Прил.5 табл.5.1 п.1.1) Опасные гидрологические и геологические явления (просадочные, набухающие, карстовые грунты, оползневые явления, расположение площадки строительства над горными выработками, скальные и полускальные грунты, заболоченная территория, тектонические разломы) К4 = 1,15</t>
  </si>
  <si>
    <t>(Приказ от 01.10.2021 № 707/пр, № 409/пр от 08.06.2023 г. Прил.5 табл.5.1 п.1.4) Опасные метеорологические явления и процессы (ураган, циклон, шторм, смерч, шквал и т.д.) К5 = 1,15</t>
  </si>
  <si>
    <t>(Приказ от 01.10.2021 № 707/пр, № 409/пр от 08.06.2023 г. Прил.5 табл.5.1 п.1.2) Опасные геологические явления (вечномерзлые грунты) К6 = 1,15</t>
  </si>
  <si>
    <t>Котн = 79%</t>
  </si>
  <si>
    <t>Сооружений кабельной электрической линии напряжением до 20 кВ: от 100 до 500 включительно
(разделы: ПЗ, ПОС, ООС, ПБ, СМ), 300 (п.м)</t>
  </si>
  <si>
    <t xml:space="preserve">(17700+234*300)*0,8*0,4*1,68*0,21
</t>
  </si>
  <si>
    <t>(Таб.3.11.1 п.3) Проектирование сооружений кабельной электрической линии напряжением до 1 кВ К1 = 0,8</t>
  </si>
  <si>
    <t>Котн = 21%</t>
  </si>
  <si>
    <t>Воздушная линия 0,4 кВ</t>
  </si>
  <si>
    <t>Воздушная линия электропередачи напряжением до 1 кВ, длиной: от 1 до 5 включительно (разделы: ППО, ТКР), 1,232 (км)</t>
  </si>
  <si>
    <t>НЗ_СИТО_ИО "Строительство, реконструкция сетей инженерно-технического обеспечения и объектов инфраструктуры", таб.3.16 п.1-1 (НЗ_СИТО_ИО-3.16-1-1)</t>
  </si>
  <si>
    <t xml:space="preserve">(21200+30176*1,232)*1,3*0,4*1,68*0,805
</t>
  </si>
  <si>
    <t>Котн = 80,5%</t>
  </si>
  <si>
    <t>Воздушная линия электропередачи напряжением до 1 кВ, длиной: от 1 до 5 включительно (разделы: ПЗ, ПОС, ООС, ПБ, СМ), 1,232 (км)</t>
  </si>
  <si>
    <t xml:space="preserve">(21200+30176*1,232)*0,4*1,68*0,195
</t>
  </si>
  <si>
    <t>Котн = 19,5%</t>
  </si>
  <si>
    <t>Кабельная линия 0,4 кВ в кабельной канализации</t>
  </si>
  <si>
    <t>Сооружений кабельной электрической линии напряжением до 20 кВ:от 500 до 1000 включительно (разделы: ППО, ТКР), 930 (п.м)</t>
  </si>
  <si>
    <t>НЗ_СИТО_ИО "Строительство, реконструкция сетей инженерно-технического обеспечения и объектов инфраструктуры", таб.3.11 п.1-2 (НЗ_СИТО_ИО-3.11-1-2)</t>
  </si>
  <si>
    <t xml:space="preserve">(30300+209*930)*0,8*(1+(0,3+0,15+0,15+0,15))*0,4*1,68*0,79
</t>
  </si>
  <si>
    <t>6.1</t>
  </si>
  <si>
    <t>Сооружений кабельной электрической линии напряжением до 20 кВ: от 500 до 1000 включительно (разделы: ПЗ, ПОС, ООС, ПБ, СМ), 930 (п.м)</t>
  </si>
  <si>
    <t xml:space="preserve">(30300+209*930)*0,8*0,4*1,68*0,21
</t>
  </si>
  <si>
    <t>7.1</t>
  </si>
  <si>
    <t>Раздел 5. Наружные сети связи</t>
  </si>
  <si>
    <t>Линия ВОЛС 16  в грунте</t>
  </si>
  <si>
    <t>8</t>
  </si>
  <si>
    <t>Бронированный кабель линейного сооружения слаботочной сети в земле протяженностью: от 1000 до 3000 включительно (Разделы ППО, ТКР), 1300 (п.м)</t>
  </si>
  <si>
    <t>НЗ_СИТО_ИО "Строительство, реконструкция сетей инженерно-технического обеспечения и объектов инфраструктуры", таб.3.1 п.2.2-3 (НЗ_СИТО_ИО-3.1-2.2-3)</t>
  </si>
  <si>
    <t xml:space="preserve">(82100+73*1300)*(1+(0,3+0,15+0,15+0,15))*0,4*1,68*0,79
</t>
  </si>
  <si>
    <t>(Приказ от 01.10.2021 № 707/пр, № 409/пр от 08.06.2023 г. Прил.5 табл.5.1 п.2.3) Сейсмичность 9 баллов и более К2 = 1,3</t>
  </si>
  <si>
    <t>(Приказ от 01.10.2021 № 707/пр, № 409/пр от 08.06.2023 г. Прил.5 табл.5.1 п.1.1) Опасные гидрологические и геологические явления (просадочные, набухающие, карстовые грунты, оползневые явления, расположение площадки строительства над горными выработками, скальные и полускальные грунты, заболоченная территория, тектонические разломы) К10 = 1,15</t>
  </si>
  <si>
    <t>(Приказ от 01.10.2021 № 707/пр, № 409/пр от 08.06.2023 г. Прил.5 табл.5.1 п.1.4) Опасные метеорологические явления и процессы (ураган, циклон, шторм, смерч, шквал и т.д.) К11 = 1,15</t>
  </si>
  <si>
    <t>(Приказ от 01.10.2021 № 707/пр, № 409/пр от 08.06.2023 г. Прил.5 табл.5.1 п.1.2) Опасные геологические явления (вечномерзлые грунты) К12 = 1,15</t>
  </si>
  <si>
    <t>8.1</t>
  </si>
  <si>
    <t>Бронированный кабель линейного сооружения слаботочной сети в земле протяженностью: от 1000 до 3000 включительно (разделы: ПЗ, ПОС, ООС, ПБ, СМ), 1300 (п.м)</t>
  </si>
  <si>
    <t xml:space="preserve">(82100+73*1300)*0,4*1,68*0,21
</t>
  </si>
  <si>
    <t>ВОЛС 8 воздушным способом (по опорам КД)</t>
  </si>
  <si>
    <t>9</t>
  </si>
  <si>
    <t>Воздушное линейное сооружение слаботочной сети, в том числе радиосвязи, протяженностью:от 1000 до 3000 включительно
(разделы: ППО, ТКР), 1360 (п.м)</t>
  </si>
  <si>
    <t>НЗ_СИТО_ИО "Строительство, реконструкция сетей инженерно-технического обеспечения и объектов инфраструктуры", таб.3.1 п.2.3-3 (НЗ_СИТО_ИО-3.1-2.3-3)</t>
  </si>
  <si>
    <t xml:space="preserve">(68100+96*1360)*1,3*0,4*1,68*0,805
</t>
  </si>
  <si>
    <t>9.1</t>
  </si>
  <si>
    <t>Воздушное линейное сооружение слаботочной сети, в том числе радиосвязи, протяженностью:от 1000 до 3000 включительно
(разделы: ПЗ, ПОС, ООС, ПБ, СМ), 1360 (п.м)</t>
  </si>
  <si>
    <t xml:space="preserve">(68100+96*1360)*0,4*1,68*0,195
</t>
  </si>
  <si>
    <t>ВОЛС 24  воздушным способом (по опорам КД)</t>
  </si>
  <si>
    <t>10.1</t>
  </si>
  <si>
    <t>Линия ВОЛС 24  в грунте</t>
  </si>
  <si>
    <t>11</t>
  </si>
  <si>
    <t>Бронированный кабель линейного сооружения слаботочной сети в земле протяженностью:от 100 до 500 включительно (разделы: ППО, ТКР), 50 (п.м)</t>
  </si>
  <si>
    <t>НЗ_СИТО_ИО "Строительство, реконструкция сетей инженерно-технического обеспечения и объектов инфраструктуры", таб.3.1 п.2.2-1 (НЗ_СИТО_ИО-3.1-2.2-1)</t>
  </si>
  <si>
    <t xml:space="preserve">(48300+124*(0.4*100+0.6*50))*(1+(0,3+0,15+0,15+0,15))*0,4*1,68*0,79
</t>
  </si>
  <si>
    <t>11.1</t>
  </si>
  <si>
    <t>Бронированный кабель линейного сооружения слаботочной сети в земле протяженностью: от 100 до 500 включительно (разделы: ПЗ, ПОС, ООС, ПБ, СМ), 50 (п.м)</t>
  </si>
  <si>
    <t xml:space="preserve">(48300+124*(0.4*100+0.6*50))*0,4*1,68*0,21
</t>
  </si>
  <si>
    <t>Раздел 6. Внутренние сети связи</t>
  </si>
  <si>
    <t>Контроля и управления доступом (СКУД)</t>
  </si>
  <si>
    <t>12</t>
  </si>
  <si>
    <t>СКУД, количество мест, где непосредственно осуществляется контроль доступа (например, оборудованные необходимыми средствами дверь, турникет, кабина прохода и т.д.): от 5 до 15 включительно
(разделы: КР, ТХ, ИОС), 6 (шт.)</t>
  </si>
  <si>
    <t>НЗ_ИТСО. Нормативные затраты на работы по подготовке проектной документации для создания инженерно-технической системы антитеррористической защищенности объектов жилищно-гражданского назначения. Таб.3.2 п.1-2 (НЗ_ИТСО-3.2-1-2)</t>
  </si>
  <si>
    <t xml:space="preserve">(104500+15480*6)*1,3*0,4*1,68*0,55
</t>
  </si>
  <si>
    <t>Котн = 55%</t>
  </si>
  <si>
    <t>12.1</t>
  </si>
  <si>
    <t>СКУД, количество мест, где непосредственно осуществляется контроль доступа (например, оборудованные необходимыми средствами дверь, турникет, кабина прохода и т.д.): от 5 до 15 включительно
(разделы: ПЗ, ПОС, ПБ, СМ), 6 (шт.)</t>
  </si>
  <si>
    <t xml:space="preserve">(104500+15480*6)*0,4*1,68*0,45
</t>
  </si>
  <si>
    <t>Котн = 45%</t>
  </si>
  <si>
    <t>Система охранного телевидения (СОТ) наружная</t>
  </si>
  <si>
    <t>13</t>
  </si>
  <si>
    <t>Система охранная телевизионная наружная (СОТН) с количеством видеокамер:от 2 до 10 включительно, 10 (шт.)</t>
  </si>
  <si>
    <t>НЗ_ИТСО. Нормативные затраты на работы по подготовке проектной документации для создания инженерно-технической системы антитеррористической защищенности объектов жилищно-гражданского назначения. Таб.3.3 п.2-1 (НЗ_ИТСО-3.3-2-1)</t>
  </si>
  <si>
    <t xml:space="preserve">(77600+10350*10)*1,3*0,4*1,68*0,675
</t>
  </si>
  <si>
    <t>Котн = 67,5%</t>
  </si>
  <si>
    <t>13.1</t>
  </si>
  <si>
    <t>Система охранная телевизионная наружная (СОТН) с количеством видеокамер: от 10 до 50 включительно
(разделы: ПЗ, ПОС, СМ), 10 (шт.)</t>
  </si>
  <si>
    <t>НЗ_ИТСО. Нормативные затраты на работы по подготовке проектной документации для создания инженерно-технической системы антитеррористической защищенности объектов жилищно-гражданского назначения. Таб.3.3 п.2-2 (НЗ_ИТСО-3.3-2-2)</t>
  </si>
  <si>
    <t xml:space="preserve">(77600+10350*10)*0,4*1,68*0,325
</t>
  </si>
  <si>
    <t>Котн = 32,5%</t>
  </si>
  <si>
    <t>АРМ</t>
  </si>
  <si>
    <t>14</t>
  </si>
  <si>
    <t>Автоматизированное рабочее место оператора ИТСО (АРМ ИТСО), 1 место
(разделы: КР, ТХ, ИОС), 1 (объект)</t>
  </si>
  <si>
    <t>НЗ_ИТСО. Нормативные затраты на работы по подготовке проектной документации для создания инженерно-технической системы антитеррористической защищенности объектов жилищно-гражданского назначения. Таб.3.7 п.1 (НЗ_ИТСО-3.7-1)</t>
  </si>
  <si>
    <t xml:space="preserve">(21100*1)*1,3*0,4*1,68*0,54
</t>
  </si>
  <si>
    <t>Котн = 54%</t>
  </si>
  <si>
    <t>14.1</t>
  </si>
  <si>
    <t>Автоматизированное рабочее место оператора ИТСО (АРМ ИТСО), 1 место
(разделы: ПЗ, ПОС, СМ), 1 (объект)</t>
  </si>
  <si>
    <t xml:space="preserve">(21100*1)*0,4*1,68*0,46
</t>
  </si>
  <si>
    <t>Котн = 46%</t>
  </si>
  <si>
    <t>Сервер</t>
  </si>
  <si>
    <t>15</t>
  </si>
  <si>
    <t>Интегрируемый комплекс приема, обработки и хранения информации со средств защиты ИТСО (сервер ИТСО), объектовые оконечные устройства СОТС, 1 сервер (устройство) ( Разделы КР,ТХ,ИОС), 1 (объект)</t>
  </si>
  <si>
    <t>НЗ_ИТСО. Нормативные затраты на работы по подготовке проектной документации для создания инженерно-технической системы антитеррористической защищенности объектов жилищно-гражданского назначения. Таб.3.7 п.2 (НЗ_ИТСО-3.7-2)</t>
  </si>
  <si>
    <t xml:space="preserve">(140400*1)*1,3*0,4*1,68*0,439
</t>
  </si>
  <si>
    <t>Котн = 43,9%</t>
  </si>
  <si>
    <t>15.1</t>
  </si>
  <si>
    <t>Интегрируемый комплекс приема, обработки и хранения информации со средств защиты ИТСО (сервер ИТСО), объектовые оконечные устройства СОТС, 1 сервер (устройство) ( Разделы ПЗ,ПОС,СМ), 1 (объект)</t>
  </si>
  <si>
    <t xml:space="preserve">(140400*1)*0,4*1,68*0,561
</t>
  </si>
  <si>
    <t>Котн = 56,1%</t>
  </si>
  <si>
    <t>Система охранного телевидения (СОТ) внутренняя</t>
  </si>
  <si>
    <t>16</t>
  </si>
  <si>
    <t>Система охранная телевизионная внутренняя (СОТВ) с количеством видеокамер:от 2 до 10 включительно
(разделы: КР, ТХ, ИОС), 6 (шт.)</t>
  </si>
  <si>
    <t>НЗ_ИТСО. Нормативные затраты на работы по подготовке проектной документации для создания инженерно-технической системы антитеррористической защищенности объектов жилищно-гражданского назначения. Таб.3.3 п.1-1 (НЗ_ИТСО-3.3-1-1)</t>
  </si>
  <si>
    <t xml:space="preserve">(76900+8138*6)*1,3*0,4*1,68*0,629
</t>
  </si>
  <si>
    <t>Котн = 62,9%</t>
  </si>
  <si>
    <t>16.1</t>
  </si>
  <si>
    <t>Система охранная телевизионная внутренняя (СОТВ) с количеством видеокамер: от 2 до 10 включительно
(разделы: ПЗ, ПОС, СМ), 6 (шт.)</t>
  </si>
  <si>
    <t xml:space="preserve">(76900+8138*6)*0,4*1,68*0,371
</t>
  </si>
  <si>
    <t>Котн = 37,1%</t>
  </si>
  <si>
    <t>Автоматическая установка пожарной сигнализации</t>
  </si>
  <si>
    <t>17</t>
  </si>
  <si>
    <t>Автоматическая установка пожарной сигнализации, 90 (кв.м)</t>
  </si>
  <si>
    <t>учтено в цене проектирования канатных дорог согласно п.10 ТЧ НЗ "Объекты жилищно-гражданского назначения" ()</t>
  </si>
  <si>
    <t xml:space="preserve">
</t>
  </si>
  <si>
    <t>Система оповещения и управления эвакуацией при пожаре (СОУЭ)</t>
  </si>
  <si>
    <t>18</t>
  </si>
  <si>
    <t>Система оповещения и управления эвакуацией при пожаре, 90 (кв.м)</t>
  </si>
  <si>
    <t>Система охранного освещения (СОО)</t>
  </si>
  <si>
    <t>19</t>
  </si>
  <si>
    <t>Линия наружного освещения кабельная протяженностью: от 100 до 500 включительно
(разделы: ППО, ТКР), 150 (п.м)</t>
  </si>
  <si>
    <t>НЗ_СИТО_ИО "Строительство, реконструкция сетей инженерно-технического обеспечения и объектов инфраструктуры", таб.3.2 п.2-1 (НЗ_СИТО_ИО-3.2-2-1)</t>
  </si>
  <si>
    <t xml:space="preserve">(32300+428*150)*0,5*(1+(0,3+0,15+0,15+0,15))*0,4*1,68*0,79
</t>
  </si>
  <si>
    <t>(Таб.3.2.1 п.8) Проектирование линий наружного освещения световой иллюминации улиц, проездов, магистралей и других объектов, устанавливаемой на существующих опорах линий наружного освещения К1 = 0,5</t>
  </si>
  <si>
    <t>Линия наружного освещения кабельная протяженностью: от 100 до 500 включительно
(разделы: ПЗ, ПОС, ООС, ПБ, СМ), 150 (п.м)</t>
  </si>
  <si>
    <t xml:space="preserve">(32300+428*150)*0,5*0,4*1,68*0,21
</t>
  </si>
  <si>
    <t>Система экстренной связи (СЭС)- 3 стойки (1 система)</t>
  </si>
  <si>
    <t>СЭС, 1 комплект оборудования с количеством блоков переговорных устройств: от 1 до 6
(разделы: КР, ТХ, ИОС), 1 (шт.)</t>
  </si>
  <si>
    <t>НЗ_ИТСО. Нормативные затраты на работы по подготовке проектной документации для создания инженерно-технической системы антитеррористической защищенности объектов жилищно-гражданского назначения. Таб.3.4 п.1 (НЗ_ИТСО-3.4-1)</t>
  </si>
  <si>
    <t xml:space="preserve">(26600+23254*1)*1,3*0,5*3*0,4*1,68*0,495
</t>
  </si>
  <si>
    <t>(Таб.2 п.1) Проектирование в комплексе зданий и сооружений ИТСО аналогичных зданий и сооружений (для последующих аналогичных зданий и сооружений) К2 = 0,5</t>
  </si>
  <si>
    <t>Кол-во, шт К3 = 3</t>
  </si>
  <si>
    <t>Котн = 49,5%</t>
  </si>
  <si>
    <t>СЭС, 1 комплект оборудования с количеством блоков переговорных устройств: от 1 до 6
(разделы: ПЗ, ПОС, СМ), 1 (шт.)</t>
  </si>
  <si>
    <t xml:space="preserve">(26600+23254*1)*0,5*3*0,4*1,68*0,505
</t>
  </si>
  <si>
    <t>(Таб.2 п.1) Проектирование в комплексе зданий и сооружений ИТСО аналогичных зданий и сооружений (для последующих аналогичных зданий и сооружений) К1 = 0,5</t>
  </si>
  <si>
    <t>Котн = 50,5%</t>
  </si>
  <si>
    <t>Охранно-тревожная сигнализация (СОТС) защищаемая площадь 90 м2</t>
  </si>
  <si>
    <t>21</t>
  </si>
  <si>
    <t>СОТС внутри здания с защищаемой площадью: до 300 м2 включительно ( Разделы КР,ТХ,ИОС), 1 (объект)</t>
  </si>
  <si>
    <t>НЗ_ИТСО. Нормативные затраты на работы по подготовке проектной документации для создания инженерно-технической системы антитеррористической защищенности объектов жилищно-гражданского назначения. Таб.3.1 п.1-1 (НЗ_ИТСО-3.1-1-1)</t>
  </si>
  <si>
    <t xml:space="preserve">(47300*1)*1,3*0,4*1,68*0,614
</t>
  </si>
  <si>
    <t>Котн = 61,4%</t>
  </si>
  <si>
    <t>21.1</t>
  </si>
  <si>
    <t>СОТС внутри здания с защищаемой площадью: до 300 м2 включительно ( Разделы ПЗ,ПОС,СМ), 1 (объект)</t>
  </si>
  <si>
    <t xml:space="preserve">(47300*1)*0,4*1,68*0,386
</t>
  </si>
  <si>
    <t>Котн = 38,6%</t>
  </si>
  <si>
    <t>Система передачи данных СБ (СПД-СБ)</t>
  </si>
  <si>
    <t>22</t>
  </si>
  <si>
    <t>Система передачи данных (СПД) выделенной связи в составе: служба передачи данных (ПД), служба сопряжения ЭВМ с каналами ПД, служба технического обслуживания (ТО) мощностью от 1 до 100 каналов (Разделы: СПЗУ, АР, КР,ЭС, ВК, ОВиК, Связь, Газ, ТХ), 22 (1 канал)</t>
  </si>
  <si>
    <t>СБЦП "Объекты связи (2010)" табл.2 п.2 (СБЦП02-2-2)</t>
  </si>
  <si>
    <t xml:space="preserve">(25980+4623*22)*0,42*1,3*7,1*0,71
</t>
  </si>
  <si>
    <t>Стадийность проектирования К2 = 0,42</t>
  </si>
  <si>
    <t>(СБЦП МУ(2009) п.3.7) Сейсмичность 9 баллов К1 = 1,3</t>
  </si>
  <si>
    <t>(1) Индекс изменения сметной стоимости проектных работ на II квартал 2026 года к уровню цен по состоянию на 01.01.2001 по Письму Минстроя России от 08.04.2026 №20212-ИФ/09 Кинф = 7,1000</t>
  </si>
  <si>
    <t>Котн = 71%</t>
  </si>
  <si>
    <t>22.1</t>
  </si>
  <si>
    <t>Система передачи данных (СПД) выделенной связи в составе: служба передачи данных (ПД), служба сопряжения ЭВМ с каналами ПД, служба технического обслуживания (ТО) мощностью от 1 до 100 каналов (Разделы ПЗ, ПОС, ООС, МПБ, СМ), 22 (1 канал)</t>
  </si>
  <si>
    <t xml:space="preserve">(25980+4623*22)*0,42*7,1*0,28
</t>
  </si>
  <si>
    <t>Стадийность проектирования К3 = 0,42</t>
  </si>
  <si>
    <t>Котн = 28%</t>
  </si>
  <si>
    <t>Структурированная кабельная система (СКС)</t>
  </si>
  <si>
    <t>23</t>
  </si>
  <si>
    <t>Структурированная кабельная сеть с числом узлов:свыше 25 до 50 ( Разделы СПЗУ,АР,КР,ЭС, Связь, ТХ), 45 (1 узел)</t>
  </si>
  <si>
    <t>СБЦП "Объекты связи (2010)" табл.24 п.10 (СБЦП02-24-10)</t>
  </si>
  <si>
    <t xml:space="preserve">(34200+790*45)*0,5*1,3*7,1*0,38
</t>
  </si>
  <si>
    <t>Стадийность проектирования К1 = 0,5</t>
  </si>
  <si>
    <t>(СБЦП МУ(2009) п.3.7) Сейсмичность 9 баллов К2 = 1,3</t>
  </si>
  <si>
    <t>Котн = 38%</t>
  </si>
  <si>
    <t>23.1</t>
  </si>
  <si>
    <t>Структурированная кабельная сеть с числом узлов: свыше 25 до 50 ( Разделы ПЗ,ПОС,ООС,МПБ,СМ), 45 (1 узел)</t>
  </si>
  <si>
    <t xml:space="preserve">(34200+790*45)*0,5*7,1*0,28
</t>
  </si>
  <si>
    <t>Система передачи данных сетей связи (СПД-СС)</t>
  </si>
  <si>
    <t>24</t>
  </si>
  <si>
    <t>Система передачи данных (СПД) выделенной связи в составе: служба передачи данных (ПД), служба сопряжения ЭВМ с каналами ПД, служба технического обслуживания (ТО) мощностью от 1 до 100 каналов (Разделы: СПЗУ, АР, КР,ЭС, ВК, ОВиК, Связь, Газ, ТХ), 51 (1 канал)</t>
  </si>
  <si>
    <t xml:space="preserve">(25980+4623*51)*0,42*1,3*7,1*0,71
</t>
  </si>
  <si>
    <t>24.1</t>
  </si>
  <si>
    <t>Система передачи данных (СПД) выделенной связи в составе: служба передачи данных (ПД), служба сопряжения ЭВМ с каналами ПД, служба технического обслуживания (ТО) мощностью от 1 до 100 каналов (Разделы ПЗ, ПОС, ООС, МПБ, СМ), 51 (1 канал)</t>
  </si>
  <si>
    <t xml:space="preserve">(25980+4623*51)*0,42*7,1*0,28
</t>
  </si>
  <si>
    <t>25</t>
  </si>
  <si>
    <t>Автомобильные дороги технической категории V для 3 категории сложности проектирования протяженностью:от 2 до 5 километров включительно, 5 (километр)</t>
  </si>
  <si>
    <t>НЗ_АДКЭиС "Нормативные затраты на проектные работы по подготовке проектной документации для строительства, реконструкции и капитального ремонта автомобильных дорог, их конструктивных элементов и сооружений на них" таб.3.6 п.5.3 (НЗ_АДКЭиС-3.6-5.3)</t>
  </si>
  <si>
    <t xml:space="preserve">(965500+764720*5)*1,3*0,4*1,38*0,72
</t>
  </si>
  <si>
    <t>(5) Индекс изменения сметной стоимости проектных работ на II квартал 2026 года к уровню цен по состоянию на 01.01.2023 по Письму Минстроя России от 08.04.2026 №20212-ИФ/09 Кинф = 1,3800</t>
  </si>
  <si>
    <t>Котн = 72%</t>
  </si>
  <si>
    <t>Система телефонной связи (СТС)</t>
  </si>
  <si>
    <t>26</t>
  </si>
  <si>
    <t>Внутриобъектовая сеть местной телефонной связи, телефонная сеть с использованием протокола IP: от 25 до 50 включительно, 4 (1 абонент)</t>
  </si>
  <si>
    <t>НЗ "Системы связи и технологические системы объектов капитального строительства непроизводственного назначения" табл. 3.6 п.1 (НЗ_СС_ТС-3.6-1)</t>
  </si>
  <si>
    <t xml:space="preserve">((14000+2000*(0.4*25+0.6*0.5*25))*0,32)*0,4*1,53
</t>
  </si>
  <si>
    <t>Понижающий коэффициент (4/(0.5*25)) Кпониж = 0,32</t>
  </si>
  <si>
    <t>Система часофикации (СЧ), часы)</t>
  </si>
  <si>
    <t>Система часофикации (СЧ), часы), 3 (шт.)</t>
  </si>
  <si>
    <t>Платежно-пропускная система (ППС)</t>
  </si>
  <si>
    <t>Турникеты 8 шт</t>
  </si>
  <si>
    <t>28</t>
  </si>
  <si>
    <t>СКУД, количество мест, где непосредственно осуществляется контроль доступа (например, оборудованные необходимыми средствами дверь, турникет, кабина прохода и т.д.): от 5 до 15 включительно
(разделы: КР, ТХ, ИОС), 8 (шт.)</t>
  </si>
  <si>
    <t xml:space="preserve">(104500+15480*8)*1,3*0,4*1,68*0,55
</t>
  </si>
  <si>
    <t>СКУД, количество мест, где непосредственно осуществляется контроль доступа (например, оборудованные необходимыми средствами дверь, турникет, кабина прохода и т.д.): от 5 до 15 включительно
(разделы: ПЗ, ПОС, ПБ, СМ), 8 (шт.)</t>
  </si>
  <si>
    <t xml:space="preserve">(104500+15480*8)*0,4*1,68*0,45
</t>
  </si>
  <si>
    <t>Платежные терминалы 1 шт</t>
  </si>
  <si>
    <t>29</t>
  </si>
  <si>
    <t xml:space="preserve">(26600+23254*1)*1,3*0,4*1,68*0,495
</t>
  </si>
  <si>
    <t xml:space="preserve">(26600+23254*1)*0,4*1,68*0,505
</t>
  </si>
  <si>
    <t>Платежные терминалы 2 шт</t>
  </si>
  <si>
    <t>30</t>
  </si>
  <si>
    <t>СЭС, 1 комплект оборудования с количеством блоков переговорных устройств: от 1 до 6
(разделы: КР, ТХ, ИОС), 2 (шт.)</t>
  </si>
  <si>
    <t xml:space="preserve">(26600+23254*2)*1,3*0,5*0,4*1,68*0,495
</t>
  </si>
  <si>
    <t>30.1</t>
  </si>
  <si>
    <t>СЭС, 1 комплект оборудования с количеством блоков переговорных устройств: от 1 до 6
(разделы: ПЗ, ПОС, СМ), 2 (шт.)</t>
  </si>
  <si>
    <t xml:space="preserve">(26600+23254*2)*0,5*0,4*1,68*0,505
</t>
  </si>
  <si>
    <t>Автоматическое порошковое пожаротушение</t>
  </si>
  <si>
    <t>31</t>
  </si>
  <si>
    <t>Автоматическое порошковое пожаротушение, 30 (кв.м)</t>
  </si>
  <si>
    <t>Система радиофикации</t>
  </si>
  <si>
    <t>32</t>
  </si>
  <si>
    <t>УКВ радиосвязь со стационарной радиостанцией мощностью до 40 Вт и количеством абонентских радиостанций в сети до 10, мощностью до 10 Вт каждая (Разделы СПЗУ, КР, ЭС,Связь, ТХ), 4 (1 абонент. р/станц.)</t>
  </si>
  <si>
    <t>СБЦП "Объекты связи (2010)" табл.9 п.25 (СБЦП02-9-25)</t>
  </si>
  <si>
    <t xml:space="preserve">(7790+628*4)*1,3*0,4*7,1*0,5
</t>
  </si>
  <si>
    <t>Котн = 50%</t>
  </si>
  <si>
    <t>33</t>
  </si>
  <si>
    <t>УКВ радиосвязь со стационарной радиостанцией мощностью до 40 Вт и количеством абонентских радиостанций в сети до 10, мощностью до 10 Вт каждая (ПЗ, ПОС, ООС,МПБ,СМ), 4 (1 абонент. р/станц.)</t>
  </si>
  <si>
    <t xml:space="preserve">(7790+628*4)*0,4*7,1*0,28
</t>
  </si>
  <si>
    <t>Система речевого оповещения (СРО)</t>
  </si>
  <si>
    <t>34</t>
  </si>
  <si>
    <t>Система селекторной связи, система громкоговорящей связи: до 30 абонентов, 1 (1 система)</t>
  </si>
  <si>
    <t>НЗ "Системы связи и технологические системы объектов капитального строительства непроизводственного назначения" табл. 3.8 п.1 (НЗ_СС_ТС-3.8-1)</t>
  </si>
  <si>
    <t xml:space="preserve">(73000*1)*0,4*1,53
</t>
  </si>
  <si>
    <t>Система охраны опор канатной дороги (СООКД) в составе: СОТС, СОТ, СОО, СПД-СБ</t>
  </si>
  <si>
    <t>Система охранно-тревожной сигнализации (СОТС)</t>
  </si>
  <si>
    <t>35</t>
  </si>
  <si>
    <t>СОТС внутри здания с защищаемой площадью: до 300 м2 включительно (Разделы КР, ТХ,ЭО,АВТ), 1 (объект)</t>
  </si>
  <si>
    <t>СОТС внутри здания с защищаемой площадью: до 300 м2 включительно (Разделы ПЗ, ПОС,СМ), 1 (объект)</t>
  </si>
  <si>
    <t>36</t>
  </si>
  <si>
    <t>Система охранная телевизионная наружная (СОТН) с количеством видеокамер:от 10 до 50 включительно, 20 (шт.)</t>
  </si>
  <si>
    <t xml:space="preserve">(110100+7105*20)*1,3*0,4*1,68*0,675
</t>
  </si>
  <si>
    <t>Система охранная телевизионная наружная (СОТН) с количеством видеокамер: от 10 до 50 включительно
(разделы: ПЗ, ПОС, СМ), 20 (шт.)</t>
  </si>
  <si>
    <t xml:space="preserve">(110100+7105*20)*0,4*1,68*0,325
</t>
  </si>
  <si>
    <t>37</t>
  </si>
  <si>
    <t>Линия наружного освещения кабельная протяженностью: от 100 до 500 включительно
(разделы: ППО, ТКР), 60 (п.м)</t>
  </si>
  <si>
    <t xml:space="preserve">(32300+428*(0.4*100+0.6*60))*0,5*1,3*0,4*1,68*0,79
</t>
  </si>
  <si>
    <t>37.1</t>
  </si>
  <si>
    <t>Линия наружного освещения кабельная протяженностью: от 100 до 500 включительно
(разделы: ПЗ, ПОС, ООС, ПБ, СМ), 60 (п.м)</t>
  </si>
  <si>
    <t xml:space="preserve">(32300+428*(0.4*100+0.6*60))*0,5*0,4*1,68*0,21
</t>
  </si>
  <si>
    <t>38</t>
  </si>
  <si>
    <t>Система передачи данных (СПД) выделенной связи в составе: служба передачи данных (ПД), служба сопряжения ЭВМ с каналами ПД, служба технического обслуживания (ТО) мощностью от 1 до 100 каналов (Разделы: СПЗУ, АР, КР,ЭС, ВК, ОВиК, Связь, Газ, ТХ), 30 (1 канал)</t>
  </si>
  <si>
    <t xml:space="preserve">(25980+4623*30)*0,42*1,3*7,1*0,71
</t>
  </si>
  <si>
    <t>38.1</t>
  </si>
  <si>
    <t>Система передачи данных (СПД) выделенной связи в составе: служба передачи данных (ПД), служба сопряжения ЭВМ с каналами ПД, служба технического обслуживания (ТО) мощностью от 1 до 100 каналов (Разделы ПЗ, ПОС, ООС, МПБ, СМ), 30 (1 канал)</t>
  </si>
  <si>
    <t xml:space="preserve">(25980+4623*30)*0,42*7,1*0,28
</t>
  </si>
  <si>
    <t>Система охранная телевизионная горнолыжных трасс (СОТ ГЛТ)</t>
  </si>
  <si>
    <t>39</t>
  </si>
  <si>
    <t>Система охранная телевизионная наружная (СОТН) с количеством видеокамер:от 2 до 10 включительно, 8 (шт.)</t>
  </si>
  <si>
    <t xml:space="preserve">(77600+10350*8)*1,3*0,4*1,68*0,675
</t>
  </si>
  <si>
    <t>39.1</t>
  </si>
  <si>
    <t>Система охранная телевизионная наружная (СОТН) с количеством видеокамер: от 10 до 50 включительно
(разделы: ПЗ, ПОС, СМ), 8 (шт.)</t>
  </si>
  <si>
    <t xml:space="preserve">(77600+10350*8)*0,4*1,68*0,325
</t>
  </si>
  <si>
    <t>АРМ ГЛТ</t>
  </si>
  <si>
    <t>40.1</t>
  </si>
  <si>
    <t>41</t>
  </si>
  <si>
    <t>41.1</t>
  </si>
  <si>
    <t>Раздел 7. Ливневая канализация</t>
  </si>
  <si>
    <t>Ливневая канализация: водоотводные лотки</t>
  </si>
  <si>
    <t>42</t>
  </si>
  <si>
    <t>Линейное сооружение сети водоотведения диаметром до 300 мм, открытым способом, протяженностью: от 100 до 500 включительно
(разделы: ППО, ТКР), 150 (п.м)</t>
  </si>
  <si>
    <t>НЗ_СИТО_ИО "Строительство, реконструкция сетей инженерно-технического обеспечения и объектов инфраструктуры", таб.3.5 п.1-1 (НЗ_СИТО_ИО-3.5-1-1)</t>
  </si>
  <si>
    <t xml:space="preserve">(122600+641*150)*1,3*0,4*1,68*0,76
</t>
  </si>
  <si>
    <t>42.1</t>
  </si>
  <si>
    <t>Линейное сооружение сети водоотведения диаметром до 300 мм, открытым способом, протяженностью: от 100 до 500 включительно
(разделы: ПЗ, ПОС, ООС, ПБ, СМ), 150 (п.м)</t>
  </si>
  <si>
    <t xml:space="preserve">(122600+641*150)*0,4*1,68*0,24
</t>
  </si>
  <si>
    <t>Котн = 24%</t>
  </si>
  <si>
    <t>Ливневая канализация: трубопровод</t>
  </si>
  <si>
    <t>43</t>
  </si>
  <si>
    <t>Линейное сооружение сети водоотведения диаметром до 300 мм, открытым способом, протяженностью: от 100 до 500 включительно
(разделы: ППО, ТКР), 300 (п.м)</t>
  </si>
  <si>
    <t xml:space="preserve">(122600+641*300)*1,3*0,4*1,68*0,76
</t>
  </si>
  <si>
    <t>43.1</t>
  </si>
  <si>
    <t>Линейное сооружение сети водоотведения диаметром до 300 мм, открытым способом, протяженностью: от 100 до 500 включительно
(разделы: ПЗ, ПОС, ООС, ПБ, СМ), 300 (п.м)</t>
  </si>
  <si>
    <t xml:space="preserve">(122600+641*300)*0,4*1,68*0,24
</t>
  </si>
  <si>
    <t>Раздел 8. Рекультивация нарушенных земель</t>
  </si>
  <si>
    <t>Проект рекультивации нарушенных земель</t>
  </si>
  <si>
    <t>44</t>
  </si>
  <si>
    <t>Технические мероприятия рекультивации земель, участок площадью:от 0,4 до 4 включительно, 3,0518 (га)</t>
  </si>
  <si>
    <t>НЗ_ОГС "Строительство объектов городской среды", таб.3.10 п.1-1 (НЗ_ОГС-3.10-1-2)</t>
  </si>
  <si>
    <t xml:space="preserve">(25500+7250*3,0518)*1,53
</t>
  </si>
  <si>
    <t>Котн = 100%</t>
  </si>
  <si>
    <t>Раздел 9. Разработка проекта временных дорог (согласно п.38 ТЧ  НЗ_АДКЭиС: стоимость проектирования временных автомобильных дорог определяется по параметрам цены для автомобильных дорог соответствующей технической категории)</t>
  </si>
  <si>
    <t>45</t>
  </si>
  <si>
    <t>Автомобильные дороги технической категории V для 3 категории сложности проектирования протяженностью:от 2 до 5 километров включительно (Разделы ППО,ТРС,ТКР), 5 (километр)</t>
  </si>
  <si>
    <t>46</t>
  </si>
  <si>
    <t>Автомобильные дороги технической категории V для 3 категории сложности проектирования протяженностью:от 2 до 5 километров включительно ( Разделы (ПЗ,ПОС,ООС,МОПБ,СМ), 5 (километр)</t>
  </si>
  <si>
    <t xml:space="preserve">(965500+764720*5)*0,4*1,38*0,28
</t>
  </si>
  <si>
    <t>Раздел 10. ИТМ ГОЧС</t>
  </si>
  <si>
    <t>47</t>
  </si>
  <si>
    <t>Сб итм 01 - разработка раздела "ИТМ ГОЧС" проекта строительства условного объекта, 1 (объект)</t>
  </si>
  <si>
    <t>СБЦ "Инженерно-технические мероприятия гражданской обороны. Мероприятия по предупреждению чрезвычайных ситуаций. Защитные сооружения гражданской обороны и другие специальные сооружения" , ТЧ п.2   (СБЦ59-ТЧ-п.2)</t>
  </si>
  <si>
    <t xml:space="preserve">(30500*1)*0,3*2,5*1,06*7,1
</t>
  </si>
  <si>
    <t>Стадийность проектирования К1 = 0,3</t>
  </si>
  <si>
    <t>(Примечание к табл. 2) Ксл - категория сложности проектируемого объекта (К=2,5) К2 = 2,5</t>
  </si>
  <si>
    <t>(Гл.1 п.2, Таб.1) Кис - суммарное количество источников ЧС (природных и техногенных) 4 К3 = 1,06</t>
  </si>
  <si>
    <t>Итоги по смете:</t>
  </si>
  <si>
    <t xml:space="preserve">     Итоги по разделу 1 Канатные дороги</t>
  </si>
  <si>
    <t>4 197 938,49</t>
  </si>
  <si>
    <t xml:space="preserve">     Итоги по разделу 3 Инженерная защита</t>
  </si>
  <si>
    <t>161 166,53</t>
  </si>
  <si>
    <t xml:space="preserve">     Итоги по разделу 4 Электроснабжение</t>
  </si>
  <si>
    <t xml:space="preserve">     Итоги по разделу 5 Наружные сети связи</t>
  </si>
  <si>
    <t>581 875,36</t>
  </si>
  <si>
    <t xml:space="preserve">     Итоги по разделу 6 Внутренние сети связи</t>
  </si>
  <si>
    <t>6 173 552,30</t>
  </si>
  <si>
    <t xml:space="preserve">     Итоги по разделу 7 Ливневая канализация</t>
  </si>
  <si>
    <t>440 376,52</t>
  </si>
  <si>
    <t xml:space="preserve">     Итоги по разделу 8 Рекультивация нарушенных земель</t>
  </si>
  <si>
    <t>72 867,09</t>
  </si>
  <si>
    <t xml:space="preserve">     Итоги по разделу 9 Разработка проекта временных дорог (согласно п.38 ТЧ  НЗ_АДКЭиС: стоимость проектирования временных автомобильных дорог определяется по параметрам цены для автомобильных дорог соответствующей технической категории)</t>
  </si>
  <si>
    <t>3 214 597,18</t>
  </si>
  <si>
    <t xml:space="preserve">     Итоги по разделу 10 ИТМ ГОЧС</t>
  </si>
  <si>
    <t>172 157,25</t>
  </si>
  <si>
    <t xml:space="preserve">     Итого</t>
  </si>
  <si>
    <t xml:space="preserve">     ВСЕГО по смете</t>
  </si>
  <si>
    <t>СМЕТА № 1-РД</t>
  </si>
  <si>
    <t>«Всесезонный туристско-рекреационный комплекс «Эльбрус», Кабардино-Балкарская Республика. Пассажирская подвесная канатная дорога. Буксировочная канатная дорога» расположенного по адресу: Южный склон г. Эльбрус в районе ледника Гарабаши, Проектные работы стадии "Рабочая документация"</t>
  </si>
  <si>
    <t xml:space="preserve">((2265000+1168*(0.4*1500+0.6*0.5*1500))*0,88)*(1+(0,3+0,15+0,15+0,15))*0,6*1,68*0,88
</t>
  </si>
  <si>
    <t>Стадийность проектирования Ки1 = 0,6</t>
  </si>
  <si>
    <t>Котн = 88%</t>
  </si>
  <si>
    <t xml:space="preserve">((2265000+1168*(0.4*1500+0.6*0.5*1500))*0,88)*0,6*1,68*0,11
</t>
  </si>
  <si>
    <t>Котн = 11%</t>
  </si>
  <si>
    <t xml:space="preserve">((2265000+1168*(0.4*1500+0.6*0.5*1500))*0,7627)*(1+(0,3+0,15+0,15+0,15))*0,35*0,6*1,68*0,88
</t>
  </si>
  <si>
    <t xml:space="preserve">((2265000+1168*(0.4*1500+0.6*0.5*1500))*0,7627)*0,35*0,6*1,68*0,11
</t>
  </si>
  <si>
    <t xml:space="preserve">(1600+480*360)*(1+(0,3+0,15+0,15+0,15))*0,6*1,53*0,9
</t>
  </si>
  <si>
    <t>Котн = 90%</t>
  </si>
  <si>
    <t xml:space="preserve">(1600+480*360)*0,6*1,53*0,1
</t>
  </si>
  <si>
    <t>Котн = 10%</t>
  </si>
  <si>
    <t xml:space="preserve">(17700+234*300)*0,8*(1+(0,3+0,15+0,15+0,15))*0,6*1,68*0,915
</t>
  </si>
  <si>
    <t>Котн = 91,5%</t>
  </si>
  <si>
    <t xml:space="preserve">(17700+234*300)*0,8*0,6*1,68*0,085
</t>
  </si>
  <si>
    <t>Котн = 8,5%</t>
  </si>
  <si>
    <t xml:space="preserve">(21200+30176*1,232)*1,3*0,6*1,68*0,895
</t>
  </si>
  <si>
    <t>Котн = 89,5%</t>
  </si>
  <si>
    <t xml:space="preserve">(21200+30176*1,232)*0,6*1,68*0,105
</t>
  </si>
  <si>
    <t>Котн = 10,5%</t>
  </si>
  <si>
    <t xml:space="preserve">(30300+209*930)*0,8*(1+(0,3+0,15+0,15+0,15))*0,6*1,68*0,915
</t>
  </si>
  <si>
    <t xml:space="preserve">(30300+209*930)*0,8*0,6*1,68*0,085
</t>
  </si>
  <si>
    <t xml:space="preserve">(82100+73*1300)*(1+(0,3+0,15+0,15+0,15))*0,6*1,68*0,915
</t>
  </si>
  <si>
    <t xml:space="preserve">(82100+73*1300)*0,6*1,68*0,085
</t>
  </si>
  <si>
    <t xml:space="preserve">(68100+96*1360)*1,3*0,6*1,68*0,895
</t>
  </si>
  <si>
    <t xml:space="preserve">(68100+96*1360)*0,6*1,68*0,105
</t>
  </si>
  <si>
    <t xml:space="preserve">(48300+124*(0.4*100+0.6*50))*(1+(0,3+0,15+0,15+0,15))*0,6*1,68*0,915
</t>
  </si>
  <si>
    <t xml:space="preserve">(48300+124*(0.4*100+0.6*50))*0,6*1,68*0,085
</t>
  </si>
  <si>
    <t xml:space="preserve">(104500+15480*6)*1,3*0,6*1,68*0,87
</t>
  </si>
  <si>
    <t>Котн = 87%</t>
  </si>
  <si>
    <t xml:space="preserve">(104500+15480*6)*0,6*1,68*0,13
</t>
  </si>
  <si>
    <t>Котн = 13%</t>
  </si>
  <si>
    <t xml:space="preserve">(77600+10350*10)*1,3*0,6*1,68*0,91
</t>
  </si>
  <si>
    <t>Котн = 91%</t>
  </si>
  <si>
    <t xml:space="preserve">(77600+10350*10)*0,6*1,68*0,09
</t>
  </si>
  <si>
    <t>Котн = 9%</t>
  </si>
  <si>
    <t xml:space="preserve">(21100*1)*1,3*0,6*1,68*0,87
</t>
  </si>
  <si>
    <t xml:space="preserve">(21100*1)*0,6*1,68*0,13
</t>
  </si>
  <si>
    <t xml:space="preserve">(140400*1)*1,3*0,6*1,68*0,86
</t>
  </si>
  <si>
    <t>Котн = 86%</t>
  </si>
  <si>
    <t xml:space="preserve">(140400*1)*0,6*1,68*0,14
</t>
  </si>
  <si>
    <t>Котн = 14%</t>
  </si>
  <si>
    <t xml:space="preserve">(76900+8138*6)*1,3*0,6*1,68*0,885
</t>
  </si>
  <si>
    <t>Котн = 88,5%</t>
  </si>
  <si>
    <t xml:space="preserve">(76900+8138*6)*0,6*1,68*0,115
</t>
  </si>
  <si>
    <t>Котн = 11,5%</t>
  </si>
  <si>
    <t xml:space="preserve">(32300+428*150)*0,5*(1+(0,3+0,15+0,15+0,15))*0,6*1,68*0,915
</t>
  </si>
  <si>
    <t xml:space="preserve">(32300+428*150)*0,5*0,6*1,68*0,085
</t>
  </si>
  <si>
    <t xml:space="preserve">(26600+23254*1)*1,3*0,5*3*0,6*1,68*0,85
</t>
  </si>
  <si>
    <t>Котн = 85%</t>
  </si>
  <si>
    <t xml:space="preserve">(26600+23254*1)*0,5*3*0,6*1,68*0,15
</t>
  </si>
  <si>
    <t>Котн = 15%</t>
  </si>
  <si>
    <t xml:space="preserve">(47300*1)*1,3*0,6*1,68*0,87
</t>
  </si>
  <si>
    <t xml:space="preserve">(47300*1)*0,6*1,68*0,13
</t>
  </si>
  <si>
    <t xml:space="preserve">(25980+4623*22)*0,58*1,3*7,1*0,81
</t>
  </si>
  <si>
    <t>Стадийность проектирования К2 = 0,58</t>
  </si>
  <si>
    <t>Котн = 81%</t>
  </si>
  <si>
    <t xml:space="preserve">(25980+4623*22)*0,58*7,1*0,18
</t>
  </si>
  <si>
    <t>Стадийность проектирования К3 = 0,58</t>
  </si>
  <si>
    <t>Котн = 18%</t>
  </si>
  <si>
    <t xml:space="preserve">(34200+790*45)*0,5*1,3*7,1*0,43
</t>
  </si>
  <si>
    <t>Котн = 43%</t>
  </si>
  <si>
    <t xml:space="preserve">(34200+790*45)*0,5*7,1*0,18
</t>
  </si>
  <si>
    <t xml:space="preserve">(25980+4623*51)*0,58*1,3*7,1*0,81
</t>
  </si>
  <si>
    <t xml:space="preserve">(25980+4623*51)*0,58*7,1*0,18
</t>
  </si>
  <si>
    <t xml:space="preserve">(965500+764720*5)*1,3*0,6*1,38*0,95
</t>
  </si>
  <si>
    <t>Котн = 95%</t>
  </si>
  <si>
    <t xml:space="preserve">((14000+2000*(0.4*25+0.6*0.5*25))*0,32)*0,6*1,53
</t>
  </si>
  <si>
    <t xml:space="preserve">(104500+15480*8)*1,3*0,6*1,68*0,87
</t>
  </si>
  <si>
    <t xml:space="preserve">(104500+15480*8)*0,6*1,68*0,13
</t>
  </si>
  <si>
    <t xml:space="preserve">(26600+23254*1)*1,3*0,6*1,68*0,85
</t>
  </si>
  <si>
    <t xml:space="preserve">(26600+23254*1)*0,6*1,68*0,15
</t>
  </si>
  <si>
    <t xml:space="preserve">(26600+23254*2)*1,3*0,5*0,6*1,68*0,85
</t>
  </si>
  <si>
    <t xml:space="preserve">(26600+23254*2)*0,5*0,6*1,68*0,15
</t>
  </si>
  <si>
    <t xml:space="preserve">(7790+628*4)*1,3*0,6*7,1*0,57
</t>
  </si>
  <si>
    <t>Котн = 57%</t>
  </si>
  <si>
    <t xml:space="preserve">(7790+628*4)*0,6*7,1*0,18
</t>
  </si>
  <si>
    <t xml:space="preserve">(73000*1)*0,6*1,53
</t>
  </si>
  <si>
    <t xml:space="preserve">(110100+7105*20)*1,3*0,6*1,68*0,91
</t>
  </si>
  <si>
    <t xml:space="preserve">(110100+7105*20)*0,6*1,68*0,09
</t>
  </si>
  <si>
    <t xml:space="preserve">(32300+428*(0.4*100+0.6*60))*0,5*1,3*0,6*1,68*0,915
</t>
  </si>
  <si>
    <t xml:space="preserve">(32300+428*(0.4*100+0.6*60))*0,5*0,6*1,68*0,085
</t>
  </si>
  <si>
    <t xml:space="preserve">(25980+4623*30)*0,58*1,3*7,1*0,81
</t>
  </si>
  <si>
    <t xml:space="preserve">(25980+4623*30)*0,58*7,1*0,18
</t>
  </si>
  <si>
    <t xml:space="preserve">(77600+10350*8)*1,3*0,6*1,68*0,91
</t>
  </si>
  <si>
    <t xml:space="preserve">(77600+10350*8)*0,6*1,68*0,09
</t>
  </si>
  <si>
    <t xml:space="preserve">(122600+641*150)*1,3*0,6*1,68*0,89
</t>
  </si>
  <si>
    <t>Котн = 89%</t>
  </si>
  <si>
    <t xml:space="preserve">(122600+641*150)*0,6*1,68*0,11
</t>
  </si>
  <si>
    <t xml:space="preserve">(122600+641*300)*1,3*0,6*1,68*0,89
</t>
  </si>
  <si>
    <t xml:space="preserve">(122600+641*300)*0,6*1,68*0,11
</t>
  </si>
  <si>
    <t xml:space="preserve">Котн = </t>
  </si>
  <si>
    <t xml:space="preserve">(965500+764720*5)*0,6*1,38*0,05
</t>
  </si>
  <si>
    <t>Котн = 5%</t>
  </si>
  <si>
    <t xml:space="preserve">(30500*1)*0,7*2,5*1,06*7,1
</t>
  </si>
  <si>
    <t>Стадийность проектирования К1 = 0,7</t>
  </si>
  <si>
    <t>6 660 190,89</t>
  </si>
  <si>
    <t>268 166,16</t>
  </si>
  <si>
    <t>905 737,59</t>
  </si>
  <si>
    <t>10 336 394,25</t>
  </si>
  <si>
    <t>681 543,62</t>
  </si>
  <si>
    <t>5 095 506,62</t>
  </si>
  <si>
    <t>401 700,25</t>
  </si>
  <si>
    <t>«Всесезонный туристско-рекреационный комплекс «Эльбрус», Кабардино-Балкарская Республика. Пассажирская подвесная канатная дорога. Буксировочная канатная дорога» расположенного по адресу: Южный склон г. Эльбрус в районе ледника Гарабаши1</t>
  </si>
  <si>
    <t>Наименование объекта</t>
  </si>
  <si>
    <t>Стоимость разработки ПД, руб.</t>
  </si>
  <si>
    <t>Стоимость разработки РД, руб.</t>
  </si>
  <si>
    <t>Итого стоимость ПД+РД, руб.</t>
  </si>
  <si>
    <t>Разработка и согласование специальных технических условий по пожарной безопасности</t>
  </si>
  <si>
    <t>Конъюнктурный анализ цен</t>
  </si>
  <si>
    <t>Выполнение научно-технического сопровождения инженерно-геологических изысканий (НТС ИГИ)</t>
  </si>
  <si>
    <t>Выполнение научно-технического сопровождения оценки лавинной и селевой опасности (НТС ЛО)</t>
  </si>
  <si>
    <t>Разработка программы геотехнического мониторинга</t>
  </si>
  <si>
    <t>1.9</t>
  </si>
  <si>
    <t xml:space="preserve">СВОДНАЯ ВЕДОМОСТЬ </t>
  </si>
  <si>
    <t>стоимости разработки программы ГТМ</t>
  </si>
  <si>
    <t>Виды работ</t>
  </si>
  <si>
    <t>Программа ГТМ (Смета № 1на построение опорной сети)</t>
  </si>
  <si>
    <t>Программа ГТМ (Смета № 2 на проведение наблюдений)</t>
  </si>
  <si>
    <t xml:space="preserve">Сводная смета разработки программы ГТМ </t>
  </si>
  <si>
    <t>Выполнение научно-технического сопровождения проектирования конструкций и сооружений повышенного уровня ответственности ППКД (НТС КР)</t>
  </si>
  <si>
    <t>Выполнение научно-технического сопровождения проектирования сооружений инженерной защиты (НТС КР)</t>
  </si>
  <si>
    <t>Водоотводные канавы:</t>
  </si>
  <si>
    <t>Кабельная линия 0,4 кВ в траншее, кабель АПвКШп- 4х90 мм2 с установкой шкафа распределительного ШР-1 в районе операторской НСКД БКД, на 4 отходящие линии</t>
  </si>
  <si>
    <t>Распределительный щит</t>
  </si>
  <si>
    <t>Главный распределительный щит 0,4 кВ здания, мощностью кВт: до 800 ( Разделы  ПЗУ,АР,КР, ИОС), 1 (1 щит)</t>
  </si>
  <si>
    <t>НЗ_СИТО_ИО "Строительство, реконструкция сетей инженерно-технического обеспечения и объектов инфраструктуры", таб.3.13 п.10.1 (НЗ_СИТО_ИО-3.13-10.1)</t>
  </si>
  <si>
    <t xml:space="preserve">(122100*1)*1,3*0,2*0,4*1,68*0,775
</t>
  </si>
  <si>
    <t>(Приказ от 01.10.2021 № 707/пр, № 409/пр от 08.06.2023 г. Прил.6 табл.16.1 п.1) Привязка без внесения каких-либо изменений, доля в цене основных проектных работ - 20% К1 = 0,2</t>
  </si>
  <si>
    <t>Котн = 77,5%</t>
  </si>
  <si>
    <t>Главный распределительный щит 0,4 кВ здания, мощностью кВт: до 800 (Разделы ПЗ,ПОС,ООС,ПБ,СМ), 1 (1 щит)</t>
  </si>
  <si>
    <t xml:space="preserve">(122100*1)*0,2*0,4*1,68*0,225
</t>
  </si>
  <si>
    <t>Котн = 22,5%</t>
  </si>
  <si>
    <t>Кабельная линия 0,4 кВ в траншее, кабель АПвКШп 3х240 мм2</t>
  </si>
  <si>
    <t>Сооружений кабельной электрической линии напряжением до 20 кВ:от 500 до 1000 включительно (разделы: ППО, ТКР), 800 (п.м)</t>
  </si>
  <si>
    <t xml:space="preserve">(30300+209*800)*0,8*1,3*1,15*1,15*1,15*0,4*1,68*0,79
</t>
  </si>
  <si>
    <t>Сооружений кабельной электрической линии напряжением до 20 кВ: от 500 до 1000 включительно (разделы: ПЗ, ПОС, ООС, ПБ, СМ), 800 (п.м)</t>
  </si>
  <si>
    <t xml:space="preserve">(30300+209*800)*0,8*0,4*1,68*0,21
</t>
  </si>
  <si>
    <t>ДГУ, мощность 110 кВА = 88 кВт. (уточнить расчетом)</t>
  </si>
  <si>
    <t>Дизельная электростанция мощностью:   от 300 до 500 включительно (разделы ПЗУ,АР,КР,ИОС), 88 (кВт)</t>
  </si>
  <si>
    <t>НЗ_СИТО_ИО "Строительство, реконструкция сетей инженерно-технического обеспечения и объектов инфраструктуры", таб.3.15 п.1-1 (НЗ_СИТО_ИО-3.15-1-1)</t>
  </si>
  <si>
    <t xml:space="preserve">((224900+1742*(0.4*300+0.6*0.5*300))*0,5867)*1,3*0,2*0,4*1,68*0,795
</t>
  </si>
  <si>
    <t>Понижающий коэффициент (88/(0.5*300)) Кпониж = 0,5867</t>
  </si>
  <si>
    <t>Котн = 79,5%</t>
  </si>
  <si>
    <t>Дизельная электростанция мощностью:   от 300 до 500 включительно (разделы ПЗ,ПОС,ООС,ПБ,ТБЭ,ЭЭ,СМ), 88 (кВт)</t>
  </si>
  <si>
    <t xml:space="preserve">((224900+1742*(0.4*300+0.6*0.5*300))*0,5867)*0,2*0,4*1,68*0,205
</t>
  </si>
  <si>
    <t>Котн = 20,5%</t>
  </si>
  <si>
    <t>17.1</t>
  </si>
  <si>
    <t>18.1</t>
  </si>
  <si>
    <t>25.1</t>
  </si>
  <si>
    <t>26.1</t>
  </si>
  <si>
    <t>31.1</t>
  </si>
  <si>
    <t>32.1</t>
  </si>
  <si>
    <t>44.1</t>
  </si>
  <si>
    <t>45.1</t>
  </si>
  <si>
    <t>48</t>
  </si>
  <si>
    <t>49</t>
  </si>
  <si>
    <t>582 355,00</t>
  </si>
  <si>
    <t>15 596 885,72</t>
  </si>
  <si>
    <t xml:space="preserve">(122100*1)*1,3*0,2*0,6*1,68*0,88
</t>
  </si>
  <si>
    <t xml:space="preserve">(122100*1)*0,2*0,6*1,68*0,12
</t>
  </si>
  <si>
    <t>Котн = 12%</t>
  </si>
  <si>
    <t xml:space="preserve">(30300+209*800)*0,8*1,3*1,15*1,15*1,15*0,6*1,68*0,915
</t>
  </si>
  <si>
    <t xml:space="preserve">(30300+209*800)*0,8*0,6*1,68*0,085
</t>
  </si>
  <si>
    <t xml:space="preserve">((224900+1742*(0.4*300+0.6*0.5*300))*0,5867)*1,3*0,2*0,6*1,68*0,895
</t>
  </si>
  <si>
    <t xml:space="preserve">((224900+1742*(0.4*300+0.6*0.5*300))*0,5867)*0,2*0,6*1,68*0,105
</t>
  </si>
  <si>
    <t>921 075,91</t>
  </si>
  <si>
    <t>25 343 182,38</t>
  </si>
  <si>
    <t>Коэф-т 1.0 и 6% от п.1.3, 4.1-4.2</t>
  </si>
  <si>
    <t>СБЦ на инж.из. для стр-ва "Инженерно-геодезические изыскания при строительстве и эксплуатации зданий и сооружений" (ОУ п. 13)</t>
  </si>
  <si>
    <t>Расходы по организации и ликвидации работ коэффициента для изысканий со сметной стоимостью свыше 150 тыс. руб</t>
  </si>
  <si>
    <t>19.6% от п.1.3, 4.1-4.2</t>
  </si>
  <si>
    <t>8.75% от п.1.3, 4.1</t>
  </si>
  <si>
    <t>Расходы по внутреннему транспорту. Расстояние от базы до участка изысканий св. 5 до 10 км. Сметная стоимость полевых изыск.работ св.150 до 300 тыс.руб</t>
  </si>
  <si>
    <t>Коэф-т 0.25 от п.1.3</t>
  </si>
  <si>
    <t>A * Количество * K1 * K2
1 706 руб. * 15 * 1.35 * 0.5</t>
  </si>
  <si>
    <t>га</t>
  </si>
  <si>
    <t>СЦ 7.59-01-004 Таблица 1. п.4
A = 1.706 тыс. руб.
Количество = 15 (га)</t>
  </si>
  <si>
    <t>Площадь участка местности, подлежащего очистке от взрывоопасных предметов свыше 10 до 50 га</t>
  </si>
  <si>
    <t>A * Количество * (1 + дроб. ч. K1 + дроб. ч. K2)
3 270 руб. * 15 * (1 + 0.1 + 1.5)</t>
  </si>
  <si>
    <t>СЦ 7.59-02-01-01 Таблица 2. п.1
A = 3.270 тыс. руб.
Количество = 15 (га)</t>
  </si>
  <si>
    <t xml:space="preserve"> АО "КАВКАЗ.РФ"</t>
  </si>
  <si>
    <t>на изыскательские работы</t>
  </si>
  <si>
    <t>Смета №7-ВОП</t>
  </si>
  <si>
    <t>Смета № 7-воп</t>
  </si>
  <si>
    <t>(Апред + (Аслед - Апред) / (Xслед - Xпред) * (X - Xпред)) * Количество * Ктек
(76 000 руб. + (204 000 руб. - 76 000 руб.) / (5 000 000 руб. - 1 000 000 руб.) * (1 216 794 руб. - 1 000 000 руб.)) * 1 * 1.25</t>
  </si>
  <si>
    <t>НЗ 11.16_0-10-81(1) Таблица 81 п. 3
Aпред = 76 000 руб.; Aслед = 204 000 руб.;
Xпред = 1 000 тыс. руб.; Xслед = 5 000 тыс. руб.; 
X = 1 216.794 тыс. руб.;
Количество = 1;</t>
  </si>
  <si>
    <t>(Апред + (Аслед - Апред) / (Xслед - Xпред) * (X - Xпред)) * Количество * Ктек
(36 839 руб. + (127 949 руб. - 36 839 руб.) / (5 000 000 руб. - 1 000 000 руб.) * (1 216 794 руб. - 1 000 000 руб.)) * 1 * 1.25</t>
  </si>
  <si>
    <t>НЗ 11.16_0-10-80(1) Таблица 80 п.3
Aпред = 36 839 руб.; Aслед = 127 949 руб.;
Xпред = 1 000 тыс. руб.; Xслед = 5 000 тыс. руб.; 
X = 1 216.794 тыс. руб.;
Количество = 1;</t>
  </si>
  <si>
    <t>X * ((Aпред + (Aслед - Aпред) / (Xслед - Xпред) * (X – Xпред)) / 100) * Количество * Ктек
1183.089 * ((7.7 + (2.2 - 7.7) / (3000 - 1000) * (1183.089 - 1000)) / 100) * 1 * 1.25</t>
  </si>
  <si>
    <t>НЗ 11.16_0-2-4(1) Таблица 4
Aпред = 7.7%;
Aслед = 2.2%;
Xпред = 1000 тыс. руб.;
Xслед = 3000 тыс. руб.;
X = 1183.089 тыс. руб.;
Сп = 1183089 руб. в базовом уровне цен</t>
  </si>
  <si>
    <t>X * ((Aпред + (Aслед - Aпред) / (Xслед - Xпред) * (X – Xпред)) / 100) * Количество * Ктек
1183.089 * ((8 + (6.7 - 8) / (3000 - 1000) * (1183.089 - 1000)) / 100) * 1 * 1.25</t>
  </si>
  <si>
    <t>НЗ 11.16_0-2-3(1) Таблица 3
Aпред = 8.0%;
Aслед = 6.7%;
Xпред = 1000 тыс. руб.;
Xслед = 3000 тыс. руб.;
X = 1183.089 тыс. руб.;
Сп = 1183089 руб. в базовом уровне цен</t>
  </si>
  <si>
    <t>(ПЗ1к + ПЗ2к * Sсъемки) * Количество * Ктек
(1 769 руб. + 371 руб. * 15) * 1 * 1.25</t>
  </si>
  <si>
    <t>НЗ 11.16_0-6-52-8 Таблица 52 п.8
ПЗ1к = 1 769 руб.;
ПЗ2к = 371 руб.;
Sсъемки = 15 (1 гектар);
Количество = 1;</t>
  </si>
  <si>
    <t xml:space="preserve">Нанесение подземных инженерных коммуникаций с их техническими характеристиками на инженерно-топографический план в масштабе 1:1000: при количестве подземных инженерных коммуникаций по назначению на участке, подлежащем топографической съемке от 3 (трех) до 8 восьми включительно. от 10 до 50 гектаров включительно. </t>
  </si>
  <si>
    <t>(ПЗ1к + ПЗ2к * Sсъемки) * Количество * Ктек
(4 980 руб. + 969 руб. * 15) * 1 * 1.25</t>
  </si>
  <si>
    <t>НЗ 11.16_0-6-48-10 Таблица 48 п.10
ПЗ1к = 4 980 руб.;
ПЗ2к = 969 руб.;
Sсъемки = 15 (1 гектар);
Количество = 1;</t>
  </si>
  <si>
    <t xml:space="preserve">Создание инженерно-топографических планов в масштабе 1:1000. Незастроенная территория. для условий выполнения полевых работ категории III. Площадь участка от 10 до 50 гектаров включительно. </t>
  </si>
  <si>
    <t>A * Количество * Ктек
4882 руб. * 70 * 1.25</t>
  </si>
  <si>
    <t>НЗ 11.16_0-7-55-5 Таблица 55 п.5
A = 4882 руб.;
Количество = 70 (1 точка);</t>
  </si>
  <si>
    <t>A * Количество * Ктек
16030 руб. * 15 * 1.25</t>
  </si>
  <si>
    <t>НЗ 11.16_0-5-46-1 Таблица 46 п.1
A = 16030 руб.;
Количество = 15 (1 гектар);</t>
  </si>
  <si>
    <t>A * Количество * Ктек
26803 руб. * 15 * 1.25</t>
  </si>
  <si>
    <t>НЗ 11.16_0-4-18-6 Таблица 18 п.6
A = 26803 руб.;
Количество = 15 (1 гектар);</t>
  </si>
  <si>
    <t xml:space="preserve">Топографическая съемка тахеометрическим методом и сочетанием тахеометрического метода с методом спутниковых геодезических определений высотой сечения рельефа через 0.5 м метров. Незастроенная территория. в масштабе 1:1000 в условиях выполнения полевых работ . Категория III. </t>
  </si>
  <si>
    <t>A * Количество * Ктек * К3
47051 руб. * 4 * 1.25 * 0.5</t>
  </si>
  <si>
    <t>НЗ 11.16_0-3-7-9 Таблица 7 п.9
A = 47051 руб.;
Количество = 4 (1 пункт);</t>
  </si>
  <si>
    <t xml:space="preserve">Создание пунктов плановой опорной геодезической сети без закладки центров методом спутниковых геодезических определений: 2-го разряда в условиях выполнения полевых работ . Категория III. </t>
  </si>
  <si>
    <t>Инженерно-геодезические изыскания</t>
  </si>
  <si>
    <t>на инженерно-геодезические изыскания</t>
  </si>
  <si>
    <t>Описание точек наблюдений при составлении инженерно-экологических карт. Категория сложности-II. Количество точек наблюдений (ПКОЛ)</t>
  </si>
  <si>
    <t>Отбор почво-грунтов</t>
  </si>
  <si>
    <t xml:space="preserve">Отбор фоновых проб </t>
  </si>
  <si>
    <t>Отбор поверхностной воды (льда)</t>
  </si>
  <si>
    <t xml:space="preserve">Отбор точечных проб для анализа на загрязненность по химическим показателям:воды с поверхности 
</t>
  </si>
  <si>
    <t xml:space="preserve">Табл. 60, § 1 </t>
  </si>
  <si>
    <t xml:space="preserve">Отбор проб для бактериологического анализа воды 
</t>
  </si>
  <si>
    <t xml:space="preserve">Табл. 60, § 9 </t>
  </si>
  <si>
    <t>Отбор донных отложений</t>
  </si>
  <si>
    <t>Отбор донных отложений из поверхностного слоя для анализа на загрязненность по химическим показателям</t>
  </si>
  <si>
    <t xml:space="preserve">Табл. 60, § 5 </t>
  </si>
  <si>
    <t xml:space="preserve">Отбор донных отложений из поверхностного слоя длябактериологического анализа </t>
  </si>
  <si>
    <t xml:space="preserve">Табл. 60, § 11 </t>
  </si>
  <si>
    <t>Измерение потока радона на  3 площадках</t>
  </si>
  <si>
    <t xml:space="preserve">Лабораторные исследования отобранных проб компонентов окружающей среды </t>
  </si>
  <si>
    <t>Исследование почво-грунтов и донных отложений</t>
  </si>
  <si>
    <t xml:space="preserve"> Приготовление солянокислой вытяжки (8 проб + 3 фон + 2 прбы дон.)</t>
  </si>
  <si>
    <t>Лабораторные исследования  по определению химического состава поверхностных и подземных вод</t>
  </si>
  <si>
    <t>Запах при 20 град. Ц</t>
  </si>
  <si>
    <t>Запах при 60 град. Ц</t>
  </si>
  <si>
    <t>Составление отчета о результатах работ</t>
  </si>
  <si>
    <t xml:space="preserve">Табл. 4, § 2   </t>
  </si>
  <si>
    <t>Расходы по внешнему транспорту (расстояние 130 км)</t>
  </si>
  <si>
    <t>Всего услуг лаборатории</t>
  </si>
  <si>
    <t>Краткая климатическая характеристика:</t>
  </si>
  <si>
    <t>Среденее максимальное значение  температуры наиболее жаркого месяца и среднее минимальное значение температуры наиболее холодного месяца</t>
  </si>
  <si>
    <t>Коэффициент сратификации атмосферы</t>
  </si>
  <si>
    <t>Скорость ветра, повторяемость превышения которой по многолетним данным сотовляет 5%</t>
  </si>
  <si>
    <t>Повторяемость направлений ветра и штилей, в процентах</t>
  </si>
  <si>
    <t>Коэффициент рельефа местности</t>
  </si>
  <si>
    <r>
      <t>Справка с фоновыми концентрациями в атмосферном воздухе:
(по 6 показателям загрязнения: взвешенные вещества, SO</t>
    </r>
    <r>
      <rPr>
        <sz val="11"/>
        <rFont val="Times New Roman Cyr"/>
        <charset val="204"/>
      </rPr>
      <t xml:space="preserve">2, </t>
    </r>
    <r>
      <rPr>
        <sz val="12"/>
        <rFont val="Times New Roman Cyr"/>
        <charset val="204"/>
      </rPr>
      <t>NO</t>
    </r>
    <r>
      <rPr>
        <sz val="11"/>
        <rFont val="Times New Roman Cyr"/>
        <charset val="204"/>
      </rPr>
      <t xml:space="preserve">2, </t>
    </r>
    <r>
      <rPr>
        <sz val="12"/>
        <rFont val="Times New Roman Cyr"/>
        <charset val="204"/>
      </rPr>
      <t>NO, CO, бензапирен</t>
    </r>
    <r>
      <rPr>
        <sz val="12"/>
        <rFont val="Times New Roman CYR"/>
        <family val="1"/>
        <charset val="204"/>
      </rPr>
      <t>)</t>
    </r>
  </si>
  <si>
    <t xml:space="preserve">Рыбохозяйственная характеристика водного объекта </t>
  </si>
  <si>
    <t>Услуга</t>
  </si>
  <si>
    <t>Прейскурант (от 13.01.2026) базовых цен на оказание услуг (выполнение работ) заключаемых ФГБУ "Главрыбвод" с физическим и юридическими лицами. Раздел №2</t>
  </si>
  <si>
    <t>Ботаническое и зоологическое обследование территориина  на наличие краснокнижных растений и животных: Перечень платных услуг ФГБУ "Национальный парк"Приэльбрусье"</t>
  </si>
  <si>
    <t>Всего работ в ценах 2026 г.</t>
  </si>
  <si>
    <t>Табл. 87, § 2, категория 2 ИГУ</t>
  </si>
  <si>
    <t>Расходы по внутреннему транспорту (расстояние от базы до участка изысканий св. 5 до 10 км). Сметная стоимость полевых изыскательских работ до 5 тыс.руб.</t>
  </si>
  <si>
    <t>Конъюнктурный анализ цен
(КП ООО "НКД" исх. №1177/26-НКД от 01.07.2026, ВП-26-4978)</t>
  </si>
  <si>
    <t>(Апред + (Аслед - Апред) / (Xслед - Xпред) * (X - Xпред)) * Количество * Ктек
(317 143 руб. + (475 755 руб. - 317 143 руб.) / (250 000 руб. - 100 000 руб.) * (189 484 руб. - 100 000 руб.)) * 1 * 1.25</t>
  </si>
  <si>
    <t>НЗ 11.20_0-9-65(3) Таблица 65 п. 18
Aпред = 317 143 руб.; Aслед = 475 755 руб.;
Xпред = 100.0 тыс. руб.; Xслед = 250.0 тыс. руб.; 
X = 189.484 тыс. руб.;
Количество = 1;</t>
  </si>
  <si>
    <t>4.5</t>
  </si>
  <si>
    <t>A * Количество * Ктек * К22
157915 руб. * 1 * 1.25 * 1.4</t>
  </si>
  <si>
    <t>НЗ 11.20_0-10-66-16 Таблица 66 п.16
A = 157915 руб.;
Количество = 1 (одна программа);</t>
  </si>
  <si>
    <t xml:space="preserve">Составление программы инженерно-геологических изысканий для II категории сложности инженерно-геологических условий: при площади земельного участка (участка для строительства) от 10 (десяти) до 100 (ста) гектаров включительно. Максимальная глубина исследования от 5 до 10 метров включительно. </t>
  </si>
  <si>
    <t>X * ((Aпред + (Aслед - Aпред) / (Xслед - Xпред) * (X – Xпред)) / 100) * Количество * Ктек
8529.58 * ((11.8 + (9.1 - 11.8) / (10000 - 5000) * (8529.58 - 5000)) / 100) * 1 * 1.25</t>
  </si>
  <si>
    <t>НЗ 11.20_0-2-4(4) Таблица 4
Aпред = 11.8%;
Aслед = 9.1%;
Xпред = 5000 тыс. руб.;
Xслед = 10000 тыс. руб.;
X = 8529.58 тыс. руб.;
СП = 8529580 руб. в базовом уровне цен без учета K2</t>
  </si>
  <si>
    <t xml:space="preserve">Значения показателя дополнительных затрат на проезд (ДЗпроезд1) при стоимости полевых работ, рассчитанной по показателям затрат НЗ в уровне цен по состоянию на 1 января 2024 г. (СПпз). Расстояние от места постоянной работы работников до участка проведения полевых работ от 1 000 до 2 000 километров включительно. </t>
  </si>
  <si>
    <t>А / 100 * Х * Количество * Ктек
6.5 / 100 * 8529.58 * 1 * 1.25</t>
  </si>
  <si>
    <t>НЗ 11.20_0-2-8(4) Таблица 8
A = 6.5%;
X = 8529.58 тыс. руб.;
СП = 8529580 руб. в базовом уровне цен без учета K2</t>
  </si>
  <si>
    <t xml:space="preserve">Показатель дополнительных затрат на организацию полевых работ (ДЗорг)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от 1 000 до 2 000 километров включительно. </t>
  </si>
  <si>
    <t>40% от п.1.1-1.5 * Ктек
8 529 580 руб. * 40 / 100 * 1.25</t>
  </si>
  <si>
    <t>НЗ 11.20_0-2-3-5 Таблица 3
СП = 8529580 руб. в базовом уровне цен</t>
  </si>
  <si>
    <t xml:space="preserve">Дополнительные затраты на производство полевых работ в неблагоприятный период года. Продолжительность неблагоприятного периода года от 7.0 до 7.9 месяцев. </t>
  </si>
  <si>
    <t>A * Количество * Ктек
352 руб. * 6 * 1.25</t>
  </si>
  <si>
    <t>НЗ 11.20_0-8-64-2 Таблица 64 п.2
A = 352 руб.;
Количество = 6 (один образец);</t>
  </si>
  <si>
    <t>A * Количество * Ктек
316 руб. * 20 * 1.25</t>
  </si>
  <si>
    <t>НЗ 11.20_0-7-62-3 Таблица 62 п.3
A = 316 руб.;
Количество = 20 (один образец);</t>
  </si>
  <si>
    <t>НЗ 11.20_0-7-62-1 Таблица 62 п.1
A = 320 руб.;
Количество = 20 (один образец);</t>
  </si>
  <si>
    <t>A * Количество * Ктек
1252 руб. * 5 * 1.25</t>
  </si>
  <si>
    <t>НЗ 11.20_0-4-33-4 Таблица 33 п.4
A = 1252 руб.;
Количество = 5 (одна закопушка);</t>
  </si>
  <si>
    <t>A * Количество * Ктек
434 руб. * 388 * 1.25</t>
  </si>
  <si>
    <t>388</t>
  </si>
  <si>
    <t>НЗ 11.20_0-4-33-3 Таблица 33 п.3
A = 434 руб.;
Количество = 388 (погонный метр);</t>
  </si>
  <si>
    <t>A * Количество * Ктек
2726 руб. * 6 * 1.25</t>
  </si>
  <si>
    <t>НЗ 11.20_0-8-63-5 Таблица 63 п.5
A = 2726 руб.;
Количество = 6 (одно определение);</t>
  </si>
  <si>
    <t>2.18</t>
  </si>
  <si>
    <t>A * Количество * Ктек
3029 руб. * 20 * 1.25</t>
  </si>
  <si>
    <t>НЗ 11.20_0-7-61-1 Таблица 61 п.1
A = 3029 руб.;
Количество = 20 (одно определение);</t>
  </si>
  <si>
    <t>A * Количество * Ктек
3452 руб. * 20 * 1.25</t>
  </si>
  <si>
    <t>НЗ 11.20_0-7-57-25 Таблица 57 п.25
A = 3452 руб.;
Количество = 20 (одно определение);</t>
  </si>
  <si>
    <t>НЗ 11.20_0-7-57-4 Таблица 57 п.4
A = 600 руб.;
Количество = 20 (одно определение);</t>
  </si>
  <si>
    <t>A * Количество * Ктек
653 руб. * 20 * 1.25</t>
  </si>
  <si>
    <t>НЗ 11.20_0-7-57-3 Таблица 57 п.3
A = 653 руб.;
Количество = 20 (одно определение);</t>
  </si>
  <si>
    <t>НЗ 11.20_0-7-57-1 Таблица 57 п.1
A = 229 руб.;
Количество = 20 (одно определение);</t>
  </si>
  <si>
    <t>НЗ 11.20_0-7-56-3 Таблица 56 п.3
A = 141 руб.;
Количество = 10 (один образец грунта);</t>
  </si>
  <si>
    <t>НЗ 11.20_0-7-56-2 Таблица 56 п.2
A = 335 руб.;
Количество = 10 (один образец грунта);</t>
  </si>
  <si>
    <t>НЗ 11.20_0-7-56-1 Таблица 56 п.1
A = 459 руб.;
Количество = 10 (один образец грунта);</t>
  </si>
  <si>
    <t>НЗ 11.20_0-7-57-32 Таблица 57 п.32
A = 13689 руб.;
Количество = 10 (одно определение);</t>
  </si>
  <si>
    <t>A * Количество * Ктек
1852 руб. * 20 * 1.25</t>
  </si>
  <si>
    <t>НЗ 11.20_0-7-57-14 Таблица 57 п.14
A = 1852 руб.;
Количество = 20 (одно определение);</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</si>
  <si>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гранулометрического (микроагрегатного) состава грунта ареометрическим методом с разделением грунта на фракции размерами: от 0,05 до 0,1 миллиметра, от 0,01 до 0,05 миллиметра, от 0,005 до 0,01 миллиметра, от 0,001 до 0,002 миллиметра и до 0,001 миллиметра</t>
  </si>
  <si>
    <t>НЗ 11.20_0-7-57-11 Таблица 57 п.11
A = 1835 руб.;
Количество = 20 (одно определение);</t>
  </si>
  <si>
    <t>НЗ 11.20_0-7-57-26 Таблица 57 п.26
A = 512 руб.;
Количество = 20 (одно определение);</t>
  </si>
  <si>
    <t>НЗ 11.20_0-7-56-3 Таблица 56 п.3
A = 141 руб.;
Количество = 20 (один образец грунта);</t>
  </si>
  <si>
    <t>НЗ 11.20_0-7-56-2 Таблица 56 п.2
A = 335 руб.;
Количество = 20 (один образец грунта);</t>
  </si>
  <si>
    <t>НЗ 11.20_0-7-56-1 Таблица 56 п.1
A = 459 руб.;
Количество = 20 (один образец грунта);</t>
  </si>
  <si>
    <t>A * Количество * Ктек
9005 руб. * 5 * 1.25</t>
  </si>
  <si>
    <t>НЗ 11.20_0-4-28-9 Таблица 28 п.9
A = 9005 руб.;
Количество = 5 (одна закопушка);</t>
  </si>
  <si>
    <t>A * Количество * Ктек
1536 руб. * 310 * 1.25</t>
  </si>
  <si>
    <t>310</t>
  </si>
  <si>
    <t>НЗ 11.20_0-4-25-1 Таблица 25 п.1
A = 1536 руб.;
Количество = 310 (погонный метр);</t>
  </si>
  <si>
    <t>A * Количество * Ктек
29921 руб. * 200 * 1.25</t>
  </si>
  <si>
    <t>200</t>
  </si>
  <si>
    <t>НЗ 11.20_0-4-14-32 Таблица 14 п.32
A = 29921 руб.;
Количество = 200 (погонный метр);</t>
  </si>
  <si>
    <t>A * Количество * Ктек
10254 руб. * 188 * 1.25</t>
  </si>
  <si>
    <t>188</t>
  </si>
  <si>
    <t>НЗ 11.20_0-4-14-8 Таблица 14 п.8
A = 10254 руб.;
Количество = 188 (погонный метр);</t>
  </si>
  <si>
    <t>(ПЗ1п + ПЗ2п * Sреког) * Количество * Ктек
(21 218 руб. + 5 015 руб. * 15) * 1 * 1.25</t>
  </si>
  <si>
    <t>гектар</t>
  </si>
  <si>
    <t>НЗ 11.20_0-3-12-12 Таблица 12 п.12
ПЗ1п = 21 218 руб.;
ПЗ2п = 5 015 руб.;
Sреког = 15 (гектар);
Количество = 1;</t>
  </si>
  <si>
    <t xml:space="preserve">Рекогносцировочное обследование: в условиях производства полевых работ категории III. площадь участка от 5 до 20 гектаров включительно. </t>
  </si>
  <si>
    <t>на инженерно-геологические изыскания</t>
  </si>
  <si>
    <t>Адепт: Проект v 2026.4.1 © ООО"Адепт"</t>
  </si>
  <si>
    <t xml:space="preserve">Значения показателя дополнительных затрат на проезд (ДЗпроезд1), при стоимости полевых работ в уровне цен по состоянию на 1 января 2024 г., рассчитанной по показателям затрат НЗ (СПпз). Расстояние от места постоянной работы работников до участка проведения полевых работ от 1000 до 2000 километров включительно. </t>
  </si>
  <si>
    <t xml:space="preserve">Показатель дополнительных затрат на организацию полевых работ (ДЗорг) при стоимости полевых работ в уровне цен по состоянию на 1 января 2024 г., рассчитанной по показателям затрат НЗ (СПпз). Расстояние от места постоянной работы работников до участка проведения полевых работ от 1000 до 2000 километров включительно. </t>
  </si>
  <si>
    <t>A * Количество * Ктек
659 руб. * 36 * 1.25</t>
  </si>
  <si>
    <t>один расчет</t>
  </si>
  <si>
    <t>НЗ 11.22_0-13-51-5 Таблица 51 п.5
A = 659 руб.;
Количество = 36 (один расчет);</t>
  </si>
  <si>
    <t>Расчет приращения сейсмической интенсивности в рамках метода сейсмических жесткостей</t>
  </si>
  <si>
    <t>A * Количество * Ктек
996 руб. * 3 * 1.25</t>
  </si>
  <si>
    <t>одна модель грунтовой толщи</t>
  </si>
  <si>
    <t>НЗ 11.22_0-13-51-2 Таблица 51 п.2
A = 996 руб.;
Количество = 3 (одна модель грунтовой толщи);</t>
  </si>
  <si>
    <t>Составление сейсмогеологической модели (модели грунтовой толщи)</t>
  </si>
  <si>
    <t>К21 = 0.71
Табл.38, п.1 (Ценообразующий)</t>
  </si>
  <si>
    <t xml:space="preserve">(К21) Стоимость работ по камеральной обработке результатов полевых работ по наземной сейсморазведке МПВ и (или) МОВ при регистрации продольных волн, поперечных волн, поочередной регистрации продольных и поперечных волн, при количестве одновременно регистрируемых каналов на сейсморазведочной аппаратуре - 24, рассчитывается с применением корректирующего коэффициента </t>
  </si>
  <si>
    <t>A * Количество * Ктек * К21
2994 руб. * 36 * 1.25 * 0.71</t>
  </si>
  <si>
    <t>одно наблюдение</t>
  </si>
  <si>
    <t>НЗ 11.22_0-7-37-1 Таблица 37 п.1
A = 2994 руб.;
Количество = 36 (одно наблюдение);</t>
  </si>
  <si>
    <t xml:space="preserve">Камеральная обработка результатов полевых работ по наземной сейсморазведке при количестве одновременно регистрируемых каналов на сейсморазведочной аппаратуре ‒ 48 (сорок восемь) каналов: МПВ. </t>
  </si>
  <si>
    <t>метр</t>
  </si>
  <si>
    <t xml:space="preserve">Камеральная обработка результатов полевых работ по ГРЛ, выполненных с применением многочастотной антенны при количестве каналов записи: 2. </t>
  </si>
  <si>
    <t>К20 = 1.05
Табл.36, п.1 (Ценообразующий)</t>
  </si>
  <si>
    <t xml:space="preserve">(К20) Стоимость полевых работ по наземной сейсморазведке МПВ, МОВ и (или) МАПВ при регистрации продольных волн, поперечных волн, поочередной регистрации продольных и поперечных волн при шаге между пунктами приема на фиксированной приемной расстановке от 2 до 5 метров включительно, рассчитывается с применением корректирующего коэффициента </t>
  </si>
  <si>
    <t>К18 = 0.65
Табл.34, п.1 (Ценообразующий)</t>
  </si>
  <si>
    <t xml:space="preserve">(К18) Стоимость полевых работ по наземной сейсморазведке МПВ, МОВ и (или) МАПВ при регистрации продольных волн, поперечных волн, поочередной регистрации продольных и поперечных волн при количестве одновременно регистрируемых каналов на сейсморазведочной аппаратуре - 24, определяется с применением корректирующего коэффициента </t>
  </si>
  <si>
    <t>A * Количество * Ктек * К18 * К20
4389 руб. * 36 * 1.25 * 0.65 * 1.05</t>
  </si>
  <si>
    <t>НЗ 11.22_0-7-33-74 Таблица 33 п.74
A = 4389 руб.;
Количество = 36 (одно наблюдение);</t>
  </si>
  <si>
    <t xml:space="preserve">Наземная сейсморазведка МПВ, МОВ и (или) МАПВ при регистрации поперечных волн с шагом между пунктами приема на фиксированной приемной расстановке до двух метров включительно, при количестве одновременно регистрируемых каналов  на сейсморазведочной аппаратуре ‒ 48 (сорок восемь) каналов, в условиях выполнения полевых работ: IV категории. При количестве пунктов возбуждения на приемной расстановке 6. </t>
  </si>
  <si>
    <t xml:space="preserve">ГРЛ: пешая. В условиях выполнения полевых работ категории IV. </t>
  </si>
  <si>
    <t>на инженерно-геофизические исследования</t>
  </si>
  <si>
    <t>(Апред + (Аслед - Апред) / (Xслед - Xпред) * (X - Xпред)) * Количество * Ктек
(199 552 руб. + (239 552 руб. - 199 552 руб.) / (500 000 руб. - 100 000 руб.) * (492 038.64 руб. - 100 000 руб.)) * 1 * 1.25</t>
  </si>
  <si>
    <t>НЗ 11.22_0-14-52(1) Таблица 52 п. 2
Aпред = 199 552 руб.; Aслед = 239 552 руб.;
Xпред = 100 тыс. руб.; Xслед = 500 тыс. руб.; 
X = 492.03864 тыс. руб.;
Количество = 1;</t>
  </si>
  <si>
    <t>(Апред + (Аслед - Апред) / (Xслед - Xпред) * (X - Xпред)) * Количество * Ктек
(34 448 руб. + (68 896 руб. - 34 448 руб.) / (1 000 000 руб. - 500 000 руб.) * (769 076.37 руб. - 500 000 руб.)) * 1 * 1.25</t>
  </si>
  <si>
    <t>НЗ 11.22_0-15-53(1) Таблица 53 п. 1
Aпред = 34 448 руб.; Aслед = 68 896 руб.;
Xпред = 500 тыс. руб.; Xслед = 1 000 тыс. руб.; 
X = 769.07637 тыс. руб.;
Количество = 1;</t>
  </si>
  <si>
    <t>X * ((Aпред + (Aслед - Aпред) / (Xслед - Xпред) * (X – Xпред)) / 100) * Количество * Ктек
277.03773 * ((33.2 + (20.4 - 33.2) / (500 - 250) * (277.03773 - 250)) / 100) * 1 * 1.25</t>
  </si>
  <si>
    <t>НЗ 11.22_0-2-3(4) Таблица 3
Aпред = 33.2%;
Aслед = 20.4%;
Xпред = 250 тыс. руб.;
Xслед = 500 тыс. руб.;
X = 277.03773 тыс. руб.;
Сп = 277037.73 руб. в базовом уровне цен</t>
  </si>
  <si>
    <t>X * ((Aпред + (Aслед - Aпред) / (Xслед - Xпред) * (X – Xпред)) / 100) * Количество * Ктек
277.03773 * ((85.8 + (42.9 - 85.8) / (500 - 250) * (277.03773 - 250)) / 100) * 1 * 1.25</t>
  </si>
  <si>
    <t>НЗ 11.22_0-2-5(4) Таблица 5
Aпред = 85.8%;
Aслед = 42.9%;
Xпред = 250 тыс. руб.;
Xслед = 500 тыс. руб.;
X = 277.03773 тыс. руб.;
Сп = 277037.73 руб. в базовом уровне цен</t>
  </si>
  <si>
    <t>40% от п.1.1-1.2 * Ктек
277 037.73 руб. * 40 / 100 * 1.25</t>
  </si>
  <si>
    <t>НЗ 11.22_0-2-2-5 Таблица 2
Сп = 277037.73 руб. в базовом уровне цен</t>
  </si>
  <si>
    <t>A * Количество * Ктек
108 руб. * 3600 * 1.25</t>
  </si>
  <si>
    <t>3600</t>
  </si>
  <si>
    <t>НЗ 11.22_0-6-32-2 Таблица 32 п.2
A = 108 руб.;
Количество = 3600 (метр);</t>
  </si>
  <si>
    <t>A * Количество * Ктек
47 руб. * 3600 * 1.25</t>
  </si>
  <si>
    <t>НЗ 11.22_0-6-31-4 Таблица 31 п.4
A = 47 руб.;
Количество = 3600 (метр);</t>
  </si>
  <si>
    <t>«Всесезонный туристско-рекреационный комплекс «Эльбрус», Кабардино-Балкарская Республика. Пассажирская подвесная канатная дорога. Буксировочная канатная дорога»Южный склон г. Эльбрус в районе ледника Гарабаши</t>
  </si>
  <si>
    <t>(наименование объекта строительства)</t>
  </si>
  <si>
    <t>Код строительного ресурса</t>
  </si>
  <si>
    <t>Наименование строительного ресурса, затрат</t>
  </si>
  <si>
    <t>Полное наименование строительного ресурса, затрат в обосновывающем документе</t>
  </si>
  <si>
    <t>Ед. изм. строительного ресурса, затрат в обосновывающем документе</t>
  </si>
  <si>
    <t>Текущая отпускная цена за ед. изм. в обосновывающем документе с НДС в руб.</t>
  </si>
  <si>
    <t>Текущая отпускная цена за ед. изм. без НДС в руб. в соответствии с графой 5</t>
  </si>
  <si>
    <t>Стоимость перевозки без НДС в руб. за ед. изм.</t>
  </si>
  <si>
    <t>Заготовительно-складские расходы</t>
  </si>
  <si>
    <t>Сметная цена без НДС в руб. за ед. изм.</t>
  </si>
  <si>
    <t>Год</t>
  </si>
  <si>
    <t>Квартал</t>
  </si>
  <si>
    <t>Наименование производителя/поставщика</t>
  </si>
  <si>
    <t>КПП организации</t>
  </si>
  <si>
    <t>ИНН организации</t>
  </si>
  <si>
    <t>Гиперссылка на веб-сайт производителя/поставщика</t>
  </si>
  <si>
    <t>Населенный пункт расположения склада производителя/поставщика</t>
  </si>
  <si>
    <t>Статус организации (Производитель (1) / Поставщик (2)</t>
  </si>
  <si>
    <t>№ страницы прайс-листа в томе</t>
  </si>
  <si>
    <t>руб.</t>
  </si>
  <si>
    <t xml:space="preserve">Разработка специальных технических условий </t>
  </si>
  <si>
    <t>усл.ед</t>
  </si>
  <si>
    <t>ООО НКД</t>
  </si>
  <si>
    <t>0703008444</t>
  </si>
  <si>
    <t>070301001</t>
  </si>
  <si>
    <t xml:space="preserve">361115, Кабардино-Балкарская Республика, м.р-н Майский, г.п. Майский, г Майский, ул 
Заречная, д.148/2; </t>
  </si>
  <si>
    <t>Разработка специальных технических условий 2600</t>
  </si>
  <si>
    <t>ООО РУСЛЕТ</t>
  </si>
  <si>
    <t>6318244521</t>
  </si>
  <si>
    <t>772301001</t>
  </si>
  <si>
    <t>109316,Москва г, Внутригородская  территория муниципальный округ Печатник , Волгоградский  пр-кт,дом 42, корпус 5, помещение 1Н</t>
  </si>
  <si>
    <t>ООО ИНЖПРОТЕКТ</t>
  </si>
  <si>
    <t>9714077100</t>
  </si>
  <si>
    <t>771401001</t>
  </si>
  <si>
    <t>125284, г. Москва, Ленинградский пр-кт, д. 31а, стр.1, помещ.2/1</t>
  </si>
  <si>
    <t>Выполнение научно-технического сопровождения проектирования конструкций и сооружений повышенного уровня ответственности ППКД .</t>
  </si>
  <si>
    <t>Научно-техническое сопровождение конструктивных решений ,</t>
  </si>
  <si>
    <t xml:space="preserve">Выполнение научно-технического сопровождения проектирования конструкций и сооружений повышенного уровня ответственности ППКД </t>
  </si>
  <si>
    <t>Выполнение научно-технического сопровождения инженерной защиты территории.</t>
  </si>
  <si>
    <t>Научно-техническое сопровождение инженерной защиты</t>
  </si>
  <si>
    <t>Выполнение научно-технического сопровождения инженерно-геологических изысканий</t>
  </si>
  <si>
    <t xml:space="preserve"> 
Научно-техническое сопровождение инженерно – геологических 
изысканий</t>
  </si>
  <si>
    <t>Выполнение научно-технического сопровождения оценки лавинной и селевой опасности.</t>
  </si>
  <si>
    <t xml:space="preserve">Научно-техническое сопровождение оценки лавинной опасности </t>
  </si>
  <si>
    <t>5.2</t>
  </si>
  <si>
    <t>5.3</t>
  </si>
  <si>
    <t>Всесезонный туристско-рекреационный комплекс «Эльбрус», Кабардино-Балкарская Республика. Пассажирская подвесная канатная дорога и буксировочная канатная дорога, расположенные по адресу: южный склон г. Эльбрус в районе ледника Гарабаши</t>
  </si>
  <si>
    <t>Всесезонный туристско-рекреационный комплекс «Эльбрус», Кабардино-Балкарская Республика. Пассажирская подвесная канатная дорога и буксировочная канатная дорога, расположенные по адресу: южный склон г. Эльбрус в районе ледника Гарабаши, Проектные работы стадии "Рабочая документация"</t>
  </si>
  <si>
    <t>«Всесезонный туристско-рекреационный комплекс «Эльбрус», Кабардино-Балкарская Республика. Пассажирская подвесная канатная дорога и буксировочная канатная дорога, расположенные по адресу: южный склон г. Эльбрус в районе ледника Гарабаши, Проектные работы стадии "Проектная документация"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</si>
</sst>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0.00_-;\-* #,##0.00_-;_-* &quot;-&quot;??_-;_-@_-"/>
    <numFmt numFmtId="164" formatCode="_-* #,##0.00\ _₽_-;\-* #,##0.00\ _₽_-;_-* &quot;-&quot;??\ _₽_-;_-@_-"/>
    <numFmt numFmtId="165" formatCode="0.0"/>
    <numFmt numFmtId="166" formatCode="0.0000"/>
    <numFmt numFmtId="167" formatCode="0_)"/>
    <numFmt numFmtId="168" formatCode="#,##0.000"/>
    <numFmt numFmtId="169" formatCode="_-* #,##0.00_р_._-;\-* #,##0.00_р_._-;_-* &quot;-&quot;??_р_._-;_-@_-"/>
    <numFmt numFmtId="170" formatCode="_-* #,##0_р_._-;\-* #,##0_р_._-;_-* &quot;-&quot;_р_._-;_-@_-"/>
    <numFmt numFmtId="171" formatCode="#,##0.0000000"/>
    <numFmt numFmtId="172" formatCode="_-* #,##0.00&quot;р.&quot;_-;\-* #,##0.00&quot;р.&quot;_-;_-* &quot;-&quot;??&quot;р.&quot;_-;_-@_-"/>
    <numFmt numFmtId="173" formatCode="#,##0.0000"/>
    <numFmt numFmtId="174" formatCode="_-* #,##0.00_р_._-;\-* #,##0.00_р_._-;_-* \-??_р_._-;_-@_-"/>
    <numFmt numFmtId="175" formatCode="#,##0.00\ &quot;₽&quot;"/>
  </numFmts>
  <fonts count="77" x14ac:knownFonts="1">
    <font>
      <sz val="11"/>
      <color theme="1"/>
      <name val="Calibri"/>
      <family val="2"/>
      <charset val="204"/>
      <scheme val="minor"/>
    </font>
    <font>
      <sz val="11"/>
      <color theme="1"/>
      <name val="Calibri"/>
      <family val="2"/>
      <charset val="204"/>
      <scheme val="minor"/>
    </font>
    <font>
      <b/>
      <sz val="12"/>
      <color theme="1"/>
      <name val="Times New Roman"/>
      <family val="1"/>
      <charset val="204"/>
    </font>
    <font>
      <sz val="12"/>
      <color theme="1"/>
      <name val="Times New Roman"/>
      <family val="1"/>
      <charset val="204"/>
    </font>
    <font>
      <sz val="12"/>
      <color rgb="FFFF0000"/>
      <name val="Times New Roman"/>
      <family val="1"/>
      <charset val="204"/>
    </font>
    <font>
      <sz val="10"/>
      <name val="Times New Roman"/>
      <family val="1"/>
      <charset val="204"/>
    </font>
    <font>
      <sz val="8"/>
      <color theme="1"/>
      <name val="Arial"/>
      <family val="2"/>
      <charset val="204"/>
    </font>
    <font>
      <sz val="10"/>
      <name val="Arial Cyr"/>
      <charset val="204"/>
    </font>
    <font>
      <sz val="10"/>
      <name val="Arial"/>
      <family val="2"/>
      <charset val="204"/>
    </font>
    <font>
      <sz val="11"/>
      <color theme="1"/>
      <name val="Calibri"/>
      <family val="2"/>
      <scheme val="minor"/>
    </font>
    <font>
      <sz val="10"/>
      <name val="Courier"/>
      <family val="1"/>
      <charset val="204"/>
    </font>
    <font>
      <b/>
      <sz val="12"/>
      <name val="Times New Roman"/>
      <family val="1"/>
      <charset val="204"/>
    </font>
    <font>
      <sz val="12"/>
      <color theme="1"/>
      <name val="Arial"/>
      <family val="2"/>
      <charset val="204"/>
    </font>
    <font>
      <b/>
      <sz val="10"/>
      <color theme="1"/>
      <name val="Arial"/>
      <family val="2"/>
      <charset val="204"/>
    </font>
    <font>
      <sz val="12"/>
      <name val="Times New Roman"/>
      <family val="1"/>
      <charset val="204"/>
    </font>
    <font>
      <sz val="12"/>
      <color indexed="10"/>
      <name val="Times New Roman"/>
      <family val="1"/>
      <charset val="204"/>
    </font>
    <font>
      <b/>
      <sz val="8"/>
      <color theme="1"/>
      <name val="Arial"/>
      <family val="2"/>
      <charset val="204"/>
    </font>
    <font>
      <sz val="10"/>
      <color theme="1"/>
      <name val="Calibri"/>
      <family val="2"/>
      <charset val="204"/>
      <scheme val="minor"/>
    </font>
    <font>
      <sz val="11"/>
      <color indexed="8"/>
      <name val="Calibri"/>
      <family val="2"/>
      <charset val="204"/>
    </font>
    <font>
      <sz val="11"/>
      <color rgb="FFFF0000"/>
      <name val="Calibri"/>
      <family val="2"/>
      <scheme val="minor"/>
    </font>
    <font>
      <sz val="12"/>
      <name val="Times New Roman CYR"/>
      <family val="1"/>
      <charset val="204"/>
    </font>
    <font>
      <sz val="11"/>
      <color rgb="FF000000"/>
      <name val="Calibri"/>
      <family val="2"/>
      <charset val="204"/>
    </font>
    <font>
      <sz val="11"/>
      <color theme="1"/>
      <name val="Calibri"/>
      <family val="2"/>
      <charset val="204"/>
    </font>
    <font>
      <sz val="11"/>
      <color rgb="FF000000"/>
      <name val="Calibri"/>
      <family val="2"/>
      <charset val="204"/>
    </font>
    <font>
      <sz val="10"/>
      <name val="Arial"/>
      <family val="2"/>
      <charset val="204"/>
    </font>
    <font>
      <b/>
      <sz val="11"/>
      <color theme="1"/>
      <name val="Calibri"/>
      <family val="2"/>
      <charset val="204"/>
      <scheme val="minor"/>
    </font>
    <font>
      <sz val="11"/>
      <name val="Calibri"/>
      <family val="2"/>
      <scheme val="minor"/>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name val="Calibri"/>
      <family val="2"/>
      <charset val="204"/>
    </font>
    <font>
      <i/>
      <u/>
      <sz val="12"/>
      <name val="Times New Roman"/>
      <family val="1"/>
      <charset val="204"/>
    </font>
    <font>
      <sz val="11"/>
      <name val="Calibri"/>
      <family val="2"/>
      <charset val="204"/>
    </font>
    <font>
      <sz val="10"/>
      <color rgb="FFFF0000"/>
      <name val="Times New Roman"/>
      <family val="1"/>
      <charset val="204"/>
    </font>
    <font>
      <sz val="11"/>
      <name val="Calibri"/>
      <family val="2"/>
      <charset val="204"/>
    </font>
    <font>
      <b/>
      <sz val="10"/>
      <name val="Arial"/>
      <family val="2"/>
      <charset val="204"/>
    </font>
    <font>
      <u/>
      <sz val="10"/>
      <name val="Arial"/>
      <family val="2"/>
      <charset val="204"/>
    </font>
    <font>
      <sz val="7"/>
      <name val="Arial"/>
      <family val="2"/>
      <charset val="204"/>
    </font>
    <font>
      <b/>
      <sz val="11"/>
      <name val="Times New Roman"/>
      <family val="1"/>
      <charset val="204"/>
    </font>
    <font>
      <sz val="11"/>
      <name val="Times New Roman"/>
      <family val="1"/>
      <charset val="204"/>
    </font>
    <font>
      <sz val="11"/>
      <name val="Times New Roman Cyr"/>
      <charset val="204"/>
    </font>
    <font>
      <sz val="12"/>
      <name val="Times New Roman Cyr"/>
      <charset val="204"/>
    </font>
    <font>
      <sz val="10"/>
      <color theme="1"/>
      <name val="Arial"/>
      <family val="2"/>
      <charset val="204"/>
    </font>
    <font>
      <sz val="11"/>
      <name val="Calibri"/>
      <family val="2"/>
      <charset val="204"/>
    </font>
    <font>
      <i/>
      <sz val="10"/>
      <name val="Arial"/>
      <family val="2"/>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2"/>
      <color rgb="FFFF0000"/>
      <name val="Times New Roman"/>
      <family val="1"/>
      <charset val="204"/>
    </font>
    <font>
      <sz val="12"/>
      <color rgb="FFFF0000"/>
      <name val="Arial"/>
      <family val="2"/>
      <charset val="204"/>
    </font>
    <font>
      <sz val="10"/>
      <color rgb="FFFF0000"/>
      <name val="Arial"/>
      <family val="2"/>
      <charset val="204"/>
    </font>
    <font>
      <sz val="11"/>
      <name val="Calibri"/>
      <family val="2"/>
      <charset val="204"/>
      <scheme val="minor"/>
    </font>
    <font>
      <sz val="11"/>
      <name val="Calibri"/>
      <family val="2"/>
      <charset val="204"/>
    </font>
    <font>
      <sz val="8"/>
      <color rgb="FF000000"/>
      <name val="Arial"/>
      <family val="2"/>
      <charset val="204"/>
    </font>
    <font>
      <sz val="8"/>
      <name val="Arial"/>
      <family val="2"/>
      <charset val="204"/>
    </font>
    <font>
      <sz val="9"/>
      <name val="Arial"/>
      <family val="2"/>
      <charset val="204"/>
    </font>
    <font>
      <sz val="9"/>
      <color rgb="FF000000"/>
      <name val="Arial"/>
      <family val="2"/>
      <charset val="204"/>
    </font>
    <font>
      <b/>
      <sz val="9"/>
      <color rgb="FF000000"/>
      <name val="Arial"/>
      <family val="2"/>
      <charset val="204"/>
    </font>
    <font>
      <b/>
      <i/>
      <sz val="8"/>
      <color rgb="FF000000"/>
      <name val="Arial"/>
      <family val="2"/>
      <charset val="204"/>
    </font>
    <font>
      <i/>
      <sz val="8"/>
      <name val="Arial"/>
      <family val="2"/>
      <charset val="204"/>
    </font>
    <font>
      <b/>
      <sz val="8"/>
      <color rgb="FF000000"/>
      <name val="Arial"/>
      <family val="2"/>
      <charset val="204"/>
    </font>
    <font>
      <b/>
      <sz val="12"/>
      <color theme="1"/>
      <name val="Arial Narrow"/>
      <family val="2"/>
      <charset val="204"/>
    </font>
    <font>
      <sz val="11"/>
      <name val="Calibri"/>
    </font>
    <font>
      <sz val="10"/>
      <name val="Arial"/>
    </font>
    <font>
      <i/>
      <sz val="10"/>
      <name val="Arial"/>
    </font>
    <font>
      <b/>
      <sz val="10"/>
      <name val="Arial"/>
    </font>
    <font>
      <sz val="7"/>
      <name val="Arial"/>
    </font>
    <font>
      <b/>
      <sz val="14"/>
      <color rgb="FF000000"/>
      <name val="Times New Roman"/>
      <family val="1"/>
      <charset val="204"/>
    </font>
    <font>
      <sz val="11"/>
      <color rgb="FF000000"/>
      <name val="Times New Roman"/>
      <family val="1"/>
      <charset val="204"/>
    </font>
    <font>
      <sz val="10"/>
      <color rgb="FF000000"/>
      <name val="Times New Roman"/>
      <family val="1"/>
      <charset val="204"/>
    </font>
    <font>
      <i/>
      <sz val="8"/>
      <color rgb="FF000000"/>
      <name val="Times New Roman"/>
      <family val="1"/>
      <charset val="204"/>
    </font>
    <font>
      <i/>
      <sz val="10"/>
      <color rgb="FF000000"/>
      <name val="Times New Roman"/>
      <family val="1"/>
      <charset val="204"/>
    </font>
    <font>
      <sz val="9"/>
      <color rgb="FF000000"/>
      <name val="Times New Roman"/>
      <family val="1"/>
      <charset val="204"/>
    </font>
    <font>
      <sz val="11"/>
      <color theme="1"/>
      <name val="Times New Roman"/>
      <family val="1"/>
      <charset val="204"/>
    </font>
    <font>
      <i/>
      <sz val="9"/>
      <name val="Arial"/>
      <family val="2"/>
      <charset val="204"/>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indexed="9"/>
        <bgColor indexed="26"/>
      </patternFill>
    </fill>
    <fill>
      <patternFill patternType="solid">
        <fgColor theme="9" tint="0.79998168889431442"/>
        <bgColor indexed="64"/>
      </patternFill>
    </fill>
    <fill>
      <patternFill patternType="solid">
        <fgColor theme="9" tint="0.79998168889431442"/>
        <bgColor indexed="26"/>
      </patternFill>
    </fill>
  </fills>
  <borders count="6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8"/>
      </left>
      <right style="thin">
        <color indexed="8"/>
      </right>
      <top/>
      <bottom style="thin">
        <color indexed="8"/>
      </bottom>
      <diagonal/>
    </border>
    <border>
      <left/>
      <right style="thin">
        <color indexed="8"/>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8"/>
      </left>
      <right/>
      <top/>
      <bottom/>
      <diagonal/>
    </border>
    <border>
      <left/>
      <right style="thin">
        <color indexed="8"/>
      </right>
      <top/>
      <bottom/>
      <diagonal/>
    </border>
    <border>
      <left/>
      <right/>
      <top/>
      <bottom style="thin">
        <color indexed="8"/>
      </bottom>
      <diagonal/>
    </border>
    <border>
      <left style="thin">
        <color indexed="8"/>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64"/>
      </left>
      <right/>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92">
    <xf numFmtId="0" fontId="0" fillId="0" borderId="0"/>
    <xf numFmtId="0" fontId="6" fillId="0" borderId="1">
      <alignment horizontal="left" vertical="top"/>
    </xf>
    <xf numFmtId="0" fontId="1" fillId="0" borderId="0"/>
    <xf numFmtId="0" fontId="7" fillId="0" borderId="0"/>
    <xf numFmtId="0" fontId="7" fillId="0" borderId="0" applyFill="0" applyProtection="0"/>
    <xf numFmtId="0" fontId="5" fillId="0" borderId="0">
      <alignment horizontal="center"/>
    </xf>
    <xf numFmtId="0" fontId="5" fillId="0" borderId="2">
      <alignment horizontal="center" wrapText="1"/>
    </xf>
    <xf numFmtId="0" fontId="5" fillId="0" borderId="0">
      <alignment horizontal="right" vertical="top" wrapText="1"/>
    </xf>
    <xf numFmtId="0" fontId="5" fillId="0" borderId="0">
      <alignment horizontal="left" vertical="top"/>
    </xf>
    <xf numFmtId="0" fontId="9" fillId="0" borderId="0"/>
    <xf numFmtId="0" fontId="7" fillId="0" borderId="0"/>
    <xf numFmtId="167" fontId="10" fillId="0" borderId="0"/>
    <xf numFmtId="0" fontId="1" fillId="0" borderId="0"/>
    <xf numFmtId="167" fontId="10" fillId="0" borderId="0"/>
    <xf numFmtId="0" fontId="8" fillId="0" borderId="0"/>
    <xf numFmtId="0" fontId="1" fillId="0" borderId="0"/>
    <xf numFmtId="0" fontId="13" fillId="0" borderId="0">
      <alignment horizontal="center" vertical="center"/>
    </xf>
    <xf numFmtId="0" fontId="6" fillId="0" borderId="0">
      <alignment horizontal="center" vertical="top"/>
    </xf>
    <xf numFmtId="0" fontId="16" fillId="0" borderId="0">
      <alignment horizontal="left" vertical="top"/>
    </xf>
    <xf numFmtId="0" fontId="6" fillId="0" borderId="0">
      <alignment horizontal="left" vertical="top"/>
    </xf>
    <xf numFmtId="0" fontId="6" fillId="0" borderId="0">
      <alignment horizontal="left" vertical="center"/>
    </xf>
    <xf numFmtId="0" fontId="16" fillId="0" borderId="0">
      <alignment horizontal="left" vertical="center"/>
    </xf>
    <xf numFmtId="0" fontId="6" fillId="0" borderId="2">
      <alignment horizontal="center" vertical="center"/>
    </xf>
    <xf numFmtId="0" fontId="6" fillId="0" borderId="2">
      <alignment horizontal="left" vertical="center"/>
    </xf>
    <xf numFmtId="0" fontId="6" fillId="0" borderId="7">
      <alignment horizontal="left" vertical="top"/>
    </xf>
    <xf numFmtId="169" fontId="9" fillId="0" borderId="0" applyFont="0" applyFill="0" applyBorder="0" applyAlignment="0" applyProtection="0"/>
    <xf numFmtId="9" fontId="9" fillId="0" borderId="0" applyFont="0" applyFill="0" applyBorder="0" applyAlignment="0" applyProtection="0"/>
    <xf numFmtId="0" fontId="9" fillId="0" borderId="0"/>
    <xf numFmtId="9" fontId="7" fillId="0" borderId="0" applyFont="0" applyFill="0" applyBorder="0" applyAlignment="0" applyProtection="0"/>
    <xf numFmtId="170" fontId="7" fillId="0" borderId="0" applyFont="0" applyFill="0" applyBorder="0" applyAlignment="0" applyProtection="0"/>
    <xf numFmtId="0" fontId="1" fillId="0" borderId="0"/>
    <xf numFmtId="164" fontId="9" fillId="0" borderId="0" applyFont="0" applyFill="0" applyBorder="0" applyAlignment="0" applyProtection="0"/>
    <xf numFmtId="169" fontId="18" fillId="0" borderId="0" applyFont="0" applyFill="0" applyBorder="0" applyAlignment="0" applyProtection="0"/>
    <xf numFmtId="0" fontId="18" fillId="0" borderId="0"/>
    <xf numFmtId="9" fontId="7" fillId="0" borderId="0" applyFont="0" applyFill="0" applyBorder="0" applyAlignment="0" applyProtection="0"/>
    <xf numFmtId="0" fontId="1" fillId="0" borderId="0"/>
    <xf numFmtId="0" fontId="7" fillId="0" borderId="0"/>
    <xf numFmtId="0" fontId="1" fillId="0" borderId="0"/>
    <xf numFmtId="0" fontId="1" fillId="0" borderId="0"/>
    <xf numFmtId="172" fontId="7" fillId="0" borderId="0" applyFont="0" applyFill="0" applyBorder="0" applyAlignment="0" applyProtection="0"/>
    <xf numFmtId="0" fontId="8" fillId="0" borderId="2" applyBorder="0" applyAlignment="0">
      <alignment horizontal="center" wrapText="1"/>
    </xf>
    <xf numFmtId="0" fontId="8" fillId="0" borderId="0"/>
    <xf numFmtId="43" fontId="1" fillId="0" borderId="0" applyFont="0" applyFill="0" applyBorder="0" applyAlignment="0" applyProtection="0"/>
    <xf numFmtId="43" fontId="9" fillId="0" borderId="0" applyFont="0" applyFill="0" applyBorder="0" applyAlignment="0" applyProtection="0"/>
    <xf numFmtId="0" fontId="9" fillId="0" borderId="0"/>
    <xf numFmtId="0" fontId="8" fillId="0" borderId="0"/>
    <xf numFmtId="0" fontId="1" fillId="0" borderId="0"/>
    <xf numFmtId="0" fontId="8" fillId="0" borderId="0"/>
    <xf numFmtId="0" fontId="8" fillId="0" borderId="0"/>
    <xf numFmtId="0" fontId="8" fillId="0" borderId="0"/>
    <xf numFmtId="0" fontId="21" fillId="0" borderId="0"/>
    <xf numFmtId="0" fontId="9" fillId="0" borderId="0"/>
    <xf numFmtId="0" fontId="9" fillId="0" borderId="0"/>
    <xf numFmtId="0" fontId="8" fillId="0" borderId="0"/>
    <xf numFmtId="0" fontId="22" fillId="0" borderId="0"/>
    <xf numFmtId="0" fontId="8" fillId="0" borderId="13" applyBorder="0" applyAlignment="0">
      <alignment horizontal="center" wrapText="1"/>
    </xf>
    <xf numFmtId="0" fontId="20" fillId="0" borderId="0"/>
    <xf numFmtId="169" fontId="1" fillId="0" borderId="0" applyFont="0" applyFill="0" applyBorder="0" applyAlignment="0" applyProtection="0"/>
    <xf numFmtId="169" fontId="7" fillId="0" borderId="0" applyFont="0" applyFill="0" applyBorder="0" applyAlignment="0" applyProtection="0"/>
    <xf numFmtId="0" fontId="8" fillId="0" borderId="0"/>
    <xf numFmtId="0" fontId="1" fillId="0" borderId="0"/>
    <xf numFmtId="43" fontId="21" fillId="0" borderId="0" applyFont="0" applyFill="0" applyBorder="0" applyAlignment="0" applyProtection="0"/>
    <xf numFmtId="0" fontId="23" fillId="0" borderId="0"/>
    <xf numFmtId="164" fontId="1" fillId="0" borderId="0" applyFont="0" applyFill="0" applyBorder="0" applyAlignment="0" applyProtection="0"/>
    <xf numFmtId="164" fontId="9" fillId="0" borderId="0" applyFont="0" applyFill="0" applyBorder="0" applyAlignment="0" applyProtection="0"/>
    <xf numFmtId="0" fontId="7" fillId="0" borderId="0"/>
    <xf numFmtId="0" fontId="24" fillId="0" borderId="0"/>
    <xf numFmtId="43" fontId="9" fillId="0" borderId="0" applyFont="0" applyFill="0" applyBorder="0" applyAlignment="0" applyProtection="0"/>
    <xf numFmtId="0" fontId="1" fillId="0" borderId="0"/>
    <xf numFmtId="0" fontId="27" fillId="0" borderId="0"/>
    <xf numFmtId="0" fontId="28" fillId="0" borderId="0"/>
    <xf numFmtId="0" fontId="29" fillId="0" borderId="0"/>
    <xf numFmtId="0" fontId="30" fillId="0" borderId="0"/>
    <xf numFmtId="0" fontId="31" fillId="0" borderId="0"/>
    <xf numFmtId="0" fontId="32" fillId="0" borderId="0"/>
    <xf numFmtId="0" fontId="34" fillId="0" borderId="0"/>
    <xf numFmtId="0" fontId="36" fillId="0" borderId="0"/>
    <xf numFmtId="0" fontId="7" fillId="0" borderId="0"/>
    <xf numFmtId="0" fontId="7" fillId="0" borderId="0"/>
    <xf numFmtId="174" fontId="7"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174" fontId="7" fillId="0" borderId="0" applyFill="0" applyBorder="0" applyAlignment="0" applyProtection="0"/>
    <xf numFmtId="0" fontId="7" fillId="0" borderId="0"/>
    <xf numFmtId="0" fontId="7" fillId="0" borderId="0"/>
    <xf numFmtId="0" fontId="44" fillId="0" borderId="0"/>
    <xf numFmtId="0" fontId="45" fillId="0" borderId="0"/>
    <xf numFmtId="0" fontId="54" fillId="0" borderId="0"/>
    <xf numFmtId="0" fontId="64" fillId="0" borderId="0"/>
  </cellStyleXfs>
  <cellXfs count="856">
    <xf numFmtId="0" fontId="0" fillId="0" borderId="0" xfId="0"/>
    <xf numFmtId="0" fontId="0" fillId="0" borderId="0" xfId="0" applyFill="1"/>
    <xf numFmtId="0" fontId="14" fillId="3" borderId="0" xfId="14" applyFont="1" applyFill="1"/>
    <xf numFmtId="0" fontId="5" fillId="3" borderId="0" xfId="14" applyFont="1" applyFill="1"/>
    <xf numFmtId="0" fontId="5" fillId="3" borderId="0" xfId="14" applyFont="1" applyFill="1" applyAlignment="1">
      <alignment vertical="center"/>
    </xf>
    <xf numFmtId="0" fontId="14" fillId="3" borderId="1" xfId="14" applyFont="1" applyFill="1" applyBorder="1"/>
    <xf numFmtId="0" fontId="14" fillId="3" borderId="0" xfId="14" applyFont="1" applyFill="1" applyAlignment="1">
      <alignment vertical="center"/>
    </xf>
    <xf numFmtId="0" fontId="11" fillId="3" borderId="1" xfId="14" applyFont="1" applyFill="1" applyBorder="1" applyAlignment="1">
      <alignment horizontal="right"/>
    </xf>
    <xf numFmtId="49" fontId="14" fillId="3" borderId="2" xfId="14" applyNumberFormat="1" applyFont="1" applyFill="1" applyBorder="1" applyAlignment="1">
      <alignment horizontal="center" vertical="center" wrapText="1"/>
    </xf>
    <xf numFmtId="0" fontId="14" fillId="3" borderId="2" xfId="14" applyFont="1" applyFill="1" applyBorder="1" applyAlignment="1">
      <alignment horizontal="center" vertical="center" wrapText="1"/>
    </xf>
    <xf numFmtId="4" fontId="15" fillId="3" borderId="2" xfId="14" applyNumberFormat="1" applyFont="1" applyFill="1" applyBorder="1" applyAlignment="1">
      <alignment horizontal="center" vertical="center" wrapText="1"/>
    </xf>
    <xf numFmtId="0" fontId="14" fillId="3" borderId="11" xfId="14" applyNumberFormat="1" applyFont="1" applyFill="1" applyBorder="1" applyAlignment="1">
      <alignment horizontal="left" vertical="center" wrapText="1"/>
    </xf>
    <xf numFmtId="0" fontId="3" fillId="0" borderId="0" xfId="15" applyFont="1" applyFill="1" applyAlignment="1">
      <alignment horizontal="center"/>
    </xf>
    <xf numFmtId="0" fontId="3" fillId="0" borderId="0" xfId="15" applyFont="1" applyFill="1"/>
    <xf numFmtId="4" fontId="3" fillId="0" borderId="0" xfId="15" applyNumberFormat="1" applyFont="1" applyFill="1"/>
    <xf numFmtId="0" fontId="3" fillId="0" borderId="2" xfId="23" quotePrefix="1" applyFont="1" applyFill="1" applyBorder="1" applyAlignment="1">
      <alignment horizontal="left" vertical="top" wrapText="1"/>
    </xf>
    <xf numFmtId="169" fontId="3" fillId="0" borderId="2" xfId="19" quotePrefix="1" applyNumberFormat="1" applyFont="1" applyFill="1" applyBorder="1" applyAlignment="1">
      <alignment horizontal="center" vertical="center" wrapText="1"/>
    </xf>
    <xf numFmtId="0" fontId="3" fillId="0" borderId="2" xfId="15" applyFont="1" applyFill="1" applyBorder="1" applyAlignment="1">
      <alignment wrapText="1"/>
    </xf>
    <xf numFmtId="2" fontId="3" fillId="0" borderId="2" xfId="19" quotePrefix="1" applyNumberFormat="1" applyFont="1" applyFill="1" applyBorder="1" applyAlignment="1">
      <alignment horizontal="center" vertical="center" wrapText="1"/>
    </xf>
    <xf numFmtId="0" fontId="3" fillId="0" borderId="2" xfId="19" quotePrefix="1" applyFont="1" applyFill="1" applyBorder="1" applyAlignment="1">
      <alignment horizontal="center" vertical="center" wrapText="1"/>
    </xf>
    <xf numFmtId="0" fontId="14" fillId="5" borderId="2" xfId="23" quotePrefix="1" applyFont="1" applyFill="1" applyBorder="1" applyAlignment="1">
      <alignment horizontal="left" vertical="center" wrapText="1"/>
    </xf>
    <xf numFmtId="0" fontId="14" fillId="0" borderId="2" xfId="23" quotePrefix="1" applyFont="1" applyFill="1" applyBorder="1" applyAlignment="1">
      <alignment horizontal="left" vertical="center" wrapText="1"/>
    </xf>
    <xf numFmtId="0" fontId="14" fillId="0" borderId="2" xfId="19" quotePrefix="1" applyFont="1" applyFill="1" applyBorder="1" applyAlignment="1">
      <alignment horizontal="left" vertical="top" wrapText="1"/>
    </xf>
    <xf numFmtId="0" fontId="14" fillId="0" borderId="2" xfId="15" applyFont="1" applyFill="1" applyBorder="1" applyAlignment="1">
      <alignment wrapText="1"/>
    </xf>
    <xf numFmtId="0" fontId="9" fillId="0" borderId="0" xfId="27"/>
    <xf numFmtId="0" fontId="2" fillId="0" borderId="0" xfId="27" applyFont="1" applyAlignment="1">
      <alignment vertical="center"/>
    </xf>
    <xf numFmtId="0" fontId="3" fillId="0" borderId="0" xfId="27" applyFont="1"/>
    <xf numFmtId="0" fontId="4" fillId="0" borderId="0" xfId="27" applyFont="1"/>
    <xf numFmtId="0" fontId="14" fillId="0" borderId="0" xfId="14" applyFont="1"/>
    <xf numFmtId="0" fontId="14" fillId="0" borderId="0" xfId="27" applyFont="1" applyAlignment="1">
      <alignment vertical="center"/>
    </xf>
    <xf numFmtId="0" fontId="14" fillId="0" borderId="0" xfId="27" applyFont="1"/>
    <xf numFmtId="0" fontId="14" fillId="0" borderId="0" xfId="27" applyFont="1" applyFill="1"/>
    <xf numFmtId="0" fontId="11" fillId="0" borderId="0" xfId="27" applyFont="1" applyAlignment="1">
      <alignment vertical="center"/>
    </xf>
    <xf numFmtId="0" fontId="11" fillId="0" borderId="0" xfId="14" applyFont="1"/>
    <xf numFmtId="4" fontId="11" fillId="0" borderId="0" xfId="14" applyNumberFormat="1" applyFont="1" applyAlignment="1">
      <alignment vertical="center" wrapText="1"/>
    </xf>
    <xf numFmtId="49" fontId="14" fillId="0" borderId="0" xfId="14" applyNumberFormat="1" applyFont="1"/>
    <xf numFmtId="49" fontId="4" fillId="0" borderId="0" xfId="14" applyNumberFormat="1" applyFont="1"/>
    <xf numFmtId="9" fontId="14" fillId="0" borderId="0" xfId="14" applyNumberFormat="1" applyFont="1" applyAlignment="1">
      <alignment horizontal="left" vertical="center"/>
    </xf>
    <xf numFmtId="49" fontId="14" fillId="0" borderId="0" xfId="14" applyNumberFormat="1" applyFont="1" applyAlignment="1">
      <alignment vertical="center"/>
    </xf>
    <xf numFmtId="3" fontId="3" fillId="0" borderId="0" xfId="27" applyNumberFormat="1" applyFont="1"/>
    <xf numFmtId="0" fontId="3" fillId="0" borderId="0" xfId="15" applyFont="1" applyFill="1" applyAlignment="1">
      <alignment wrapText="1"/>
    </xf>
    <xf numFmtId="4" fontId="14" fillId="3" borderId="2" xfId="14" applyNumberFormat="1" applyFont="1" applyFill="1" applyBorder="1" applyAlignment="1">
      <alignment horizontal="center" vertical="center" wrapText="1"/>
    </xf>
    <xf numFmtId="4" fontId="14" fillId="3" borderId="2" xfId="14" applyNumberFormat="1" applyFont="1" applyFill="1" applyBorder="1" applyAlignment="1">
      <alignment horizontal="center" vertical="center"/>
    </xf>
    <xf numFmtId="4" fontId="11" fillId="3" borderId="2" xfId="14" applyNumberFormat="1" applyFont="1" applyFill="1" applyBorder="1" applyAlignment="1">
      <alignment horizontal="center" vertical="center" wrapText="1"/>
    </xf>
    <xf numFmtId="49" fontId="11" fillId="4" borderId="2" xfId="14" applyNumberFormat="1" applyFont="1" applyFill="1" applyBorder="1" applyAlignment="1">
      <alignment horizontal="center" vertical="center" wrapText="1"/>
    </xf>
    <xf numFmtId="4" fontId="3" fillId="0" borderId="2" xfId="19" quotePrefix="1" applyNumberFormat="1" applyFont="1" applyFill="1" applyBorder="1" applyAlignment="1">
      <alignment horizontal="center" vertical="center" wrapText="1"/>
    </xf>
    <xf numFmtId="0" fontId="14" fillId="5" borderId="2" xfId="0" applyFont="1" applyFill="1" applyBorder="1" applyAlignment="1">
      <alignment horizontal="center" wrapText="1"/>
    </xf>
    <xf numFmtId="0" fontId="14" fillId="5" borderId="2" xfId="0" applyFont="1" applyFill="1" applyBorder="1" applyAlignment="1">
      <alignment horizontal="left" vertical="center" wrapText="1"/>
    </xf>
    <xf numFmtId="4" fontId="14" fillId="5" borderId="2" xfId="43" applyNumberFormat="1" applyFont="1" applyFill="1" applyBorder="1" applyAlignment="1">
      <alignment wrapText="1"/>
    </xf>
    <xf numFmtId="0" fontId="14" fillId="0" borderId="2" xfId="0" applyFont="1" applyBorder="1" applyAlignment="1">
      <alignment horizontal="center" wrapText="1"/>
    </xf>
    <xf numFmtId="0" fontId="14" fillId="0" borderId="2" xfId="0" quotePrefix="1" applyFont="1" applyFill="1" applyBorder="1" applyAlignment="1">
      <alignment vertical="center" wrapText="1"/>
    </xf>
    <xf numFmtId="4" fontId="14" fillId="0" borderId="2" xfId="15" applyNumberFormat="1"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2" xfId="0" applyFont="1" applyBorder="1" applyAlignment="1">
      <alignment horizontal="center" vertical="center" wrapText="1"/>
    </xf>
    <xf numFmtId="4" fontId="14" fillId="0" borderId="2" xfId="43" applyNumberFormat="1" applyFont="1" applyFill="1" applyBorder="1" applyAlignment="1">
      <alignment horizontal="center" vertical="center" wrapText="1"/>
    </xf>
    <xf numFmtId="0" fontId="17" fillId="0" borderId="0" xfId="0" applyFont="1" applyFill="1" applyAlignment="1">
      <alignment horizontal="center"/>
    </xf>
    <xf numFmtId="0" fontId="17" fillId="0" borderId="0" xfId="0" applyFont="1" applyFill="1"/>
    <xf numFmtId="0" fontId="3" fillId="0" borderId="0" xfId="0" applyFont="1" applyFill="1" applyAlignment="1">
      <alignment horizontal="center"/>
    </xf>
    <xf numFmtId="4" fontId="3" fillId="0" borderId="0" xfId="0" applyNumberFormat="1" applyFont="1" applyFill="1" applyAlignment="1">
      <alignment horizontal="center"/>
    </xf>
    <xf numFmtId="0" fontId="3" fillId="0" borderId="0" xfId="0" applyFont="1" applyFill="1"/>
    <xf numFmtId="4" fontId="3" fillId="0" borderId="0" xfId="0" applyNumberFormat="1" applyFont="1" applyFill="1"/>
    <xf numFmtId="0" fontId="12" fillId="0" borderId="2" xfId="0" applyFont="1" applyBorder="1" applyAlignment="1">
      <alignment horizontal="center" vertical="center" wrapText="1"/>
    </xf>
    <xf numFmtId="4" fontId="17" fillId="0" borderId="0" xfId="0" applyNumberFormat="1" applyFont="1" applyFill="1"/>
    <xf numFmtId="0" fontId="12" fillId="3" borderId="2" xfId="0" applyFont="1" applyFill="1" applyBorder="1" applyAlignment="1">
      <alignment horizontal="center" vertical="center" wrapText="1"/>
    </xf>
    <xf numFmtId="0" fontId="0" fillId="0" borderId="0" xfId="0" applyFill="1" applyAlignment="1">
      <alignment horizontal="center"/>
    </xf>
    <xf numFmtId="4" fontId="0" fillId="0" borderId="0" xfId="0" applyNumberFormat="1" applyFill="1"/>
    <xf numFmtId="4" fontId="11" fillId="4" borderId="2" xfId="14" applyNumberFormat="1" applyFont="1" applyFill="1" applyBorder="1" applyAlignment="1">
      <alignment horizontal="center" vertical="center" wrapText="1"/>
    </xf>
    <xf numFmtId="0" fontId="14" fillId="0" borderId="2" xfId="27" applyFont="1" applyBorder="1" applyAlignment="1">
      <alignment vertical="center" wrapText="1"/>
    </xf>
    <xf numFmtId="168" fontId="3" fillId="4" borderId="2" xfId="27" applyNumberFormat="1" applyFont="1" applyFill="1" applyBorder="1" applyAlignment="1">
      <alignment horizontal="center" vertical="center"/>
    </xf>
    <xf numFmtId="171" fontId="3" fillId="4" borderId="2" xfId="27" applyNumberFormat="1" applyFont="1" applyFill="1" applyBorder="1" applyAlignment="1">
      <alignment horizontal="center" vertical="center"/>
    </xf>
    <xf numFmtId="4" fontId="3" fillId="4" borderId="2" xfId="27" applyNumberFormat="1" applyFont="1" applyFill="1" applyBorder="1" applyAlignment="1">
      <alignment horizontal="center" vertical="center"/>
    </xf>
    <xf numFmtId="0" fontId="3" fillId="0" borderId="0" xfId="27" applyFont="1" applyBorder="1"/>
    <xf numFmtId="0" fontId="14" fillId="0" borderId="0" xfId="27" applyFont="1" applyBorder="1" applyAlignment="1">
      <alignment horizontal="center"/>
    </xf>
    <xf numFmtId="3" fontId="14" fillId="3" borderId="0" xfId="27" applyNumberFormat="1" applyFont="1" applyFill="1" applyBorder="1" applyAlignment="1">
      <alignment horizontal="center" vertical="center"/>
    </xf>
    <xf numFmtId="4" fontId="14" fillId="3" borderId="0" xfId="27" applyNumberFormat="1" applyFont="1" applyFill="1" applyBorder="1" applyAlignment="1">
      <alignment horizontal="center"/>
    </xf>
    <xf numFmtId="0" fontId="3" fillId="0" borderId="0" xfId="44" applyFont="1" applyAlignment="1">
      <alignment horizontal="right"/>
    </xf>
    <xf numFmtId="4" fontId="14" fillId="3" borderId="2" xfId="27" applyNumberFormat="1" applyFont="1" applyFill="1" applyBorder="1" applyAlignment="1">
      <alignment horizontal="center" vertical="center" wrapText="1"/>
    </xf>
    <xf numFmtId="0" fontId="3" fillId="0" borderId="0" xfId="44" applyFont="1" applyBorder="1" applyAlignment="1">
      <alignment horizontal="right"/>
    </xf>
    <xf numFmtId="0" fontId="3" fillId="4" borderId="2" xfId="22" quotePrefix="1" applyFont="1" applyFill="1" applyBorder="1" applyAlignment="1">
      <alignment horizontal="center" vertical="center" wrapText="1"/>
    </xf>
    <xf numFmtId="4" fontId="3" fillId="4" borderId="2" xfId="22" quotePrefix="1" applyNumberFormat="1" applyFont="1" applyFill="1" applyBorder="1" applyAlignment="1">
      <alignment horizontal="center" vertical="center" wrapText="1"/>
    </xf>
    <xf numFmtId="0" fontId="14" fillId="0" borderId="2" xfId="19" quotePrefix="1" applyFont="1" applyFill="1" applyBorder="1" applyAlignment="1">
      <alignment horizontal="center" vertical="center" wrapText="1"/>
    </xf>
    <xf numFmtId="0" fontId="14" fillId="3" borderId="2" xfId="9" applyFont="1" applyFill="1" applyBorder="1" applyAlignment="1">
      <alignment vertical="center" wrapText="1"/>
    </xf>
    <xf numFmtId="0" fontId="11" fillId="0" borderId="0" xfId="27" applyFont="1" applyAlignment="1">
      <alignment vertical="center" wrapText="1"/>
    </xf>
    <xf numFmtId="0" fontId="12" fillId="0" borderId="2" xfId="0" applyFont="1" applyFill="1" applyBorder="1" applyAlignment="1">
      <alignment horizontal="center" vertical="center" wrapText="1"/>
    </xf>
    <xf numFmtId="10" fontId="9" fillId="0" borderId="0" xfId="27" applyNumberFormat="1"/>
    <xf numFmtId="4" fontId="19" fillId="0" borderId="0" xfId="27" applyNumberFormat="1" applyFont="1"/>
    <xf numFmtId="0" fontId="3" fillId="0" borderId="0" xfId="0" applyFont="1"/>
    <xf numFmtId="0" fontId="7" fillId="0" borderId="0" xfId="65"/>
    <xf numFmtId="0" fontId="14" fillId="0" borderId="0" xfId="0" applyFont="1" applyAlignment="1"/>
    <xf numFmtId="166" fontId="14" fillId="0" borderId="0" xfId="27" applyNumberFormat="1" applyFont="1" applyAlignment="1">
      <alignment horizontal="center" vertical="center" wrapText="1"/>
    </xf>
    <xf numFmtId="4" fontId="14" fillId="3" borderId="0" xfId="14" applyNumberFormat="1" applyFont="1" applyFill="1" applyBorder="1" applyAlignment="1">
      <alignment horizontal="center" vertical="center" wrapText="1"/>
    </xf>
    <xf numFmtId="0" fontId="26" fillId="0" borderId="0" xfId="27" applyFont="1"/>
    <xf numFmtId="165" fontId="11" fillId="0" borderId="0" xfId="27" applyNumberFormat="1" applyFont="1" applyFill="1" applyAlignment="1">
      <alignment horizontal="center" vertical="center"/>
    </xf>
    <xf numFmtId="0" fontId="14" fillId="0" borderId="0" xfId="0" applyFont="1" applyAlignment="1">
      <alignment horizontal="left" wrapText="1"/>
    </xf>
    <xf numFmtId="0" fontId="2" fillId="0" borderId="0" xfId="27" applyFont="1" applyAlignment="1">
      <alignment horizontal="center" vertical="center"/>
    </xf>
    <xf numFmtId="3" fontId="4" fillId="3" borderId="0" xfId="27" applyNumberFormat="1" applyFont="1" applyFill="1" applyBorder="1" applyAlignment="1">
      <alignment horizontal="center" vertical="center"/>
    </xf>
    <xf numFmtId="0" fontId="3" fillId="0" borderId="0" xfId="27" applyFont="1" applyAlignment="1">
      <alignment horizontal="left"/>
    </xf>
    <xf numFmtId="4" fontId="3" fillId="0" borderId="0" xfId="27" applyNumberFormat="1" applyFont="1" applyAlignment="1">
      <alignment horizontal="center" vertical="center"/>
    </xf>
    <xf numFmtId="0" fontId="3" fillId="0" borderId="0" xfId="27" applyFont="1" applyAlignment="1">
      <alignment horizontal="center" vertical="center"/>
    </xf>
    <xf numFmtId="0" fontId="1" fillId="0" borderId="0" xfId="27" applyFont="1"/>
    <xf numFmtId="0" fontId="2" fillId="0" borderId="0" xfId="27" applyFont="1" applyAlignment="1">
      <alignment horizontal="center"/>
    </xf>
    <xf numFmtId="4" fontId="2" fillId="0" borderId="0" xfId="27" applyNumberFormat="1" applyFont="1" applyAlignment="1">
      <alignment horizontal="center" vertical="center"/>
    </xf>
    <xf numFmtId="0" fontId="3" fillId="0" borderId="0" xfId="27" applyFont="1" applyAlignment="1">
      <alignment horizontal="justify"/>
    </xf>
    <xf numFmtId="0" fontId="14" fillId="2"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166" fontId="14" fillId="0" borderId="0" xfId="27" applyNumberFormat="1" applyFont="1" applyFill="1" applyBorder="1" applyAlignment="1">
      <alignment horizontal="right" vertical="center"/>
    </xf>
    <xf numFmtId="166" fontId="11" fillId="0" borderId="13" xfId="0" applyNumberFormat="1" applyFont="1" applyFill="1" applyBorder="1"/>
    <xf numFmtId="0" fontId="14" fillId="0" borderId="0" xfId="0" applyFont="1"/>
    <xf numFmtId="0" fontId="3" fillId="0" borderId="0" xfId="27" applyFont="1" applyAlignment="1">
      <alignment vertical="center"/>
    </xf>
    <xf numFmtId="0" fontId="14" fillId="0" borderId="0" xfId="0" applyFont="1" applyAlignment="1">
      <alignment vertical="center"/>
    </xf>
    <xf numFmtId="0" fontId="3" fillId="0" borderId="0" xfId="44" applyFont="1" applyBorder="1" applyAlignment="1">
      <alignment horizontal="right" vertical="center"/>
    </xf>
    <xf numFmtId="0" fontId="14" fillId="0" borderId="0" xfId="0" applyFont="1" applyAlignment="1">
      <alignment horizontal="left" vertical="center" wrapText="1"/>
    </xf>
    <xf numFmtId="0" fontId="3" fillId="0" borderId="0" xfId="27" applyFont="1" applyAlignment="1">
      <alignment horizontal="left" vertical="center"/>
    </xf>
    <xf numFmtId="0" fontId="2" fillId="0" borderId="0" xfId="27" applyFont="1" applyBorder="1" applyAlignment="1">
      <alignment horizontal="left" vertical="center"/>
    </xf>
    <xf numFmtId="4" fontId="2" fillId="0" borderId="0" xfId="27" applyNumberFormat="1" applyFont="1" applyBorder="1" applyAlignment="1">
      <alignment horizontal="center" vertical="center"/>
    </xf>
    <xf numFmtId="0" fontId="2" fillId="0" borderId="0" xfId="27" applyFont="1" applyBorder="1" applyAlignment="1">
      <alignment horizontal="center" vertical="center"/>
    </xf>
    <xf numFmtId="49" fontId="14" fillId="3" borderId="14" xfId="14" applyNumberFormat="1" applyFont="1" applyFill="1" applyBorder="1" applyAlignment="1">
      <alignment horizontal="center" vertical="center" wrapText="1"/>
    </xf>
    <xf numFmtId="4" fontId="14" fillId="3" borderId="14" xfId="14" applyNumberFormat="1" applyFont="1" applyFill="1" applyBorder="1" applyAlignment="1">
      <alignment horizontal="center" vertical="center"/>
    </xf>
    <xf numFmtId="0" fontId="14" fillId="3" borderId="14" xfId="9" applyFont="1" applyFill="1" applyBorder="1" applyAlignment="1">
      <alignment vertical="center" wrapText="1"/>
    </xf>
    <xf numFmtId="0" fontId="0" fillId="0" borderId="0" xfId="0" applyAlignment="1">
      <alignment vertical="center"/>
    </xf>
    <xf numFmtId="0" fontId="0" fillId="0" borderId="14" xfId="0" applyBorder="1" applyAlignment="1">
      <alignment horizontal="center" vertical="center"/>
    </xf>
    <xf numFmtId="0" fontId="0" fillId="0" borderId="14" xfId="0" applyBorder="1" applyAlignment="1">
      <alignment horizontal="center" vertical="center" wrapText="1"/>
    </xf>
    <xf numFmtId="9" fontId="0" fillId="0" borderId="0" xfId="0" applyNumberFormat="1"/>
    <xf numFmtId="0" fontId="5" fillId="0" borderId="0" xfId="14" applyFont="1" applyFill="1"/>
    <xf numFmtId="173" fontId="14" fillId="0" borderId="2" xfId="27" applyNumberFormat="1" applyFont="1" applyBorder="1" applyAlignment="1">
      <alignment horizontal="center" vertical="center"/>
    </xf>
    <xf numFmtId="4" fontId="14" fillId="0" borderId="14" xfId="9" applyNumberFormat="1" applyFont="1" applyFill="1" applyBorder="1" applyAlignment="1">
      <alignment horizontal="center" vertical="center" wrapText="1"/>
    </xf>
    <xf numFmtId="4" fontId="14" fillId="0" borderId="2" xfId="9" applyNumberFormat="1" applyFont="1" applyFill="1" applyBorder="1" applyAlignment="1">
      <alignment horizontal="center" vertical="center" wrapText="1"/>
    </xf>
    <xf numFmtId="165" fontId="14" fillId="0" borderId="0" xfId="27" applyNumberFormat="1" applyFont="1" applyFill="1" applyAlignment="1">
      <alignment horizontal="center" vertical="center"/>
    </xf>
    <xf numFmtId="0" fontId="14" fillId="0" borderId="22" xfId="0" applyFont="1" applyBorder="1" applyAlignment="1">
      <alignment horizontal="center"/>
    </xf>
    <xf numFmtId="0" fontId="3" fillId="4" borderId="22" xfId="0" applyFont="1" applyFill="1" applyBorder="1" applyAlignment="1">
      <alignment horizontal="center"/>
    </xf>
    <xf numFmtId="0" fontId="3" fillId="0" borderId="22" xfId="0" applyFont="1" applyFill="1" applyBorder="1" applyAlignment="1">
      <alignment horizontal="center"/>
    </xf>
    <xf numFmtId="2" fontId="3" fillId="0" borderId="22" xfId="0" applyNumberFormat="1" applyFont="1" applyBorder="1" applyAlignment="1">
      <alignment horizontal="center" vertical="center"/>
    </xf>
    <xf numFmtId="4" fontId="3" fillId="0" borderId="22" xfId="0" applyNumberFormat="1" applyFont="1" applyFill="1" applyBorder="1" applyAlignment="1">
      <alignment horizontal="center"/>
    </xf>
    <xf numFmtId="4" fontId="3" fillId="0" borderId="22" xfId="0" applyNumberFormat="1" applyFont="1" applyBorder="1" applyAlignment="1">
      <alignment horizontal="center"/>
    </xf>
    <xf numFmtId="10" fontId="3" fillId="0" borderId="22" xfId="0" applyNumberFormat="1" applyFont="1" applyBorder="1" applyAlignment="1">
      <alignment horizontal="center"/>
    </xf>
    <xf numFmtId="1" fontId="4" fillId="0" borderId="22" xfId="0" applyNumberFormat="1" applyFont="1" applyFill="1" applyBorder="1" applyAlignment="1">
      <alignment horizontal="center"/>
    </xf>
    <xf numFmtId="4" fontId="3" fillId="0" borderId="22" xfId="0" applyNumberFormat="1" applyFont="1" applyFill="1" applyBorder="1" applyAlignment="1">
      <alignment horizontal="center" vertical="center"/>
    </xf>
    <xf numFmtId="1" fontId="14" fillId="0" borderId="22" xfId="0" applyNumberFormat="1" applyFont="1" applyBorder="1" applyAlignment="1">
      <alignment horizontal="center"/>
    </xf>
    <xf numFmtId="2" fontId="14" fillId="0" borderId="22" xfId="0" applyNumberFormat="1" applyFont="1" applyBorder="1" applyAlignment="1">
      <alignment horizontal="center" vertical="center"/>
    </xf>
    <xf numFmtId="2" fontId="14" fillId="0" borderId="22" xfId="0" applyNumberFormat="1" applyFont="1" applyBorder="1" applyAlignment="1">
      <alignment horizontal="center"/>
    </xf>
    <xf numFmtId="1" fontId="14" fillId="0" borderId="22" xfId="0" applyNumberFormat="1" applyFont="1" applyFill="1" applyBorder="1" applyAlignment="1">
      <alignment horizontal="center"/>
    </xf>
    <xf numFmtId="2" fontId="14" fillId="0" borderId="22" xfId="0" applyNumberFormat="1" applyFont="1" applyFill="1" applyBorder="1" applyAlignment="1">
      <alignment horizontal="center" vertical="center"/>
    </xf>
    <xf numFmtId="4" fontId="25" fillId="0" borderId="0" xfId="0" applyNumberFormat="1" applyFont="1" applyAlignment="1">
      <alignment horizontal="center" vertical="center"/>
    </xf>
    <xf numFmtId="0" fontId="11" fillId="0" borderId="0" xfId="14" applyFont="1" applyAlignment="1">
      <alignment horizontal="left" vertical="center" wrapText="1"/>
    </xf>
    <xf numFmtId="0" fontId="14" fillId="0" borderId="0" xfId="14" applyFont="1" applyAlignment="1">
      <alignment horizontal="center" vertical="center"/>
    </xf>
    <xf numFmtId="4" fontId="14" fillId="5" borderId="22" xfId="19" quotePrefix="1" applyNumberFormat="1" applyFont="1" applyFill="1" applyBorder="1" applyAlignment="1">
      <alignment horizontal="center" vertical="center" wrapText="1"/>
    </xf>
    <xf numFmtId="169" fontId="14" fillId="5" borderId="22" xfId="19" quotePrefix="1" applyNumberFormat="1" applyFont="1" applyFill="1" applyBorder="1" applyAlignment="1">
      <alignment horizontal="center" vertical="center" wrapText="1"/>
    </xf>
    <xf numFmtId="0" fontId="14" fillId="5" borderId="22" xfId="15" applyFont="1" applyFill="1" applyBorder="1" applyAlignment="1">
      <alignment vertical="center" wrapText="1"/>
    </xf>
    <xf numFmtId="0" fontId="14" fillId="5" borderId="22" xfId="0" applyFont="1" applyFill="1" applyBorder="1" applyAlignment="1">
      <alignment horizontal="center" vertical="center" wrapText="1"/>
    </xf>
    <xf numFmtId="10" fontId="3" fillId="0" borderId="0" xfId="0" applyNumberFormat="1" applyFont="1" applyFill="1" applyAlignment="1">
      <alignment horizontal="center" vertical="center"/>
    </xf>
    <xf numFmtId="0" fontId="14" fillId="0" borderId="22" xfId="19" quotePrefix="1" applyFont="1" applyFill="1" applyBorder="1" applyAlignment="1">
      <alignment horizontal="left" vertical="center" wrapText="1"/>
    </xf>
    <xf numFmtId="0" fontId="14" fillId="0" borderId="22" xfId="15" applyFont="1" applyFill="1" applyBorder="1" applyAlignment="1">
      <alignment vertical="center" wrapText="1"/>
    </xf>
    <xf numFmtId="0" fontId="14" fillId="0" borderId="22" xfId="15" applyFont="1" applyFill="1" applyBorder="1" applyAlignment="1">
      <alignment horizontal="center" wrapText="1"/>
    </xf>
    <xf numFmtId="0" fontId="32" fillId="0" borderId="0" xfId="74"/>
    <xf numFmtId="0" fontId="0" fillId="0" borderId="0" xfId="0" applyBorder="1"/>
    <xf numFmtId="0" fontId="5" fillId="7" borderId="0" xfId="77" applyFont="1" applyFill="1" applyBorder="1" applyAlignment="1">
      <alignment horizontal="left" vertical="center"/>
    </xf>
    <xf numFmtId="0" fontId="40" fillId="0" borderId="0" xfId="78" applyFont="1" applyFill="1" applyBorder="1" applyAlignment="1">
      <alignment horizontal="center"/>
    </xf>
    <xf numFmtId="0" fontId="40" fillId="0" borderId="0" xfId="77" applyFont="1" applyFill="1" applyBorder="1" applyAlignment="1">
      <alignment horizontal="center" wrapText="1"/>
    </xf>
    <xf numFmtId="0" fontId="41" fillId="0" borderId="0" xfId="78" applyFont="1" applyFill="1" applyBorder="1" applyAlignment="1">
      <alignment horizontal="center"/>
    </xf>
    <xf numFmtId="0" fontId="41" fillId="0" borderId="0" xfId="77" applyFont="1" applyFill="1" applyBorder="1" applyAlignment="1">
      <alignment horizontal="center" wrapText="1"/>
    </xf>
    <xf numFmtId="0" fontId="41" fillId="0" borderId="27" xfId="45" applyFont="1" applyBorder="1" applyAlignment="1">
      <alignment horizontal="center" vertical="center" wrapText="1"/>
    </xf>
    <xf numFmtId="175" fontId="41" fillId="0" borderId="27" xfId="80" applyNumberFormat="1" applyFont="1" applyFill="1" applyBorder="1" applyAlignment="1">
      <alignment horizontal="center" vertical="center" wrapText="1"/>
    </xf>
    <xf numFmtId="0" fontId="41" fillId="8" borderId="27" xfId="77" applyFont="1" applyFill="1" applyBorder="1" applyAlignment="1">
      <alignment horizontal="center" vertical="center" wrapText="1"/>
    </xf>
    <xf numFmtId="0" fontId="41" fillId="0" borderId="27" xfId="80" applyFont="1" applyFill="1" applyBorder="1" applyAlignment="1">
      <alignment horizontal="center" vertical="center" wrapText="1"/>
    </xf>
    <xf numFmtId="0" fontId="41" fillId="0" borderId="23" xfId="45" applyFont="1" applyBorder="1" applyAlignment="1">
      <alignment horizontal="center" vertical="center" wrapText="1"/>
    </xf>
    <xf numFmtId="49" fontId="20" fillId="8" borderId="25" xfId="82" applyNumberFormat="1" applyFont="1" applyFill="1" applyBorder="1" applyAlignment="1">
      <alignment horizontal="center" vertical="center" wrapText="1"/>
    </xf>
    <xf numFmtId="175" fontId="41" fillId="0" borderId="24" xfId="80" applyNumberFormat="1" applyFont="1" applyFill="1" applyBorder="1" applyAlignment="1">
      <alignment horizontal="center" vertical="center" wrapText="1"/>
    </xf>
    <xf numFmtId="49" fontId="20" fillId="8" borderId="27" xfId="82" applyNumberFormat="1" applyFont="1" applyFill="1" applyBorder="1" applyAlignment="1">
      <alignment horizontal="center" vertical="center" wrapText="1"/>
    </xf>
    <xf numFmtId="175" fontId="41" fillId="0" borderId="32" xfId="80" applyNumberFormat="1" applyFont="1" applyFill="1" applyBorder="1" applyAlignment="1">
      <alignment horizontal="center" vertical="center" wrapText="1"/>
    </xf>
    <xf numFmtId="0" fontId="41" fillId="8" borderId="27" xfId="80" applyFont="1" applyFill="1" applyBorder="1" applyAlignment="1">
      <alignment horizontal="center" vertical="center" wrapText="1"/>
    </xf>
    <xf numFmtId="0" fontId="41" fillId="0" borderId="27" xfId="77" applyFont="1" applyFill="1" applyBorder="1" applyAlignment="1">
      <alignment horizontal="center" wrapText="1"/>
    </xf>
    <xf numFmtId="0" fontId="41" fillId="8" borderId="25" xfId="80" applyFont="1" applyFill="1" applyBorder="1" applyAlignment="1">
      <alignment horizontal="left" vertical="center" wrapText="1"/>
    </xf>
    <xf numFmtId="0" fontId="41" fillId="8" borderId="27" xfId="80" applyFont="1" applyFill="1" applyBorder="1" applyAlignment="1">
      <alignment horizontal="left" vertical="center" wrapText="1"/>
    </xf>
    <xf numFmtId="2" fontId="41" fillId="0" borderId="33" xfId="81" applyNumberFormat="1" applyFont="1" applyFill="1" applyBorder="1" applyAlignment="1">
      <alignment horizontal="center"/>
    </xf>
    <xf numFmtId="0" fontId="41" fillId="0" borderId="33" xfId="80" applyFont="1" applyFill="1" applyBorder="1" applyAlignment="1">
      <alignment horizontal="center" wrapText="1"/>
    </xf>
    <xf numFmtId="0" fontId="41" fillId="8" borderId="33" xfId="80" applyFont="1" applyFill="1" applyBorder="1" applyAlignment="1">
      <alignment wrapText="1"/>
    </xf>
    <xf numFmtId="2" fontId="41" fillId="0" borderId="27" xfId="81" applyNumberFormat="1" applyFont="1" applyFill="1" applyBorder="1" applyAlignment="1">
      <alignment horizontal="center"/>
    </xf>
    <xf numFmtId="0" fontId="41" fillId="0" borderId="29" xfId="80" applyFont="1" applyFill="1" applyBorder="1" applyAlignment="1">
      <alignment horizontal="center" wrapText="1"/>
    </xf>
    <xf numFmtId="0" fontId="41" fillId="8" borderId="29" xfId="80" applyFont="1" applyFill="1" applyBorder="1" applyAlignment="1">
      <alignment wrapText="1"/>
    </xf>
    <xf numFmtId="0" fontId="41" fillId="0" borderId="27" xfId="80" applyFont="1" applyFill="1" applyBorder="1" applyAlignment="1">
      <alignment horizontal="center" wrapText="1"/>
    </xf>
    <xf numFmtId="0" fontId="41" fillId="8" borderId="27" xfId="80" applyFont="1" applyFill="1" applyBorder="1" applyAlignment="1">
      <alignment wrapText="1"/>
    </xf>
    <xf numFmtId="0" fontId="41" fillId="0" borderId="29" xfId="77" applyFont="1" applyFill="1" applyBorder="1" applyAlignment="1">
      <alignment horizontal="center" wrapText="1"/>
    </xf>
    <xf numFmtId="0" fontId="41" fillId="0" borderId="27" xfId="84" applyFont="1" applyFill="1" applyBorder="1" applyAlignment="1">
      <alignment horizontal="center" vertical="center" wrapText="1"/>
    </xf>
    <xf numFmtId="0" fontId="41" fillId="0" borderId="27" xfId="78" applyFont="1" applyFill="1" applyBorder="1" applyAlignment="1">
      <alignment horizontal="center"/>
    </xf>
    <xf numFmtId="0" fontId="41" fillId="0" borderId="0" xfId="78" applyFont="1" applyFill="1" applyBorder="1" applyAlignment="1">
      <alignment horizontal="center" vertical="center"/>
    </xf>
    <xf numFmtId="2" fontId="14" fillId="0" borderId="27" xfId="84" applyNumberFormat="1" applyFont="1" applyFill="1" applyBorder="1" applyAlignment="1">
      <alignment horizontal="center" vertical="center" wrapText="1"/>
    </xf>
    <xf numFmtId="0" fontId="41" fillId="0" borderId="20" xfId="78" applyFont="1" applyFill="1" applyBorder="1" applyAlignment="1">
      <alignment horizontal="center" vertical="center"/>
    </xf>
    <xf numFmtId="0" fontId="41" fillId="0" borderId="21" xfId="77" applyFont="1" applyFill="1" applyBorder="1" applyAlignment="1">
      <alignment horizontal="center" wrapText="1"/>
    </xf>
    <xf numFmtId="0" fontId="41" fillId="8" borderId="23" xfId="77" applyFont="1" applyFill="1" applyBorder="1" applyAlignment="1">
      <alignment horizontal="left" wrapText="1"/>
    </xf>
    <xf numFmtId="0" fontId="41" fillId="0" borderId="33" xfId="77" applyFont="1" applyFill="1" applyBorder="1" applyAlignment="1">
      <alignment horizontal="center" wrapText="1"/>
    </xf>
    <xf numFmtId="0" fontId="41" fillId="8" borderId="27" xfId="77" applyFont="1" applyFill="1" applyBorder="1" applyAlignment="1">
      <alignment horizontal="left" wrapText="1"/>
    </xf>
    <xf numFmtId="165" fontId="41" fillId="0" borderId="27" xfId="77" applyNumberFormat="1" applyFont="1" applyFill="1" applyBorder="1" applyAlignment="1">
      <alignment horizontal="center" wrapText="1"/>
    </xf>
    <xf numFmtId="0" fontId="41" fillId="0" borderId="29" xfId="81" applyFont="1" applyFill="1" applyBorder="1" applyAlignment="1">
      <alignment horizontal="center"/>
    </xf>
    <xf numFmtId="0" fontId="41" fillId="0" borderId="29" xfId="78" applyFont="1" applyFill="1" applyBorder="1" applyAlignment="1">
      <alignment horizontal="center" wrapText="1"/>
    </xf>
    <xf numFmtId="0" fontId="41" fillId="0" borderId="29" xfId="78" applyFont="1" applyFill="1" applyBorder="1" applyAlignment="1">
      <alignment horizontal="center"/>
    </xf>
    <xf numFmtId="0" fontId="14" fillId="0" borderId="0" xfId="77" applyFont="1" applyFill="1" applyBorder="1" applyAlignment="1">
      <alignment horizontal="center" vertical="center" wrapText="1"/>
    </xf>
    <xf numFmtId="0" fontId="41" fillId="0" borderId="39" xfId="78" applyFont="1" applyFill="1" applyBorder="1" applyAlignment="1">
      <alignment horizontal="center" wrapText="1"/>
    </xf>
    <xf numFmtId="2" fontId="41" fillId="0" borderId="27" xfId="81" applyNumberFormat="1" applyFont="1" applyFill="1" applyBorder="1" applyAlignment="1">
      <alignment horizontal="center" vertical="center" wrapText="1"/>
    </xf>
    <xf numFmtId="0" fontId="41" fillId="0" borderId="27" xfId="81" applyFont="1" applyFill="1" applyBorder="1" applyAlignment="1">
      <alignment horizontal="center" vertical="center" wrapText="1"/>
    </xf>
    <xf numFmtId="0" fontId="41" fillId="0" borderId="27" xfId="87" applyFont="1" applyFill="1" applyBorder="1" applyAlignment="1">
      <alignment horizontal="center" vertical="center" wrapText="1"/>
    </xf>
    <xf numFmtId="0" fontId="41" fillId="8" borderId="27" xfId="81" applyFont="1" applyFill="1" applyBorder="1" applyAlignment="1">
      <alignment horizontal="left" vertical="center" wrapText="1"/>
    </xf>
    <xf numFmtId="0" fontId="41" fillId="0" borderId="33" xfId="81" applyFont="1" applyFill="1" applyBorder="1" applyAlignment="1">
      <alignment horizontal="center" vertical="center" wrapText="1"/>
    </xf>
    <xf numFmtId="0" fontId="41" fillId="0" borderId="41" xfId="87" applyFont="1" applyFill="1" applyBorder="1" applyAlignment="1">
      <alignment horizontal="center" vertical="center"/>
    </xf>
    <xf numFmtId="0" fontId="41" fillId="8" borderId="33" xfId="81" applyFont="1" applyFill="1" applyBorder="1" applyAlignment="1">
      <alignment horizontal="left" vertical="center" wrapText="1"/>
    </xf>
    <xf numFmtId="0" fontId="41" fillId="0" borderId="0" xfId="81" applyFont="1" applyFill="1" applyBorder="1" applyAlignment="1">
      <alignment horizontal="center" vertical="center" wrapText="1"/>
    </xf>
    <xf numFmtId="0" fontId="41" fillId="0" borderId="20" xfId="81" applyFont="1" applyFill="1" applyBorder="1" applyAlignment="1">
      <alignment horizontal="center" vertical="center" wrapText="1"/>
    </xf>
    <xf numFmtId="0" fontId="41" fillId="0" borderId="42" xfId="87" applyFont="1" applyFill="1" applyBorder="1" applyAlignment="1">
      <alignment horizontal="center" vertical="center"/>
    </xf>
    <xf numFmtId="0" fontId="41" fillId="0" borderId="43" xfId="87" applyFont="1" applyFill="1" applyBorder="1" applyAlignment="1">
      <alignment horizontal="center" vertical="center"/>
    </xf>
    <xf numFmtId="0" fontId="41" fillId="8" borderId="24" xfId="81" applyFont="1" applyFill="1" applyBorder="1" applyAlignment="1">
      <alignment horizontal="left" vertical="center" wrapText="1"/>
    </xf>
    <xf numFmtId="0" fontId="41" fillId="0" borderId="21" xfId="81" applyFont="1" applyFill="1" applyBorder="1" applyAlignment="1">
      <alignment horizontal="center" vertical="center" wrapText="1"/>
    </xf>
    <xf numFmtId="0" fontId="41" fillId="8" borderId="0" xfId="81" applyFont="1" applyFill="1" applyBorder="1" applyAlignment="1">
      <alignment horizontal="left" vertical="center" wrapText="1"/>
    </xf>
    <xf numFmtId="2" fontId="14" fillId="7" borderId="0" xfId="45" applyNumberFormat="1" applyFont="1" applyFill="1" applyAlignment="1">
      <alignment horizontal="center"/>
    </xf>
    <xf numFmtId="0" fontId="14" fillId="7" borderId="0" xfId="77" applyFont="1" applyFill="1" applyAlignment="1">
      <alignment horizontal="justify" vertical="center"/>
    </xf>
    <xf numFmtId="2" fontId="14" fillId="7" borderId="0" xfId="77" applyNumberFormat="1" applyFont="1" applyFill="1" applyAlignment="1">
      <alignment horizontal="justify" vertical="center"/>
    </xf>
    <xf numFmtId="2" fontId="14" fillId="0" borderId="0" xfId="0" applyNumberFormat="1" applyFont="1" applyBorder="1" applyAlignment="1">
      <alignment vertical="center" wrapText="1"/>
    </xf>
    <xf numFmtId="0" fontId="0" fillId="0" borderId="0" xfId="0" applyFont="1"/>
    <xf numFmtId="2" fontId="14" fillId="7" borderId="0" xfId="77" applyNumberFormat="1" applyFont="1" applyFill="1"/>
    <xf numFmtId="0" fontId="14" fillId="7" borderId="0" xfId="77" applyFont="1" applyFill="1"/>
    <xf numFmtId="0" fontId="14" fillId="0" borderId="0" xfId="77" applyFont="1" applyFill="1" applyBorder="1" applyAlignment="1">
      <alignment vertical="center" wrapText="1"/>
    </xf>
    <xf numFmtId="4" fontId="41" fillId="0" borderId="29" xfId="78" applyNumberFormat="1" applyFont="1" applyFill="1" applyBorder="1" applyAlignment="1">
      <alignment horizontal="right"/>
    </xf>
    <xf numFmtId="4" fontId="41" fillId="0" borderId="27" xfId="77" applyNumberFormat="1" applyFont="1" applyFill="1" applyBorder="1" applyAlignment="1">
      <alignment horizontal="right" wrapText="1"/>
    </xf>
    <xf numFmtId="4" fontId="40" fillId="8" borderId="29" xfId="85" applyNumberFormat="1" applyFont="1" applyFill="1" applyBorder="1" applyAlignment="1" applyProtection="1">
      <alignment horizontal="right"/>
    </xf>
    <xf numFmtId="4" fontId="40" fillId="8" borderId="27" xfId="80" applyNumberFormat="1" applyFont="1" applyFill="1" applyBorder="1" applyAlignment="1">
      <alignment horizontal="right" wrapText="1"/>
    </xf>
    <xf numFmtId="4" fontId="40" fillId="8" borderId="33" xfId="80" applyNumberFormat="1" applyFont="1" applyFill="1" applyBorder="1" applyAlignment="1">
      <alignment horizontal="right" wrapText="1"/>
    </xf>
    <xf numFmtId="14" fontId="14" fillId="0" borderId="0" xfId="0" applyNumberFormat="1" applyFont="1" applyBorder="1"/>
    <xf numFmtId="14" fontId="14" fillId="0" borderId="0" xfId="0" applyNumberFormat="1" applyFont="1"/>
    <xf numFmtId="165" fontId="14" fillId="0" borderId="27" xfId="0" applyNumberFormat="1" applyFont="1" applyBorder="1"/>
    <xf numFmtId="10" fontId="14" fillId="0" borderId="27" xfId="0" applyNumberFormat="1" applyFont="1" applyBorder="1" applyAlignment="1">
      <alignment vertical="center"/>
    </xf>
    <xf numFmtId="10" fontId="14" fillId="2" borderId="25" xfId="0" applyNumberFormat="1" applyFont="1" applyFill="1" applyBorder="1" applyAlignment="1">
      <alignment vertical="center"/>
    </xf>
    <xf numFmtId="0" fontId="14" fillId="2" borderId="23" xfId="0" applyFont="1" applyFill="1" applyBorder="1" applyAlignment="1">
      <alignment vertical="center"/>
    </xf>
    <xf numFmtId="166" fontId="14" fillId="6" borderId="27" xfId="0" applyNumberFormat="1" applyFont="1" applyFill="1" applyBorder="1" applyAlignment="1">
      <alignment vertical="center"/>
    </xf>
    <xf numFmtId="14" fontId="14" fillId="0" borderId="27" xfId="0" applyNumberFormat="1" applyFont="1" applyFill="1" applyBorder="1"/>
    <xf numFmtId="173" fontId="14" fillId="0" borderId="2" xfId="27" applyNumberFormat="1" applyFont="1" applyFill="1" applyBorder="1" applyAlignment="1">
      <alignment horizontal="center" vertical="center"/>
    </xf>
    <xf numFmtId="14" fontId="11" fillId="0" borderId="0" xfId="27" applyNumberFormat="1" applyFont="1" applyFill="1" applyBorder="1" applyAlignment="1">
      <alignment horizontal="center" vertical="center" wrapText="1"/>
    </xf>
    <xf numFmtId="0" fontId="19" fillId="0" borderId="0" xfId="27" applyFont="1"/>
    <xf numFmtId="0" fontId="47" fillId="0" borderId="0" xfId="0" applyFont="1"/>
    <xf numFmtId="0" fontId="48" fillId="4" borderId="22" xfId="0" applyFont="1" applyFill="1" applyBorder="1" applyAlignment="1">
      <alignment horizontal="center" vertical="center"/>
    </xf>
    <xf numFmtId="0" fontId="48" fillId="4" borderId="22" xfId="0" applyFont="1" applyFill="1" applyBorder="1" applyAlignment="1">
      <alignment horizontal="center" vertical="center" wrapText="1"/>
    </xf>
    <xf numFmtId="0" fontId="48" fillId="4" borderId="22" xfId="0" applyFont="1" applyFill="1" applyBorder="1" applyAlignment="1">
      <alignment horizontal="center" vertical="top" wrapText="1"/>
    </xf>
    <xf numFmtId="0" fontId="4" fillId="0" borderId="0" xfId="0" applyFont="1"/>
    <xf numFmtId="0" fontId="4" fillId="4" borderId="22" xfId="0" applyFont="1" applyFill="1" applyBorder="1" applyAlignment="1">
      <alignment horizontal="center"/>
    </xf>
    <xf numFmtId="0" fontId="4" fillId="0" borderId="22" xfId="0" applyFont="1" applyFill="1" applyBorder="1" applyAlignment="1">
      <alignment horizontal="center"/>
    </xf>
    <xf numFmtId="0" fontId="4" fillId="0" borderId="22" xfId="0" applyFont="1" applyBorder="1" applyAlignment="1">
      <alignment horizontal="center"/>
    </xf>
    <xf numFmtId="0" fontId="4" fillId="0" borderId="22" xfId="0" applyFont="1" applyBorder="1"/>
    <xf numFmtId="1" fontId="4" fillId="0" borderId="22" xfId="0" applyNumberFormat="1" applyFont="1" applyBorder="1" applyAlignment="1">
      <alignment horizontal="center"/>
    </xf>
    <xf numFmtId="2" fontId="4" fillId="0" borderId="22" xfId="0" applyNumberFormat="1" applyFont="1" applyBorder="1" applyAlignment="1">
      <alignment horizontal="center" vertical="center"/>
    </xf>
    <xf numFmtId="2" fontId="4" fillId="0" borderId="22" xfId="0" applyNumberFormat="1" applyFont="1" applyBorder="1" applyAlignment="1">
      <alignment horizontal="center"/>
    </xf>
    <xf numFmtId="0" fontId="4" fillId="0" borderId="22" xfId="0" applyFont="1" applyBorder="1" applyAlignment="1">
      <alignment horizontal="right"/>
    </xf>
    <xf numFmtId="0" fontId="51" fillId="0" borderId="0" xfId="0" applyFont="1" applyAlignment="1">
      <alignment vertical="center"/>
    </xf>
    <xf numFmtId="0" fontId="48" fillId="0" borderId="0" xfId="0" applyFont="1" applyAlignment="1">
      <alignment vertical="center"/>
    </xf>
    <xf numFmtId="0" fontId="52" fillId="0" borderId="0" xfId="0" applyFont="1" applyAlignment="1">
      <alignment vertical="center"/>
    </xf>
    <xf numFmtId="4" fontId="52" fillId="0" borderId="0" xfId="0" applyNumberFormat="1" applyFont="1" applyAlignment="1">
      <alignment vertical="center"/>
    </xf>
    <xf numFmtId="0" fontId="35" fillId="3" borderId="0" xfId="14" applyFont="1" applyFill="1"/>
    <xf numFmtId="0" fontId="35" fillId="0" borderId="0" xfId="14" applyFont="1" applyFill="1"/>
    <xf numFmtId="0" fontId="4" fillId="3" borderId="0" xfId="27" applyFont="1" applyFill="1" applyBorder="1" applyAlignment="1">
      <alignment horizontal="center" vertical="center" wrapText="1"/>
    </xf>
    <xf numFmtId="9" fontId="50" fillId="3" borderId="0" xfId="27" applyNumberFormat="1" applyFont="1" applyFill="1" applyBorder="1" applyAlignment="1">
      <alignment horizontal="center" vertical="center" wrapText="1"/>
    </xf>
    <xf numFmtId="0" fontId="4" fillId="3" borderId="0" xfId="27" applyFont="1" applyFill="1" applyBorder="1" applyAlignment="1">
      <alignment horizontal="center"/>
    </xf>
    <xf numFmtId="173" fontId="4" fillId="0" borderId="2" xfId="27" applyNumberFormat="1" applyFont="1" applyBorder="1" applyAlignment="1">
      <alignment horizontal="center" vertical="center"/>
    </xf>
    <xf numFmtId="173" fontId="4" fillId="0" borderId="2" xfId="27" applyNumberFormat="1" applyFont="1" applyFill="1" applyBorder="1" applyAlignment="1">
      <alignment horizontal="center" vertical="center"/>
    </xf>
    <xf numFmtId="0" fontId="19" fillId="0" borderId="14" xfId="27" applyFont="1" applyBorder="1"/>
    <xf numFmtId="0" fontId="19" fillId="0" borderId="22" xfId="27" applyFont="1" applyBorder="1" applyAlignment="1">
      <alignment horizontal="center" vertical="center"/>
    </xf>
    <xf numFmtId="0" fontId="19" fillId="0" borderId="22" xfId="27" applyFont="1" applyBorder="1"/>
    <xf numFmtId="2" fontId="19" fillId="0" borderId="0" xfId="27" applyNumberFormat="1" applyFont="1"/>
    <xf numFmtId="0" fontId="4" fillId="0" borderId="0" xfId="27" applyFont="1" applyAlignment="1">
      <alignment horizontal="justify"/>
    </xf>
    <xf numFmtId="0" fontId="53" fillId="0" borderId="0" xfId="0" applyFont="1"/>
    <xf numFmtId="0" fontId="14" fillId="0" borderId="22" xfId="0" applyFont="1" applyBorder="1"/>
    <xf numFmtId="4" fontId="14" fillId="0" borderId="2" xfId="27" applyNumberFormat="1" applyFont="1" applyBorder="1" applyAlignment="1">
      <alignment horizontal="center" vertical="center"/>
    </xf>
    <xf numFmtId="4" fontId="14" fillId="0" borderId="14" xfId="27" applyNumberFormat="1" applyFont="1" applyBorder="1" applyAlignment="1">
      <alignment horizontal="center" vertical="center"/>
    </xf>
    <xf numFmtId="0" fontId="14" fillId="3" borderId="2" xfId="27" applyFont="1" applyFill="1" applyBorder="1" applyAlignment="1">
      <alignment horizontal="center" vertical="center" wrapText="1"/>
    </xf>
    <xf numFmtId="0" fontId="14" fillId="3" borderId="2" xfId="27" applyFont="1" applyFill="1" applyBorder="1" applyAlignment="1">
      <alignment horizontal="left" vertical="center" wrapText="1"/>
    </xf>
    <xf numFmtId="0" fontId="26" fillId="0" borderId="14" xfId="27" applyFont="1" applyBorder="1"/>
    <xf numFmtId="0" fontId="14" fillId="3" borderId="14" xfId="27" applyFont="1" applyFill="1" applyBorder="1" applyAlignment="1">
      <alignment horizontal="center" vertical="center" wrapText="1"/>
    </xf>
    <xf numFmtId="0" fontId="14" fillId="0" borderId="0" xfId="27" applyFont="1" applyAlignment="1">
      <alignment horizontal="justify"/>
    </xf>
    <xf numFmtId="4" fontId="4" fillId="0" borderId="22" xfId="0" applyNumberFormat="1" applyFont="1" applyFill="1" applyBorder="1" applyAlignment="1">
      <alignment horizontal="center"/>
    </xf>
    <xf numFmtId="4" fontId="4" fillId="0" borderId="22" xfId="0" applyNumberFormat="1" applyFont="1" applyBorder="1" applyAlignment="1">
      <alignment horizontal="center"/>
    </xf>
    <xf numFmtId="10" fontId="4" fillId="0" borderId="22" xfId="0" applyNumberFormat="1" applyFont="1" applyBorder="1" applyAlignment="1">
      <alignment horizontal="center"/>
    </xf>
    <xf numFmtId="0" fontId="50" fillId="0" borderId="22" xfId="0" applyFont="1" applyFill="1" applyBorder="1" applyAlignment="1">
      <alignment horizontal="center" vertical="center"/>
    </xf>
    <xf numFmtId="4" fontId="50" fillId="0" borderId="22" xfId="0" applyNumberFormat="1" applyFont="1" applyFill="1" applyBorder="1" applyAlignment="1">
      <alignment horizontal="center" vertical="center" wrapText="1"/>
    </xf>
    <xf numFmtId="0" fontId="4" fillId="0" borderId="0" xfId="27" applyFont="1" applyBorder="1"/>
    <xf numFmtId="4" fontId="4" fillId="0" borderId="0" xfId="27" applyNumberFormat="1" applyFont="1" applyBorder="1" applyAlignment="1">
      <alignment horizontal="center" vertical="center"/>
    </xf>
    <xf numFmtId="0" fontId="11" fillId="4" borderId="2" xfId="14" applyFont="1" applyFill="1" applyBorder="1" applyAlignment="1">
      <alignment horizontal="center" vertical="center" wrapText="1"/>
    </xf>
    <xf numFmtId="0" fontId="14" fillId="3" borderId="2" xfId="9" applyFont="1" applyFill="1" applyBorder="1" applyAlignment="1">
      <alignment vertical="center"/>
    </xf>
    <xf numFmtId="0" fontId="14" fillId="4" borderId="2" xfId="27" applyFont="1" applyFill="1" applyBorder="1" applyAlignment="1">
      <alignment horizontal="center"/>
    </xf>
    <xf numFmtId="1" fontId="14" fillId="4" borderId="2" xfId="27" applyNumberFormat="1" applyFont="1" applyFill="1" applyBorder="1" applyAlignment="1">
      <alignment horizontal="center"/>
    </xf>
    <xf numFmtId="0" fontId="54" fillId="0" borderId="0" xfId="90"/>
    <xf numFmtId="0" fontId="8" fillId="0" borderId="0" xfId="90" applyFont="1" applyAlignment="1">
      <alignment horizontal="left" vertical="top" wrapText="1"/>
    </xf>
    <xf numFmtId="0" fontId="37" fillId="0" borderId="27" xfId="90" applyFont="1" applyBorder="1" applyAlignment="1">
      <alignment horizontal="left" vertical="top" wrapText="1"/>
    </xf>
    <xf numFmtId="0" fontId="37" fillId="0" borderId="44" xfId="90" applyFont="1" applyBorder="1" applyAlignment="1">
      <alignment horizontal="left" vertical="top" wrapText="1"/>
    </xf>
    <xf numFmtId="0" fontId="8" fillId="0" borderId="45" xfId="90" applyFont="1" applyBorder="1" applyAlignment="1">
      <alignment horizontal="left" vertical="top" wrapText="1"/>
    </xf>
    <xf numFmtId="0" fontId="37" fillId="0" borderId="45" xfId="90" applyFont="1" applyBorder="1" applyAlignment="1">
      <alignment horizontal="left" vertical="top" wrapText="1"/>
    </xf>
    <xf numFmtId="0" fontId="8" fillId="0" borderId="27" xfId="90" applyFont="1" applyBorder="1" applyAlignment="1">
      <alignment horizontal="center" vertical="center" wrapText="1"/>
    </xf>
    <xf numFmtId="0" fontId="55" fillId="0" borderId="0" xfId="0" applyNumberFormat="1" applyFont="1" applyFill="1" applyBorder="1" applyAlignment="1" applyProtection="1">
      <alignment horizontal="right"/>
    </xf>
    <xf numFmtId="0" fontId="37" fillId="0" borderId="0" xfId="0" applyNumberFormat="1" applyFont="1" applyFill="1" applyBorder="1" applyAlignment="1" applyProtection="1">
      <alignment horizontal="center" vertical="top" wrapText="1"/>
    </xf>
    <xf numFmtId="0" fontId="55" fillId="0" borderId="0" xfId="0" applyNumberFormat="1" applyFont="1" applyFill="1" applyBorder="1" applyAlignment="1" applyProtection="1"/>
    <xf numFmtId="0" fontId="55" fillId="0" borderId="0" xfId="0" applyNumberFormat="1" applyFont="1" applyFill="1" applyBorder="1" applyAlignment="1" applyProtection="1">
      <alignment horizontal="center" vertical="top" wrapText="1"/>
    </xf>
    <xf numFmtId="0" fontId="55" fillId="0" borderId="0" xfId="0" applyNumberFormat="1" applyFont="1" applyFill="1" applyBorder="1" applyAlignment="1" applyProtection="1">
      <alignment horizontal="left" vertical="center" wrapText="1"/>
    </xf>
    <xf numFmtId="0" fontId="56" fillId="0" borderId="0" xfId="0" applyNumberFormat="1" applyFont="1" applyFill="1" applyBorder="1" applyAlignment="1" applyProtection="1">
      <alignment vertical="top"/>
    </xf>
    <xf numFmtId="0" fontId="57" fillId="0" borderId="0" xfId="0" applyNumberFormat="1" applyFont="1" applyFill="1" applyBorder="1" applyAlignment="1" applyProtection="1"/>
    <xf numFmtId="0" fontId="58" fillId="0" borderId="0" xfId="0" applyNumberFormat="1" applyFont="1" applyFill="1" applyBorder="1" applyAlignment="1" applyProtection="1"/>
    <xf numFmtId="0" fontId="57" fillId="0" borderId="0" xfId="0" applyNumberFormat="1" applyFont="1" applyFill="1" applyBorder="1" applyAlignment="1" applyProtection="1">
      <alignment horizontal="left" vertical="center" wrapText="1"/>
    </xf>
    <xf numFmtId="0" fontId="56" fillId="0" borderId="0" xfId="0" applyNumberFormat="1" applyFont="1" applyFill="1" applyBorder="1" applyAlignment="1" applyProtection="1"/>
    <xf numFmtId="0" fontId="57" fillId="0" borderId="0" xfId="0" applyNumberFormat="1" applyFont="1" applyFill="1" applyBorder="1" applyAlignment="1" applyProtection="1">
      <alignment horizontal="left" indent="1"/>
    </xf>
    <xf numFmtId="0" fontId="57" fillId="0" borderId="44" xfId="0" applyNumberFormat="1" applyFont="1" applyFill="1" applyBorder="1" applyAlignment="1" applyProtection="1">
      <alignment horizontal="center" vertical="center" wrapText="1"/>
    </xf>
    <xf numFmtId="0" fontId="56" fillId="0" borderId="27" xfId="0" applyNumberFormat="1" applyFont="1" applyFill="1" applyBorder="1" applyAlignment="1" applyProtection="1">
      <alignment horizontal="center" wrapText="1"/>
    </xf>
    <xf numFmtId="0" fontId="56" fillId="0" borderId="15" xfId="0" applyNumberFormat="1" applyFont="1" applyFill="1" applyBorder="1" applyAlignment="1" applyProtection="1">
      <alignment horizontal="center" wrapText="1"/>
    </xf>
    <xf numFmtId="49" fontId="55" fillId="0" borderId="44" xfId="0" applyNumberFormat="1" applyFont="1" applyFill="1" applyBorder="1" applyAlignment="1" applyProtection="1">
      <alignment horizontal="center" vertical="top" wrapText="1"/>
    </xf>
    <xf numFmtId="0" fontId="55" fillId="0" borderId="44" xfId="0" applyNumberFormat="1" applyFont="1" applyFill="1" applyBorder="1" applyAlignment="1" applyProtection="1">
      <alignment horizontal="left" vertical="top" wrapText="1"/>
    </xf>
    <xf numFmtId="0" fontId="55" fillId="0" borderId="44" xfId="0" applyNumberFormat="1" applyFont="1" applyFill="1" applyBorder="1" applyAlignment="1" applyProtection="1">
      <alignment horizontal="center" vertical="top" wrapText="1"/>
    </xf>
    <xf numFmtId="4" fontId="55" fillId="0" borderId="44" xfId="0" applyNumberFormat="1" applyFont="1" applyFill="1" applyBorder="1" applyAlignment="1" applyProtection="1">
      <alignment horizontal="right" vertical="top" wrapText="1"/>
    </xf>
    <xf numFmtId="0" fontId="55" fillId="0" borderId="45" xfId="0" applyNumberFormat="1" applyFont="1" applyFill="1" applyBorder="1" applyAlignment="1" applyProtection="1"/>
    <xf numFmtId="0" fontId="55" fillId="0" borderId="45" xfId="0" applyNumberFormat="1" applyFont="1" applyFill="1" applyBorder="1" applyAlignment="1" applyProtection="1">
      <alignment wrapText="1"/>
    </xf>
    <xf numFmtId="49" fontId="61" fillId="0" borderId="45" xfId="0" applyNumberFormat="1" applyFont="1" applyFill="1" applyBorder="1" applyAlignment="1" applyProtection="1">
      <alignment wrapText="1"/>
    </xf>
    <xf numFmtId="49" fontId="61" fillId="0" borderId="45" xfId="0" applyNumberFormat="1" applyFont="1" applyFill="1" applyBorder="1" applyAlignment="1" applyProtection="1">
      <alignment horizontal="center" wrapText="1"/>
    </xf>
    <xf numFmtId="49" fontId="61" fillId="0" borderId="45" xfId="0" applyNumberFormat="1" applyFont="1" applyFill="1" applyBorder="1" applyAlignment="1" applyProtection="1">
      <alignment horizontal="right" wrapText="1"/>
    </xf>
    <xf numFmtId="0" fontId="55" fillId="0" borderId="44" xfId="0" applyNumberFormat="1" applyFont="1" applyFill="1" applyBorder="1" applyAlignment="1" applyProtection="1">
      <alignment horizontal="right" vertical="top" wrapText="1"/>
    </xf>
    <xf numFmtId="0" fontId="55" fillId="0" borderId="27" xfId="0" applyNumberFormat="1" applyFont="1" applyFill="1" applyBorder="1" applyAlignment="1" applyProtection="1">
      <alignment vertical="top"/>
    </xf>
    <xf numFmtId="49" fontId="62" fillId="0" borderId="27" xfId="0" applyNumberFormat="1" applyFont="1" applyFill="1" applyBorder="1" applyAlignment="1" applyProtection="1">
      <alignment horizontal="right" vertical="top"/>
    </xf>
    <xf numFmtId="49" fontId="55" fillId="0" borderId="27" xfId="0" applyNumberFormat="1" applyFont="1" applyFill="1" applyBorder="1" applyAlignment="1" applyProtection="1">
      <alignment horizontal="right" vertical="top"/>
    </xf>
    <xf numFmtId="49" fontId="56" fillId="0" borderId="0" xfId="0" applyNumberFormat="1" applyFont="1" applyFill="1" applyBorder="1" applyAlignment="1" applyProtection="1">
      <alignment vertical="top" wrapText="1"/>
    </xf>
    <xf numFmtId="4" fontId="62" fillId="0" borderId="27" xfId="0" applyNumberFormat="1" applyFont="1" applyFill="1" applyBorder="1" applyAlignment="1" applyProtection="1">
      <alignment horizontal="right" vertical="top"/>
    </xf>
    <xf numFmtId="4" fontId="0" fillId="0" borderId="14" xfId="0" applyNumberFormat="1" applyBorder="1" applyAlignment="1">
      <alignment horizontal="center" vertical="center"/>
    </xf>
    <xf numFmtId="10" fontId="0" fillId="0" borderId="14" xfId="0" applyNumberFormat="1" applyBorder="1" applyAlignment="1">
      <alignment horizontal="center" vertical="center"/>
    </xf>
    <xf numFmtId="49" fontId="14" fillId="3" borderId="27" xfId="14" applyNumberFormat="1" applyFont="1" applyFill="1" applyBorder="1" applyAlignment="1">
      <alignment horizontal="center" vertical="center" wrapText="1"/>
    </xf>
    <xf numFmtId="0" fontId="14" fillId="3" borderId="17" xfId="14" applyNumberFormat="1" applyFont="1" applyFill="1" applyBorder="1" applyAlignment="1">
      <alignment horizontal="left" vertical="center" wrapText="1"/>
    </xf>
    <xf numFmtId="0" fontId="14" fillId="3" borderId="27" xfId="14" applyFont="1" applyFill="1" applyBorder="1" applyAlignment="1">
      <alignment horizontal="center" vertical="center" wrapText="1"/>
    </xf>
    <xf numFmtId="4" fontId="15" fillId="3" borderId="27" xfId="14" applyNumberFormat="1" applyFont="1" applyFill="1" applyBorder="1" applyAlignment="1">
      <alignment horizontal="center" vertical="center" wrapText="1"/>
    </xf>
    <xf numFmtId="0" fontId="14" fillId="3" borderId="27" xfId="9" applyFont="1" applyFill="1" applyBorder="1" applyAlignment="1">
      <alignment vertical="center" wrapText="1"/>
    </xf>
    <xf numFmtId="0" fontId="14" fillId="3" borderId="27" xfId="14" applyFont="1" applyFill="1" applyBorder="1" applyAlignment="1">
      <alignment vertical="center"/>
    </xf>
    <xf numFmtId="0" fontId="3" fillId="0" borderId="27" xfId="0" applyFont="1" applyBorder="1" applyAlignment="1">
      <alignment horizontal="center" vertical="center" wrapText="1"/>
    </xf>
    <xf numFmtId="0" fontId="3" fillId="4" borderId="27" xfId="0" applyFont="1" applyFill="1" applyBorder="1" applyAlignment="1">
      <alignment horizontal="center" vertical="center" wrapText="1"/>
    </xf>
    <xf numFmtId="4" fontId="3" fillId="0" borderId="27" xfId="0" applyNumberFormat="1" applyFont="1" applyBorder="1" applyAlignment="1">
      <alignment horizontal="center" vertical="center" wrapText="1"/>
    </xf>
    <xf numFmtId="0" fontId="2" fillId="4" borderId="27" xfId="0" applyFont="1" applyFill="1" applyBorder="1" applyAlignment="1">
      <alignment horizontal="center" vertical="center" wrapText="1"/>
    </xf>
    <xf numFmtId="4" fontId="2" fillId="4" borderId="27" xfId="0" applyNumberFormat="1" applyFont="1" applyFill="1" applyBorder="1" applyAlignment="1">
      <alignment horizontal="center" vertical="center" wrapText="1"/>
    </xf>
    <xf numFmtId="0" fontId="14" fillId="3" borderId="27" xfId="14" applyFont="1" applyFill="1" applyBorder="1"/>
    <xf numFmtId="0" fontId="35" fillId="3" borderId="0" xfId="14" applyFont="1" applyFill="1" applyAlignment="1">
      <alignment vertical="center"/>
    </xf>
    <xf numFmtId="49" fontId="14" fillId="0" borderId="2" xfId="14" applyNumberFormat="1" applyFont="1" applyFill="1" applyBorder="1" applyAlignment="1">
      <alignment horizontal="center" vertical="center" wrapText="1"/>
    </xf>
    <xf numFmtId="4" fontId="14" fillId="0" borderId="27" xfId="27" applyNumberFormat="1" applyFont="1" applyBorder="1" applyAlignment="1">
      <alignment horizontal="center" vertical="center"/>
    </xf>
    <xf numFmtId="0" fontId="14" fillId="0" borderId="22" xfId="27" applyFont="1" applyBorder="1" applyAlignment="1">
      <alignment vertical="center" wrapText="1"/>
    </xf>
    <xf numFmtId="4" fontId="14" fillId="0" borderId="22" xfId="27" applyNumberFormat="1" applyFont="1" applyBorder="1" applyAlignment="1">
      <alignment horizontal="center" vertical="center"/>
    </xf>
    <xf numFmtId="0" fontId="14" fillId="4" borderId="27" xfId="27" applyFont="1" applyFill="1" applyBorder="1" applyAlignment="1">
      <alignment vertical="center" wrapText="1"/>
    </xf>
    <xf numFmtId="4" fontId="14" fillId="4" borderId="27" xfId="27" applyNumberFormat="1" applyFont="1" applyFill="1" applyBorder="1" applyAlignment="1">
      <alignment horizontal="center" vertical="center"/>
    </xf>
    <xf numFmtId="173" fontId="14" fillId="4" borderId="27" xfId="27" applyNumberFormat="1" applyFont="1" applyFill="1" applyBorder="1" applyAlignment="1">
      <alignment horizontal="center" vertical="center"/>
    </xf>
    <xf numFmtId="0" fontId="14" fillId="4" borderId="2" xfId="27" applyFont="1" applyFill="1" applyBorder="1" applyAlignment="1">
      <alignment vertical="center"/>
    </xf>
    <xf numFmtId="0" fontId="14" fillId="4" borderId="2" xfId="27" applyFont="1" applyFill="1" applyBorder="1" applyAlignment="1">
      <alignment vertical="center" wrapText="1"/>
    </xf>
    <xf numFmtId="0" fontId="19" fillId="0" borderId="27" xfId="27" applyFont="1" applyBorder="1"/>
    <xf numFmtId="0" fontId="14" fillId="5" borderId="2" xfId="27" applyFont="1" applyFill="1" applyBorder="1" applyAlignment="1">
      <alignment horizontal="center" vertical="center" wrapText="1"/>
    </xf>
    <xf numFmtId="0" fontId="14" fillId="3" borderId="27" xfId="27" applyFont="1" applyFill="1" applyBorder="1" applyAlignment="1">
      <alignment horizontal="center" vertical="center" wrapText="1"/>
    </xf>
    <xf numFmtId="0" fontId="14" fillId="3" borderId="22" xfId="27" applyFont="1" applyFill="1" applyBorder="1" applyAlignment="1">
      <alignment horizontal="center" vertical="center" wrapText="1"/>
    </xf>
    <xf numFmtId="0" fontId="14" fillId="0" borderId="0" xfId="44" applyFont="1" applyBorder="1" applyAlignment="1">
      <alignment horizontal="right" vertical="center"/>
    </xf>
    <xf numFmtId="0" fontId="11" fillId="5" borderId="2" xfId="27" applyFont="1" applyFill="1" applyBorder="1" applyAlignment="1">
      <alignment vertical="center" wrapText="1"/>
    </xf>
    <xf numFmtId="4" fontId="11" fillId="5" borderId="2" xfId="27" applyNumberFormat="1" applyFont="1" applyFill="1" applyBorder="1" applyAlignment="1">
      <alignment horizontal="center" vertical="center" wrapText="1"/>
    </xf>
    <xf numFmtId="4" fontId="53" fillId="0" borderId="14" xfId="27" applyNumberFormat="1" applyFont="1" applyBorder="1" applyAlignment="1">
      <alignment horizontal="center" vertical="center"/>
    </xf>
    <xf numFmtId="10" fontId="26" fillId="0" borderId="14" xfId="27" applyNumberFormat="1" applyFont="1" applyBorder="1" applyAlignment="1">
      <alignment horizontal="center" vertical="center"/>
    </xf>
    <xf numFmtId="0" fontId="14" fillId="3" borderId="0" xfId="14" applyNumberFormat="1" applyFont="1" applyFill="1" applyBorder="1" applyAlignment="1">
      <alignment horizontal="left" vertical="center" wrapText="1"/>
    </xf>
    <xf numFmtId="0" fontId="14" fillId="0" borderId="0" xfId="27" applyFont="1" applyAlignment="1">
      <alignment horizontal="left" vertical="top" wrapText="1"/>
    </xf>
    <xf numFmtId="0" fontId="14" fillId="0" borderId="19" xfId="27" applyFont="1" applyBorder="1" applyAlignment="1">
      <alignment horizontal="center" vertical="center" wrapText="1"/>
    </xf>
    <xf numFmtId="0" fontId="41" fillId="0" borderId="32" xfId="80" applyFont="1" applyFill="1" applyBorder="1" applyAlignment="1">
      <alignment horizontal="center" vertical="center" wrapText="1"/>
    </xf>
    <xf numFmtId="0" fontId="41" fillId="0" borderId="24" xfId="81" applyFont="1" applyFill="1" applyBorder="1" applyAlignment="1">
      <alignment horizontal="center" vertical="center" wrapText="1"/>
    </xf>
    <xf numFmtId="0" fontId="41" fillId="0" borderId="24" xfId="80" applyFont="1" applyFill="1" applyBorder="1" applyAlignment="1">
      <alignment horizontal="center" vertical="center" wrapText="1"/>
    </xf>
    <xf numFmtId="0" fontId="41" fillId="0" borderId="33" xfId="80" applyFont="1" applyFill="1" applyBorder="1" applyAlignment="1">
      <alignment horizontal="center" vertical="center" wrapText="1"/>
    </xf>
    <xf numFmtId="0" fontId="8" fillId="0" borderId="0" xfId="74" applyFont="1" applyAlignment="1">
      <alignment horizontal="left" vertical="top" wrapText="1"/>
    </xf>
    <xf numFmtId="0" fontId="37" fillId="0" borderId="27" xfId="74" applyFont="1" applyBorder="1" applyAlignment="1">
      <alignment horizontal="left" vertical="top" wrapText="1"/>
    </xf>
    <xf numFmtId="0" fontId="8" fillId="0" borderId="27" xfId="74" applyFont="1" applyBorder="1" applyAlignment="1">
      <alignment horizontal="center" vertical="center" wrapText="1"/>
    </xf>
    <xf numFmtId="0" fontId="8" fillId="0" borderId="27" xfId="74" applyFont="1" applyBorder="1" applyAlignment="1">
      <alignment horizontal="left" vertical="top" wrapText="1"/>
    </xf>
    <xf numFmtId="0" fontId="8" fillId="0" borderId="45" xfId="74" applyFont="1" applyBorder="1" applyAlignment="1">
      <alignment horizontal="left" vertical="top" wrapText="1"/>
    </xf>
    <xf numFmtId="0" fontId="37" fillId="0" borderId="45" xfId="74" applyFont="1" applyBorder="1" applyAlignment="1">
      <alignment horizontal="left" vertical="top" wrapText="1"/>
    </xf>
    <xf numFmtId="0" fontId="8" fillId="0" borderId="33" xfId="74" applyFont="1" applyBorder="1" applyAlignment="1">
      <alignment horizontal="center" vertical="top" wrapText="1"/>
    </xf>
    <xf numFmtId="0" fontId="37" fillId="0" borderId="33" xfId="74" applyFont="1" applyBorder="1" applyAlignment="1">
      <alignment horizontal="left" vertical="top" wrapText="1"/>
    </xf>
    <xf numFmtId="0" fontId="41" fillId="0" borderId="46" xfId="77" applyFont="1" applyFill="1" applyBorder="1" applyAlignment="1">
      <alignment horizontal="center" vertical="center" wrapText="1"/>
    </xf>
    <xf numFmtId="0" fontId="41" fillId="8" borderId="46" xfId="77" applyFont="1" applyFill="1" applyBorder="1" applyAlignment="1">
      <alignment horizontal="center" vertical="center" wrapText="1"/>
    </xf>
    <xf numFmtId="49" fontId="41" fillId="0" borderId="46" xfId="77" applyNumberFormat="1" applyFont="1" applyFill="1" applyBorder="1" applyAlignment="1">
      <alignment horizontal="center" vertical="center" wrapText="1"/>
    </xf>
    <xf numFmtId="0" fontId="41" fillId="0" borderId="45" xfId="45" applyFont="1" applyBorder="1" applyAlignment="1">
      <alignment horizontal="center" vertical="center" wrapText="1"/>
    </xf>
    <xf numFmtId="0" fontId="41" fillId="8" borderId="46" xfId="84" applyFont="1" applyFill="1" applyBorder="1" applyAlignment="1">
      <alignment horizontal="center" vertical="center" wrapText="1"/>
    </xf>
    <xf numFmtId="0" fontId="41" fillId="0" borderId="46" xfId="84" applyFont="1" applyFill="1" applyBorder="1" applyAlignment="1">
      <alignment horizontal="center" vertical="center" wrapText="1"/>
    </xf>
    <xf numFmtId="2" fontId="41" fillId="0" borderId="46" xfId="84" applyNumberFormat="1" applyFont="1" applyFill="1" applyBorder="1" applyAlignment="1">
      <alignment horizontal="center" vertical="center" wrapText="1"/>
    </xf>
    <xf numFmtId="0" fontId="41" fillId="0" borderId="46" xfId="81" applyFont="1" applyFill="1" applyBorder="1" applyAlignment="1">
      <alignment horizontal="center" vertical="center"/>
    </xf>
    <xf numFmtId="0" fontId="41" fillId="8" borderId="50" xfId="77" applyFont="1" applyFill="1" applyBorder="1" applyAlignment="1">
      <alignment horizontal="center" vertical="center" wrapText="1"/>
    </xf>
    <xf numFmtId="0" fontId="41" fillId="0" borderId="50" xfId="84" applyFont="1" applyFill="1" applyBorder="1" applyAlignment="1">
      <alignment horizontal="center" vertical="center" wrapText="1"/>
    </xf>
    <xf numFmtId="2" fontId="41" fillId="0" borderId="50" xfId="84" applyNumberFormat="1" applyFont="1" applyFill="1" applyBorder="1" applyAlignment="1">
      <alignment horizontal="center" vertical="center" wrapText="1"/>
    </xf>
    <xf numFmtId="0" fontId="41" fillId="0" borderId="51" xfId="84" applyFont="1" applyFill="1" applyBorder="1" applyAlignment="1">
      <alignment horizontal="center" vertical="center" wrapText="1"/>
    </xf>
    <xf numFmtId="0" fontId="41" fillId="0" borderId="47" xfId="81" applyFont="1" applyFill="1" applyBorder="1" applyAlignment="1">
      <alignment horizontal="center" vertical="center"/>
    </xf>
    <xf numFmtId="2" fontId="41" fillId="0" borderId="27" xfId="84" applyNumberFormat="1" applyFont="1" applyFill="1" applyBorder="1" applyAlignment="1">
      <alignment horizontal="center" vertical="center" wrapText="1"/>
    </xf>
    <xf numFmtId="0" fontId="41" fillId="0" borderId="48" xfId="84" applyFont="1" applyFill="1" applyBorder="1" applyAlignment="1">
      <alignment horizontal="center" vertical="center" wrapText="1"/>
    </xf>
    <xf numFmtId="0" fontId="41" fillId="0" borderId="47" xfId="77" applyFont="1" applyFill="1" applyBorder="1" applyAlignment="1">
      <alignment horizontal="center" vertical="center" wrapText="1"/>
    </xf>
    <xf numFmtId="0" fontId="41" fillId="0" borderId="45" xfId="81" applyFont="1" applyFill="1" applyBorder="1" applyAlignment="1">
      <alignment horizontal="center" vertical="center" wrapText="1"/>
    </xf>
    <xf numFmtId="0" fontId="41" fillId="8" borderId="19" xfId="81" applyFont="1" applyFill="1" applyBorder="1" applyAlignment="1">
      <alignment horizontal="left" vertical="center" wrapText="1"/>
    </xf>
    <xf numFmtId="0" fontId="41" fillId="0" borderId="19" xfId="81" applyFont="1" applyFill="1" applyBorder="1" applyAlignment="1">
      <alignment horizontal="center" vertical="center" wrapText="1"/>
    </xf>
    <xf numFmtId="0" fontId="41" fillId="0" borderId="51" xfId="77" applyFont="1" applyFill="1" applyBorder="1" applyAlignment="1">
      <alignment horizontal="center" vertical="center" wrapText="1"/>
    </xf>
    <xf numFmtId="0" fontId="41" fillId="0" borderId="27" xfId="87" applyFont="1" applyFill="1" applyBorder="1" applyAlignment="1">
      <alignment horizontal="center" vertical="center"/>
    </xf>
    <xf numFmtId="0" fontId="41" fillId="0" borderId="27" xfId="77" applyFont="1" applyFill="1" applyBorder="1" applyAlignment="1">
      <alignment horizontal="center" vertical="center" wrapText="1"/>
    </xf>
    <xf numFmtId="0" fontId="41" fillId="0" borderId="28" xfId="81" applyFont="1" applyFill="1" applyBorder="1" applyAlignment="1">
      <alignment horizontal="center" vertical="center" wrapText="1"/>
    </xf>
    <xf numFmtId="0" fontId="41" fillId="8" borderId="33" xfId="81" applyFont="1" applyFill="1" applyBorder="1" applyAlignment="1">
      <alignment horizontal="left" vertical="top" wrapText="1"/>
    </xf>
    <xf numFmtId="0" fontId="0" fillId="0" borderId="27" xfId="0" applyBorder="1"/>
    <xf numFmtId="0" fontId="41" fillId="0" borderId="46" xfId="78" applyFont="1" applyFill="1" applyBorder="1" applyAlignment="1">
      <alignment horizontal="center"/>
    </xf>
    <xf numFmtId="0" fontId="41" fillId="0" borderId="47" xfId="78" applyFont="1" applyFill="1" applyBorder="1" applyAlignment="1">
      <alignment horizontal="center"/>
    </xf>
    <xf numFmtId="2" fontId="41" fillId="0" borderId="29" xfId="78" applyNumberFormat="1" applyFont="1" applyFill="1" applyBorder="1" applyAlignment="1">
      <alignment horizontal="center"/>
    </xf>
    <xf numFmtId="0" fontId="41" fillId="8" borderId="46" xfId="81" applyFont="1" applyFill="1" applyBorder="1" applyAlignment="1">
      <alignment wrapText="1"/>
    </xf>
    <xf numFmtId="0" fontId="41" fillId="0" borderId="46" xfId="81" applyFont="1" applyFill="1" applyBorder="1" applyAlignment="1">
      <alignment horizontal="center" wrapText="1"/>
    </xf>
    <xf numFmtId="2" fontId="41" fillId="0" borderId="46" xfId="81" applyNumberFormat="1" applyFont="1" applyFill="1" applyBorder="1" applyAlignment="1">
      <alignment horizontal="center"/>
    </xf>
    <xf numFmtId="0" fontId="41" fillId="0" borderId="46" xfId="81" applyFont="1" applyFill="1" applyBorder="1" applyAlignment="1">
      <alignment horizontal="center"/>
    </xf>
    <xf numFmtId="2" fontId="41" fillId="0" borderId="46" xfId="78" applyNumberFormat="1" applyFont="1" applyFill="1" applyBorder="1" applyAlignment="1">
      <alignment horizontal="center"/>
    </xf>
    <xf numFmtId="0" fontId="41" fillId="8" borderId="46" xfId="80" applyFont="1" applyFill="1" applyBorder="1" applyAlignment="1">
      <alignment wrapText="1"/>
    </xf>
    <xf numFmtId="0" fontId="41" fillId="0" borderId="46" xfId="80" applyFont="1" applyFill="1" applyBorder="1" applyAlignment="1">
      <alignment horizontal="center" wrapText="1"/>
    </xf>
    <xf numFmtId="2" fontId="41" fillId="0" borderId="46" xfId="80" applyNumberFormat="1" applyFont="1" applyFill="1" applyBorder="1" applyAlignment="1">
      <alignment horizontal="center" wrapText="1"/>
    </xf>
    <xf numFmtId="0" fontId="41" fillId="0" borderId="47" xfId="80" applyFont="1" applyFill="1" applyBorder="1" applyAlignment="1">
      <alignment horizontal="center" wrapText="1"/>
    </xf>
    <xf numFmtId="0" fontId="41" fillId="0" borderId="46" xfId="80" applyFont="1" applyFill="1" applyBorder="1" applyAlignment="1">
      <alignment horizontal="center" vertical="center" wrapText="1"/>
    </xf>
    <xf numFmtId="2" fontId="41" fillId="0" borderId="46" xfId="80" applyNumberFormat="1" applyFont="1" applyFill="1" applyBorder="1" applyAlignment="1">
      <alignment horizontal="center" vertical="center" wrapText="1"/>
    </xf>
    <xf numFmtId="0" fontId="41" fillId="8" borderId="46" xfId="86" applyFont="1" applyFill="1" applyBorder="1" applyAlignment="1">
      <alignment horizontal="left" wrapText="1"/>
    </xf>
    <xf numFmtId="0" fontId="41" fillId="0" borderId="46" xfId="86" applyFont="1" applyFill="1" applyBorder="1" applyAlignment="1">
      <alignment horizontal="center" wrapText="1"/>
    </xf>
    <xf numFmtId="2" fontId="41" fillId="0" borderId="46" xfId="86" applyNumberFormat="1" applyFont="1" applyFill="1" applyBorder="1" applyAlignment="1">
      <alignment horizontal="center"/>
    </xf>
    <xf numFmtId="0" fontId="41" fillId="0" borderId="48" xfId="77" applyFont="1" applyFill="1" applyBorder="1" applyAlignment="1">
      <alignment horizontal="center" wrapText="1"/>
    </xf>
    <xf numFmtId="0" fontId="41" fillId="0" borderId="46" xfId="78" applyFont="1" applyFill="1" applyBorder="1" applyAlignment="1">
      <alignment horizontal="center" vertical="center"/>
    </xf>
    <xf numFmtId="0" fontId="41" fillId="8" borderId="53" xfId="77" applyFont="1" applyFill="1" applyBorder="1" applyAlignment="1">
      <alignment horizontal="left" vertical="center" wrapText="1"/>
    </xf>
    <xf numFmtId="0" fontId="41" fillId="0" borderId="51" xfId="77" applyFont="1" applyFill="1" applyBorder="1" applyAlignment="1">
      <alignment horizontal="center" wrapText="1"/>
    </xf>
    <xf numFmtId="0" fontId="41" fillId="8" borderId="50" xfId="80" applyFont="1" applyFill="1" applyBorder="1" applyAlignment="1">
      <alignment wrapText="1"/>
    </xf>
    <xf numFmtId="0" fontId="41" fillId="0" borderId="46" xfId="78" applyFont="1" applyFill="1" applyBorder="1" applyAlignment="1">
      <alignment horizontal="center" wrapText="1"/>
    </xf>
    <xf numFmtId="0" fontId="41" fillId="8" borderId="54" xfId="86" applyFont="1" applyFill="1" applyBorder="1" applyAlignment="1">
      <alignment horizontal="left" wrapText="1"/>
    </xf>
    <xf numFmtId="0" fontId="41" fillId="0" borderId="50" xfId="78" applyFont="1" applyFill="1" applyBorder="1" applyAlignment="1">
      <alignment horizontal="center"/>
    </xf>
    <xf numFmtId="0" fontId="41" fillId="0" borderId="50" xfId="80" applyFont="1" applyFill="1" applyBorder="1" applyAlignment="1">
      <alignment horizontal="center" vertical="center" wrapText="1"/>
    </xf>
    <xf numFmtId="0" fontId="41" fillId="0" borderId="53" xfId="77" applyFont="1" applyFill="1" applyBorder="1" applyAlignment="1">
      <alignment horizontal="center" wrapText="1"/>
    </xf>
    <xf numFmtId="0" fontId="41" fillId="0" borderId="33" xfId="45" applyFont="1" applyBorder="1" applyAlignment="1">
      <alignment horizontal="center" vertical="center" wrapText="1"/>
    </xf>
    <xf numFmtId="2" fontId="14" fillId="0" borderId="46" xfId="84" applyNumberFormat="1" applyFont="1" applyFill="1" applyBorder="1" applyAlignment="1">
      <alignment horizontal="center" vertical="center" wrapText="1"/>
    </xf>
    <xf numFmtId="0" fontId="14" fillId="0" borderId="46" xfId="84" applyFont="1" applyFill="1" applyBorder="1" applyAlignment="1">
      <alignment horizontal="center" vertical="center" wrapText="1"/>
    </xf>
    <xf numFmtId="0" fontId="41" fillId="0" borderId="47" xfId="84" applyFont="1" applyFill="1" applyBorder="1" applyAlignment="1">
      <alignment horizontal="center" vertical="center" wrapText="1"/>
    </xf>
    <xf numFmtId="0" fontId="14" fillId="0" borderId="48" xfId="84" applyFont="1" applyFill="1" applyBorder="1" applyAlignment="1">
      <alignment horizontal="center" vertical="center" wrapText="1"/>
    </xf>
    <xf numFmtId="9" fontId="41" fillId="0" borderId="46" xfId="84" applyNumberFormat="1" applyFont="1" applyFill="1" applyBorder="1" applyAlignment="1">
      <alignment horizontal="center" vertical="center" wrapText="1"/>
    </xf>
    <xf numFmtId="0" fontId="41" fillId="0" borderId="46" xfId="84" applyFont="1" applyFill="1" applyBorder="1" applyAlignment="1">
      <alignment horizontal="center" wrapText="1"/>
    </xf>
    <xf numFmtId="0" fontId="41" fillId="8" borderId="46" xfId="84" applyFont="1" applyFill="1" applyBorder="1" applyAlignment="1">
      <alignment horizontal="center" wrapText="1"/>
    </xf>
    <xf numFmtId="1" fontId="41" fillId="0" borderId="46" xfId="84" applyNumberFormat="1" applyFont="1" applyFill="1" applyBorder="1" applyAlignment="1">
      <alignment horizontal="center" wrapText="1"/>
    </xf>
    <xf numFmtId="0" fontId="41" fillId="8" borderId="46" xfId="80" applyFont="1" applyFill="1" applyBorder="1" applyAlignment="1">
      <alignment horizontal="center" vertical="center" wrapText="1"/>
    </xf>
    <xf numFmtId="0" fontId="41" fillId="0" borderId="48" xfId="80" applyFont="1" applyFill="1" applyBorder="1" applyAlignment="1">
      <alignment horizontal="center" wrapText="1"/>
    </xf>
    <xf numFmtId="10" fontId="41" fillId="0" borderId="49" xfId="80" applyNumberFormat="1" applyFont="1" applyFill="1" applyBorder="1" applyAlignment="1">
      <alignment horizontal="center" wrapText="1"/>
    </xf>
    <xf numFmtId="2" fontId="41" fillId="0" borderId="50" xfId="81" applyNumberFormat="1" applyFont="1" applyFill="1" applyBorder="1" applyAlignment="1">
      <alignment horizontal="center"/>
    </xf>
    <xf numFmtId="10" fontId="41" fillId="0" borderId="48" xfId="80" applyNumberFormat="1" applyFont="1" applyFill="1" applyBorder="1" applyAlignment="1">
      <alignment horizontal="center" wrapText="1"/>
    </xf>
    <xf numFmtId="0" fontId="41" fillId="0" borderId="49" xfId="81" applyFont="1" applyFill="1" applyBorder="1" applyAlignment="1">
      <alignment horizontal="center"/>
    </xf>
    <xf numFmtId="0" fontId="41" fillId="0" borderId="53" xfId="80" applyFont="1" applyFill="1" applyBorder="1" applyAlignment="1">
      <alignment horizontal="center" wrapText="1"/>
    </xf>
    <xf numFmtId="10" fontId="41" fillId="0" borderId="53" xfId="80" applyNumberFormat="1" applyFont="1" applyFill="1" applyBorder="1" applyAlignment="1">
      <alignment horizontal="center" wrapText="1"/>
    </xf>
    <xf numFmtId="0" fontId="41" fillId="0" borderId="54" xfId="81" applyFont="1" applyFill="1" applyBorder="1" applyAlignment="1">
      <alignment horizontal="center"/>
    </xf>
    <xf numFmtId="0" fontId="0" fillId="0" borderId="0" xfId="0" applyAlignment="1">
      <alignment horizontal="center" vertical="center"/>
    </xf>
    <xf numFmtId="0" fontId="41" fillId="0" borderId="46" xfId="77" applyFont="1" applyFill="1" applyBorder="1" applyAlignment="1">
      <alignment horizontal="center" wrapText="1"/>
    </xf>
    <xf numFmtId="0" fontId="41" fillId="0" borderId="7" xfId="80" applyFont="1" applyFill="1" applyBorder="1" applyAlignment="1">
      <alignment horizontal="center" vertical="center" wrapText="1"/>
    </xf>
    <xf numFmtId="175" fontId="41" fillId="0" borderId="7" xfId="80" applyNumberFormat="1" applyFont="1" applyFill="1" applyBorder="1" applyAlignment="1">
      <alignment horizontal="center" vertical="center" wrapText="1"/>
    </xf>
    <xf numFmtId="0" fontId="41" fillId="0" borderId="25" xfId="77" applyFont="1" applyFill="1" applyBorder="1" applyAlignment="1">
      <alignment horizontal="center" wrapText="1"/>
    </xf>
    <xf numFmtId="0" fontId="41" fillId="8" borderId="58" xfId="80" applyFont="1" applyFill="1" applyBorder="1" applyAlignment="1">
      <alignment wrapText="1"/>
    </xf>
    <xf numFmtId="0" fontId="41" fillId="0" borderId="24" xfId="45" applyFont="1" applyBorder="1" applyAlignment="1">
      <alignment horizontal="center" vertical="center" wrapText="1"/>
    </xf>
    <xf numFmtId="0" fontId="41" fillId="0" borderId="50" xfId="77" applyFont="1" applyFill="1" applyBorder="1" applyAlignment="1">
      <alignment horizontal="center" wrapText="1"/>
    </xf>
    <xf numFmtId="0" fontId="41" fillId="0" borderId="34" xfId="77" applyFont="1" applyFill="1" applyBorder="1" applyAlignment="1">
      <alignment horizontal="center" vertical="center" wrapText="1"/>
    </xf>
    <xf numFmtId="0" fontId="41" fillId="0" borderId="47" xfId="77" applyFont="1" applyFill="1" applyBorder="1" applyAlignment="1">
      <alignment horizontal="center" wrapText="1"/>
    </xf>
    <xf numFmtId="0" fontId="41" fillId="0" borderId="7" xfId="81" applyFont="1" applyFill="1" applyBorder="1" applyAlignment="1">
      <alignment horizontal="center" vertical="center"/>
    </xf>
    <xf numFmtId="0" fontId="41" fillId="0" borderId="27" xfId="81" applyFont="1" applyFill="1" applyBorder="1" applyAlignment="1">
      <alignment horizontal="center" vertical="center"/>
    </xf>
    <xf numFmtId="0" fontId="41" fillId="0" borderId="53" xfId="77" applyFont="1" applyFill="1" applyBorder="1" applyAlignment="1">
      <alignment horizontal="center" vertical="center" wrapText="1"/>
    </xf>
    <xf numFmtId="0" fontId="41" fillId="0" borderId="40" xfId="78" applyFont="1" applyFill="1" applyBorder="1" applyAlignment="1">
      <alignment horizontal="center"/>
    </xf>
    <xf numFmtId="0" fontId="14" fillId="0" borderId="20" xfId="77" applyFont="1" applyFill="1" applyBorder="1" applyAlignment="1">
      <alignment horizontal="center" vertical="center" wrapText="1"/>
    </xf>
    <xf numFmtId="0" fontId="41" fillId="0" borderId="20" xfId="45" applyFont="1" applyBorder="1" applyAlignment="1">
      <alignment horizontal="center" vertical="center" wrapText="1"/>
    </xf>
    <xf numFmtId="0" fontId="41" fillId="0" borderId="20" xfId="77" applyFont="1" applyFill="1" applyBorder="1" applyAlignment="1">
      <alignment horizontal="center" wrapText="1"/>
    </xf>
    <xf numFmtId="0" fontId="41" fillId="0" borderId="39" xfId="77" applyFont="1" applyFill="1" applyBorder="1" applyAlignment="1">
      <alignment horizontal="center" wrapText="1"/>
    </xf>
    <xf numFmtId="0" fontId="41" fillId="8" borderId="20" xfId="77" applyFont="1" applyFill="1" applyBorder="1" applyAlignment="1">
      <alignment horizontal="center" vertical="center" wrapText="1"/>
    </xf>
    <xf numFmtId="0" fontId="41" fillId="0" borderId="26" xfId="84" applyFont="1" applyFill="1" applyBorder="1" applyAlignment="1">
      <alignment horizontal="center" vertical="center" wrapText="1"/>
    </xf>
    <xf numFmtId="0" fontId="41" fillId="0" borderId="29" xfId="84" applyFont="1" applyFill="1" applyBorder="1" applyAlignment="1">
      <alignment horizontal="center" vertical="center" wrapText="1"/>
    </xf>
    <xf numFmtId="2" fontId="14" fillId="0" borderId="29" xfId="84" applyNumberFormat="1" applyFont="1" applyFill="1" applyBorder="1" applyAlignment="1">
      <alignment horizontal="center" vertical="center" wrapText="1"/>
    </xf>
    <xf numFmtId="0" fontId="14" fillId="0" borderId="29" xfId="84" applyFont="1" applyFill="1" applyBorder="1" applyAlignment="1">
      <alignment horizontal="center" vertical="center" wrapText="1"/>
    </xf>
    <xf numFmtId="0" fontId="41" fillId="0" borderId="40" xfId="84" applyFont="1" applyFill="1" applyBorder="1" applyAlignment="1">
      <alignment horizontal="center" vertical="center" wrapText="1"/>
    </xf>
    <xf numFmtId="3" fontId="41" fillId="0" borderId="29" xfId="81" applyNumberFormat="1" applyFont="1" applyFill="1" applyBorder="1" applyAlignment="1" applyProtection="1">
      <alignment horizontal="center" vertical="center"/>
      <protection locked="0"/>
    </xf>
    <xf numFmtId="0" fontId="41" fillId="8" borderId="29" xfId="84" applyFont="1" applyFill="1" applyBorder="1" applyAlignment="1">
      <alignment horizontal="center" vertical="center" wrapText="1"/>
    </xf>
    <xf numFmtId="2" fontId="41" fillId="0" borderId="29" xfId="84" applyNumberFormat="1" applyFont="1" applyFill="1" applyBorder="1" applyAlignment="1">
      <alignment horizontal="center" vertical="center" wrapText="1"/>
    </xf>
    <xf numFmtId="2" fontId="41" fillId="0" borderId="46" xfId="81" applyNumberFormat="1" applyFont="1" applyFill="1" applyBorder="1" applyAlignment="1">
      <alignment horizontal="center" vertical="center"/>
    </xf>
    <xf numFmtId="4" fontId="41" fillId="0" borderId="46" xfId="77" applyNumberFormat="1" applyFont="1" applyFill="1" applyBorder="1" applyAlignment="1">
      <alignment horizontal="right" vertical="center" wrapText="1"/>
    </xf>
    <xf numFmtId="4" fontId="41" fillId="0" borderId="49" xfId="77" applyNumberFormat="1" applyFont="1" applyFill="1" applyBorder="1" applyAlignment="1">
      <alignment horizontal="right" wrapText="1"/>
    </xf>
    <xf numFmtId="4" fontId="41" fillId="0" borderId="46" xfId="84" applyNumberFormat="1" applyFont="1" applyFill="1" applyBorder="1" applyAlignment="1">
      <alignment horizontal="right" vertical="center" wrapText="1"/>
    </xf>
    <xf numFmtId="4" fontId="41" fillId="0" borderId="49" xfId="84" applyNumberFormat="1" applyFont="1" applyFill="1" applyBorder="1" applyAlignment="1">
      <alignment horizontal="right" vertical="center" wrapText="1"/>
    </xf>
    <xf numFmtId="4" fontId="41" fillId="0" borderId="35" xfId="81" applyNumberFormat="1" applyFont="1" applyFill="1" applyBorder="1" applyAlignment="1">
      <alignment horizontal="right" vertical="center" wrapText="1"/>
    </xf>
    <xf numFmtId="4" fontId="41" fillId="0" borderId="23" xfId="81" applyNumberFormat="1" applyFont="1" applyFill="1" applyBorder="1" applyAlignment="1">
      <alignment horizontal="right" vertical="center" wrapText="1"/>
    </xf>
    <xf numFmtId="4" fontId="41" fillId="0" borderId="34" xfId="81" applyNumberFormat="1" applyFont="1" applyFill="1" applyBorder="1" applyAlignment="1">
      <alignment horizontal="right" vertical="center" wrapText="1"/>
    </xf>
    <xf numFmtId="4" fontId="41" fillId="0" borderId="33" xfId="81" applyNumberFormat="1" applyFont="1" applyFill="1" applyBorder="1" applyAlignment="1">
      <alignment horizontal="right" vertical="center" wrapText="1"/>
    </xf>
    <xf numFmtId="4" fontId="41" fillId="0" borderId="52" xfId="81" applyNumberFormat="1" applyFont="1" applyFill="1" applyBorder="1" applyAlignment="1">
      <alignment horizontal="right" vertical="center" wrapText="1"/>
    </xf>
    <xf numFmtId="4" fontId="0" fillId="0" borderId="27" xfId="0" applyNumberFormat="1" applyBorder="1" applyAlignment="1">
      <alignment horizontal="right"/>
    </xf>
    <xf numFmtId="4" fontId="41" fillId="0" borderId="27" xfId="81" applyNumberFormat="1" applyFont="1" applyFill="1" applyBorder="1" applyAlignment="1">
      <alignment horizontal="right" vertical="center" wrapText="1"/>
    </xf>
    <xf numFmtId="4" fontId="14" fillId="0" borderId="27" xfId="77" applyNumberFormat="1" applyFont="1" applyFill="1" applyBorder="1" applyAlignment="1">
      <alignment horizontal="right" vertical="center" wrapText="1"/>
    </xf>
    <xf numFmtId="4" fontId="41" fillId="0" borderId="46" xfId="81" applyNumberFormat="1" applyFont="1" applyFill="1" applyBorder="1" applyAlignment="1">
      <alignment horizontal="right"/>
    </xf>
    <xf numFmtId="4" fontId="41" fillId="0" borderId="46" xfId="78" applyNumberFormat="1" applyFont="1" applyFill="1" applyBorder="1" applyAlignment="1">
      <alignment horizontal="right"/>
    </xf>
    <xf numFmtId="4" fontId="41" fillId="0" borderId="46" xfId="80" applyNumberFormat="1" applyFont="1" applyFill="1" applyBorder="1" applyAlignment="1">
      <alignment horizontal="right" wrapText="1"/>
    </xf>
    <xf numFmtId="4" fontId="41" fillId="0" borderId="38" xfId="80" applyNumberFormat="1" applyFont="1" applyFill="1" applyBorder="1" applyAlignment="1">
      <alignment horizontal="right" vertical="center" wrapText="1"/>
    </xf>
    <xf numFmtId="4" fontId="41" fillId="0" borderId="46" xfId="86" applyNumberFormat="1" applyFont="1" applyFill="1" applyBorder="1" applyAlignment="1">
      <alignment horizontal="right"/>
    </xf>
    <xf numFmtId="4" fontId="41" fillId="0" borderId="41" xfId="85" applyNumberFormat="1" applyFont="1" applyFill="1" applyBorder="1" applyAlignment="1" applyProtection="1">
      <alignment horizontal="right"/>
    </xf>
    <xf numFmtId="4" fontId="41" fillId="0" borderId="27" xfId="77" applyNumberFormat="1" applyFont="1" applyFill="1" applyBorder="1" applyAlignment="1">
      <alignment horizontal="right" vertical="center" wrapText="1"/>
    </xf>
    <xf numFmtId="4" fontId="41" fillId="0" borderId="20" xfId="77" applyNumberFormat="1" applyFont="1" applyFill="1" applyBorder="1" applyAlignment="1">
      <alignment horizontal="right" wrapText="1"/>
    </xf>
    <xf numFmtId="4" fontId="41" fillId="0" borderId="27" xfId="85" applyNumberFormat="1" applyFont="1" applyFill="1" applyBorder="1" applyAlignment="1" applyProtection="1">
      <alignment horizontal="right"/>
    </xf>
    <xf numFmtId="4" fontId="41" fillId="0" borderId="54" xfId="77" applyNumberFormat="1" applyFont="1" applyFill="1" applyBorder="1" applyAlignment="1">
      <alignment horizontal="right" wrapText="1"/>
    </xf>
    <xf numFmtId="4" fontId="14" fillId="0" borderId="49" xfId="84" applyNumberFormat="1" applyFont="1" applyFill="1" applyBorder="1" applyAlignment="1">
      <alignment horizontal="right" vertical="center" wrapText="1"/>
    </xf>
    <xf numFmtId="4" fontId="41" fillId="0" borderId="46" xfId="84" applyNumberFormat="1" applyFont="1" applyFill="1" applyBorder="1" applyAlignment="1">
      <alignment horizontal="right" wrapText="1"/>
    </xf>
    <xf numFmtId="4" fontId="41" fillId="0" borderId="46" xfId="79" applyNumberFormat="1" applyFont="1" applyFill="1" applyBorder="1" applyAlignment="1" applyProtection="1">
      <alignment horizontal="right" wrapText="1"/>
    </xf>
    <xf numFmtId="4" fontId="41" fillId="0" borderId="46" xfId="80" applyNumberFormat="1" applyFont="1" applyFill="1" applyBorder="1" applyAlignment="1">
      <alignment horizontal="right" vertical="center" wrapText="1"/>
    </xf>
    <xf numFmtId="4" fontId="41" fillId="0" borderId="50" xfId="80" applyNumberFormat="1" applyFont="1" applyFill="1" applyBorder="1" applyAlignment="1">
      <alignment horizontal="right" wrapText="1"/>
    </xf>
    <xf numFmtId="0" fontId="40" fillId="0" borderId="27" xfId="77" applyFont="1" applyFill="1" applyBorder="1" applyAlignment="1">
      <alignment horizontal="center" wrapText="1"/>
    </xf>
    <xf numFmtId="0" fontId="25" fillId="0" borderId="0" xfId="0" applyFont="1"/>
    <xf numFmtId="4" fontId="40" fillId="8" borderId="46" xfId="79" applyNumberFormat="1" applyFont="1" applyFill="1" applyBorder="1" applyAlignment="1" applyProtection="1">
      <alignment horizontal="right" wrapText="1"/>
    </xf>
    <xf numFmtId="0" fontId="11" fillId="0" borderId="27" xfId="81" applyFont="1" applyFill="1" applyBorder="1" applyAlignment="1">
      <alignment horizontal="center" vertical="center" wrapText="1"/>
    </xf>
    <xf numFmtId="4" fontId="40" fillId="9" borderId="27" xfId="79" applyNumberFormat="1" applyFont="1" applyFill="1" applyBorder="1" applyAlignment="1" applyProtection="1">
      <alignment horizontal="right" vertical="center" wrapText="1"/>
    </xf>
    <xf numFmtId="175" fontId="41" fillId="0" borderId="27" xfId="80" applyNumberFormat="1" applyFont="1" applyFill="1" applyBorder="1" applyAlignment="1">
      <alignment horizontal="right" vertical="center" wrapText="1"/>
    </xf>
    <xf numFmtId="0" fontId="41" fillId="0" borderId="27" xfId="80" applyFont="1" applyFill="1" applyBorder="1" applyAlignment="1">
      <alignment horizontal="right" vertical="center" wrapText="1"/>
    </xf>
    <xf numFmtId="175" fontId="41" fillId="0" borderId="33" xfId="80" applyNumberFormat="1" applyFont="1" applyFill="1" applyBorder="1" applyAlignment="1">
      <alignment horizontal="right" vertical="center" wrapText="1"/>
    </xf>
    <xf numFmtId="175" fontId="41" fillId="0" borderId="23" xfId="80" applyNumberFormat="1" applyFont="1" applyFill="1" applyBorder="1" applyAlignment="1">
      <alignment horizontal="right" vertical="center" wrapText="1"/>
    </xf>
    <xf numFmtId="0" fontId="41" fillId="0" borderId="34" xfId="80" applyFont="1" applyFill="1" applyBorder="1" applyAlignment="1">
      <alignment horizontal="right" vertical="center" wrapText="1"/>
    </xf>
    <xf numFmtId="2" fontId="41" fillId="0" borderId="29" xfId="80" applyNumberFormat="1" applyFont="1" applyFill="1" applyBorder="1" applyAlignment="1">
      <alignment horizontal="right" wrapText="1"/>
    </xf>
    <xf numFmtId="175" fontId="41" fillId="0" borderId="26" xfId="80" applyNumberFormat="1" applyFont="1" applyFill="1" applyBorder="1" applyAlignment="1">
      <alignment horizontal="right" vertical="center" wrapText="1"/>
    </xf>
    <xf numFmtId="175" fontId="40" fillId="0" borderId="27" xfId="80" applyNumberFormat="1" applyFont="1" applyFill="1" applyBorder="1" applyAlignment="1">
      <alignment horizontal="right" wrapText="1"/>
    </xf>
    <xf numFmtId="175" fontId="40" fillId="8" borderId="38" xfId="80" applyNumberFormat="1" applyFont="1" applyFill="1" applyBorder="1" applyAlignment="1">
      <alignment horizontal="right" wrapText="1"/>
    </xf>
    <xf numFmtId="0" fontId="41" fillId="0" borderId="27" xfId="80" applyFont="1" applyFill="1" applyBorder="1" applyAlignment="1">
      <alignment vertical="center" wrapText="1"/>
    </xf>
    <xf numFmtId="175" fontId="41" fillId="0" borderId="27" xfId="80" applyNumberFormat="1" applyFont="1" applyFill="1" applyBorder="1" applyAlignment="1">
      <alignment vertical="center" wrapText="1"/>
    </xf>
    <xf numFmtId="0" fontId="41" fillId="0" borderId="26" xfId="77" applyFont="1" applyFill="1" applyBorder="1" applyAlignment="1">
      <alignment wrapText="1"/>
    </xf>
    <xf numFmtId="2" fontId="41" fillId="0" borderId="27" xfId="77" applyNumberFormat="1" applyFont="1" applyFill="1" applyBorder="1" applyAlignment="1">
      <alignment horizontal="center" vertical="center" wrapText="1"/>
    </xf>
    <xf numFmtId="0" fontId="14" fillId="0" borderId="27" xfId="0" applyFont="1" applyBorder="1" applyAlignment="1">
      <alignment horizontal="center" vertical="center" wrapText="1"/>
    </xf>
    <xf numFmtId="49" fontId="14" fillId="0" borderId="27" xfId="0" applyNumberFormat="1" applyFont="1" applyBorder="1" applyAlignment="1">
      <alignment horizontal="center" vertical="center" wrapText="1"/>
    </xf>
    <xf numFmtId="0" fontId="11" fillId="0" borderId="31" xfId="81" applyFont="1" applyFill="1" applyBorder="1" applyAlignment="1">
      <alignment horizontal="center" vertical="center" wrapText="1"/>
    </xf>
    <xf numFmtId="4" fontId="11" fillId="0" borderId="27" xfId="81" applyNumberFormat="1" applyFont="1" applyFill="1" applyBorder="1" applyAlignment="1">
      <alignment horizontal="right" vertical="center" wrapText="1"/>
    </xf>
    <xf numFmtId="0" fontId="40" fillId="0" borderId="50" xfId="77" applyFont="1" applyFill="1" applyBorder="1" applyAlignment="1">
      <alignment horizontal="center" vertical="center" wrapText="1"/>
    </xf>
    <xf numFmtId="4" fontId="40" fillId="0" borderId="46" xfId="79" applyNumberFormat="1" applyFont="1" applyFill="1" applyBorder="1" applyAlignment="1" applyProtection="1">
      <alignment horizontal="right" wrapText="1"/>
    </xf>
    <xf numFmtId="0" fontId="5" fillId="3" borderId="27" xfId="14" applyFont="1" applyFill="1" applyBorder="1"/>
    <xf numFmtId="4" fontId="14" fillId="0" borderId="27" xfId="14" applyNumberFormat="1" applyFont="1" applyFill="1" applyBorder="1" applyAlignment="1">
      <alignment horizontal="center" vertical="center" wrapText="1"/>
    </xf>
    <xf numFmtId="0" fontId="64" fillId="0" borderId="0" xfId="91"/>
    <xf numFmtId="0" fontId="65" fillId="0" borderId="0" xfId="91" applyFont="1" applyAlignment="1">
      <alignment horizontal="left" vertical="top" wrapText="1"/>
    </xf>
    <xf numFmtId="0" fontId="67" fillId="0" borderId="27" xfId="91" applyFont="1" applyBorder="1" applyAlignment="1">
      <alignment horizontal="left" vertical="top" wrapText="1"/>
    </xf>
    <xf numFmtId="0" fontId="65" fillId="0" borderId="45" xfId="91" applyFont="1" applyBorder="1" applyAlignment="1">
      <alignment horizontal="left" vertical="top" wrapText="1"/>
    </xf>
    <xf numFmtId="0" fontId="67" fillId="0" borderId="45" xfId="91" applyFont="1" applyBorder="1" applyAlignment="1">
      <alignment horizontal="left" vertical="top" wrapText="1"/>
    </xf>
    <xf numFmtId="0" fontId="65" fillId="0" borderId="63" xfId="91" applyFont="1" applyBorder="1" applyAlignment="1">
      <alignment horizontal="center" vertical="top" wrapText="1"/>
    </xf>
    <xf numFmtId="0" fontId="67" fillId="0" borderId="63" xfId="91" applyFont="1" applyBorder="1" applyAlignment="1">
      <alignment horizontal="left" vertical="top" wrapText="1"/>
    </xf>
    <xf numFmtId="0" fontId="65" fillId="0" borderId="27" xfId="91" applyFont="1" applyBorder="1" applyAlignment="1">
      <alignment horizontal="center" vertical="center" wrapText="1"/>
    </xf>
    <xf numFmtId="4" fontId="14" fillId="0" borderId="2" xfId="14" applyNumberFormat="1" applyFont="1" applyFill="1" applyBorder="1" applyAlignment="1">
      <alignment horizontal="center" vertical="center" wrapText="1"/>
    </xf>
    <xf numFmtId="4" fontId="14" fillId="0" borderId="27" xfId="14" applyNumberFormat="1" applyFont="1" applyFill="1" applyBorder="1" applyAlignment="1">
      <alignment horizontal="center" vertical="center"/>
    </xf>
    <xf numFmtId="0" fontId="9" fillId="0" borderId="0" xfId="51"/>
    <xf numFmtId="0" fontId="70" fillId="0" borderId="0" xfId="51" applyNumberFormat="1" applyFont="1" applyFill="1" applyBorder="1" applyAlignment="1" applyProtection="1"/>
    <xf numFmtId="0" fontId="74" fillId="0" borderId="0" xfId="51" applyNumberFormat="1" applyFont="1" applyFill="1" applyBorder="1" applyAlignment="1" applyProtection="1"/>
    <xf numFmtId="0" fontId="74" fillId="0" borderId="0" xfId="51" applyNumberFormat="1" applyFont="1" applyFill="1" applyBorder="1" applyAlignment="1" applyProtection="1">
      <alignment horizontal="center" wrapText="1"/>
    </xf>
    <xf numFmtId="0" fontId="70" fillId="0" borderId="0" xfId="51" applyFont="1"/>
    <xf numFmtId="0" fontId="74" fillId="0" borderId="27" xfId="51" applyNumberFormat="1" applyFont="1" applyFill="1" applyBorder="1" applyAlignment="1" applyProtection="1">
      <alignment horizontal="center" vertical="center" textRotation="90" wrapText="1"/>
    </xf>
    <xf numFmtId="0" fontId="74" fillId="0" borderId="27" xfId="51" applyNumberFormat="1" applyFont="1" applyFill="1" applyBorder="1" applyAlignment="1" applyProtection="1">
      <alignment horizontal="center" vertical="center"/>
    </xf>
    <xf numFmtId="0" fontId="9" fillId="0" borderId="27" xfId="51" applyBorder="1"/>
    <xf numFmtId="0" fontId="70" fillId="0" borderId="0" xfId="51" applyFont="1" applyAlignment="1">
      <alignment wrapText="1"/>
    </xf>
    <xf numFmtId="49" fontId="9" fillId="0" borderId="27" xfId="51" applyNumberFormat="1" applyBorder="1"/>
    <xf numFmtId="0" fontId="70" fillId="0" borderId="27" xfId="51" applyFont="1" applyBorder="1" applyAlignment="1">
      <alignment horizontal="center" vertical="center" wrapText="1"/>
    </xf>
    <xf numFmtId="0" fontId="75" fillId="0" borderId="27" xfId="51" applyFont="1" applyBorder="1" applyAlignment="1">
      <alignment horizontal="center" vertical="center" wrapText="1"/>
    </xf>
    <xf numFmtId="0" fontId="9" fillId="0" borderId="27" xfId="51" applyBorder="1" applyAlignment="1">
      <alignment horizontal="center" vertical="center"/>
    </xf>
    <xf numFmtId="4" fontId="9" fillId="0" borderId="27" xfId="51" applyNumberFormat="1" applyBorder="1" applyAlignment="1">
      <alignment horizontal="center" vertical="center"/>
    </xf>
    <xf numFmtId="49" fontId="74" fillId="0" borderId="27" xfId="51" applyNumberFormat="1" applyFont="1" applyFill="1" applyBorder="1" applyAlignment="1" applyProtection="1">
      <alignment horizontal="center" vertical="center" textRotation="90" wrapText="1"/>
    </xf>
    <xf numFmtId="0" fontId="9" fillId="0" borderId="27" xfId="51" applyBorder="1" applyAlignment="1">
      <alignment horizontal="center" vertical="center" wrapText="1"/>
    </xf>
    <xf numFmtId="0" fontId="9" fillId="0" borderId="27" xfId="51" applyBorder="1" applyAlignment="1">
      <alignment wrapText="1"/>
    </xf>
    <xf numFmtId="49" fontId="9" fillId="0" borderId="63" xfId="51" applyNumberFormat="1" applyBorder="1"/>
    <xf numFmtId="0" fontId="9" fillId="0" borderId="63" xfId="51" applyBorder="1"/>
    <xf numFmtId="4" fontId="9" fillId="0" borderId="63" xfId="51" applyNumberFormat="1" applyBorder="1" applyAlignment="1">
      <alignment horizontal="center" vertical="center"/>
    </xf>
    <xf numFmtId="0" fontId="75" fillId="0" borderId="63" xfId="51" applyFont="1" applyBorder="1" applyAlignment="1">
      <alignment horizontal="center" vertical="center" wrapText="1"/>
    </xf>
    <xf numFmtId="0" fontId="70" fillId="0" borderId="0" xfId="51" applyFont="1" applyAlignment="1">
      <alignment horizontal="center" vertical="center" wrapText="1"/>
    </xf>
    <xf numFmtId="0" fontId="9" fillId="0" borderId="0" xfId="51" applyBorder="1"/>
    <xf numFmtId="0" fontId="9" fillId="0" borderId="64" xfId="51" applyBorder="1"/>
    <xf numFmtId="0" fontId="9" fillId="0" borderId="65" xfId="51" applyBorder="1"/>
    <xf numFmtId="0" fontId="9" fillId="0" borderId="66" xfId="51" applyBorder="1"/>
    <xf numFmtId="0" fontId="9" fillId="0" borderId="67" xfId="51" applyBorder="1"/>
    <xf numFmtId="49" fontId="9" fillId="0" borderId="67" xfId="51" applyNumberFormat="1" applyBorder="1"/>
    <xf numFmtId="0" fontId="75" fillId="0" borderId="67" xfId="51" applyFont="1" applyBorder="1" applyAlignment="1">
      <alignment horizontal="center" vertical="center" wrapText="1"/>
    </xf>
    <xf numFmtId="0" fontId="9" fillId="0" borderId="67" xfId="51" applyBorder="1" applyAlignment="1">
      <alignment horizontal="center" vertical="center"/>
    </xf>
    <xf numFmtId="4" fontId="9" fillId="0" borderId="67" xfId="51" applyNumberFormat="1" applyBorder="1" applyAlignment="1">
      <alignment horizontal="center" vertical="center"/>
    </xf>
    <xf numFmtId="49" fontId="74" fillId="0" borderId="67" xfId="51" applyNumberFormat="1" applyFont="1" applyFill="1" applyBorder="1" applyAlignment="1" applyProtection="1">
      <alignment horizontal="center" vertical="center" textRotation="90" wrapText="1"/>
    </xf>
    <xf numFmtId="0" fontId="9" fillId="0" borderId="67" xfId="51" applyBorder="1" applyAlignment="1">
      <alignment wrapText="1"/>
    </xf>
    <xf numFmtId="0" fontId="57" fillId="0" borderId="19" xfId="51" applyNumberFormat="1" applyFont="1" applyFill="1" applyBorder="1" applyAlignment="1" applyProtection="1">
      <alignment horizontal="left" vertical="top"/>
    </xf>
    <xf numFmtId="0" fontId="57" fillId="0" borderId="19" xfId="51" applyNumberFormat="1" applyFont="1" applyFill="1" applyBorder="1" applyAlignment="1" applyProtection="1">
      <alignment vertical="top"/>
    </xf>
    <xf numFmtId="0" fontId="57" fillId="0" borderId="19" xfId="51" applyNumberFormat="1" applyFont="1" applyFill="1" applyBorder="1" applyAlignment="1" applyProtection="1">
      <alignment horizontal="right" vertical="top"/>
    </xf>
    <xf numFmtId="0" fontId="57" fillId="0" borderId="19" xfId="51" applyNumberFormat="1" applyFont="1" applyFill="1" applyBorder="1" applyAlignment="1" applyProtection="1"/>
    <xf numFmtId="0" fontId="57" fillId="0" borderId="0" xfId="51" applyNumberFormat="1" applyFont="1" applyFill="1" applyBorder="1" applyAlignment="1" applyProtection="1">
      <alignment vertical="top"/>
    </xf>
    <xf numFmtId="0" fontId="57" fillId="0" borderId="0" xfId="51" applyNumberFormat="1" applyFont="1" applyFill="1" applyBorder="1" applyAlignment="1" applyProtection="1">
      <alignment vertical="top" wrapText="1"/>
    </xf>
    <xf numFmtId="0" fontId="57" fillId="0" borderId="19" xfId="51" applyNumberFormat="1" applyFont="1" applyFill="1" applyBorder="1" applyAlignment="1" applyProtection="1">
      <alignment vertical="top" wrapText="1"/>
    </xf>
    <xf numFmtId="0" fontId="57" fillId="0" borderId="19" xfId="51" applyNumberFormat="1" applyFont="1" applyFill="1" applyBorder="1" applyAlignment="1" applyProtection="1">
      <alignment horizontal="center"/>
    </xf>
    <xf numFmtId="0" fontId="57" fillId="0" borderId="19" xfId="51" applyNumberFormat="1" applyFont="1" applyFill="1" applyBorder="1" applyAlignment="1" applyProtection="1">
      <alignment horizontal="center" vertical="center" wrapText="1"/>
    </xf>
    <xf numFmtId="0" fontId="57" fillId="0" borderId="19" xfId="51" applyNumberFormat="1" applyFont="1" applyFill="1" applyBorder="1" applyAlignment="1" applyProtection="1">
      <alignment horizontal="center" vertical="center"/>
    </xf>
    <xf numFmtId="0" fontId="76" fillId="0" borderId="0" xfId="51" applyNumberFormat="1" applyFont="1" applyFill="1" applyBorder="1" applyAlignment="1" applyProtection="1">
      <alignment vertical="center"/>
    </xf>
    <xf numFmtId="0" fontId="57" fillId="0" borderId="0" xfId="51" applyFont="1" applyFill="1" applyBorder="1" applyAlignment="1">
      <alignment horizontal="right"/>
    </xf>
    <xf numFmtId="0" fontId="57" fillId="0" borderId="0" xfId="51" applyFont="1" applyFill="1" applyBorder="1"/>
    <xf numFmtId="0" fontId="76" fillId="0" borderId="0" xfId="51" applyNumberFormat="1" applyFont="1" applyFill="1" applyBorder="1" applyAlignment="1" applyProtection="1">
      <alignment horizontal="center" vertical="top"/>
    </xf>
    <xf numFmtId="0" fontId="76" fillId="0" borderId="0" xfId="51" applyNumberFormat="1" applyFont="1" applyFill="1" applyBorder="1" applyAlignment="1" applyProtection="1">
      <alignment horizontal="center" vertical="center"/>
    </xf>
    <xf numFmtId="0" fontId="76" fillId="0" borderId="0" xfId="51" applyNumberFormat="1" applyFont="1" applyFill="1" applyBorder="1" applyAlignment="1" applyProtection="1">
      <alignment horizontal="center" vertical="center" wrapText="1"/>
    </xf>
    <xf numFmtId="0" fontId="57" fillId="0" borderId="0" xfId="51" applyNumberFormat="1" applyFont="1" applyFill="1" applyBorder="1" applyAlignment="1" applyProtection="1"/>
    <xf numFmtId="0" fontId="76" fillId="0" borderId="0" xfId="51" applyNumberFormat="1" applyFont="1" applyFill="1" applyBorder="1" applyAlignment="1" applyProtection="1">
      <alignment horizontal="right" vertical="center"/>
    </xf>
    <xf numFmtId="0" fontId="57" fillId="0" borderId="0" xfId="51" applyNumberFormat="1" applyFont="1" applyFill="1" applyBorder="1" applyAlignment="1" applyProtection="1">
      <alignment horizontal="right" vertical="top"/>
    </xf>
    <xf numFmtId="0" fontId="76" fillId="0" borderId="0" xfId="51" applyNumberFormat="1" applyFont="1" applyFill="1" applyBorder="1" applyAlignment="1" applyProtection="1">
      <alignment vertical="top" wrapText="1"/>
    </xf>
    <xf numFmtId="0" fontId="76" fillId="0" borderId="0" xfId="51" applyNumberFormat="1" applyFont="1" applyFill="1" applyBorder="1" applyAlignment="1" applyProtection="1">
      <alignment horizontal="right" vertical="top" wrapText="1"/>
    </xf>
    <xf numFmtId="0" fontId="76" fillId="0" borderId="0" xfId="51" applyNumberFormat="1" applyFont="1" applyFill="1" applyBorder="1" applyAlignment="1" applyProtection="1">
      <alignment horizontal="center" vertical="top" wrapText="1"/>
    </xf>
    <xf numFmtId="0" fontId="57" fillId="0" borderId="0" xfId="51" applyNumberFormat="1" applyFont="1" applyFill="1" applyBorder="1" applyAlignment="1" applyProtection="1">
      <alignment horizontal="center" vertical="center" wrapText="1"/>
    </xf>
    <xf numFmtId="0" fontId="57" fillId="0" borderId="0" xfId="51" applyNumberFormat="1" applyFont="1" applyFill="1" applyBorder="1" applyAlignment="1" applyProtection="1">
      <alignment horizontal="center" vertical="center"/>
    </xf>
    <xf numFmtId="0" fontId="14" fillId="0" borderId="0" xfId="0" applyFont="1" applyAlignment="1">
      <alignment horizontal="left" vertical="center" wrapText="1"/>
    </xf>
    <xf numFmtId="0" fontId="4" fillId="0" borderId="0" xfId="27" applyFont="1" applyAlignment="1">
      <alignment horizontal="center" vertical="center" wrapText="1"/>
    </xf>
    <xf numFmtId="0" fontId="14" fillId="0" borderId="0" xfId="27" applyFont="1" applyBorder="1" applyAlignment="1">
      <alignment horizontal="justify" vertical="top" wrapText="1"/>
    </xf>
    <xf numFmtId="0" fontId="3" fillId="0" borderId="0" xfId="27" applyFont="1" applyBorder="1" applyAlignment="1">
      <alignment horizontal="justify" vertical="top" wrapText="1"/>
    </xf>
    <xf numFmtId="49" fontId="14" fillId="0" borderId="0" xfId="27" applyNumberFormat="1" applyFont="1" applyFill="1" applyBorder="1" applyAlignment="1">
      <alignment horizontal="justify" vertical="center" wrapText="1"/>
    </xf>
    <xf numFmtId="0" fontId="14" fillId="0" borderId="0" xfId="27" applyFont="1" applyBorder="1" applyAlignment="1">
      <alignment horizontal="justify" vertical="center" wrapText="1"/>
    </xf>
    <xf numFmtId="0" fontId="3" fillId="0" borderId="0" xfId="27" applyFont="1" applyBorder="1" applyAlignment="1">
      <alignment horizontal="justify" vertical="center" wrapText="1"/>
    </xf>
    <xf numFmtId="0" fontId="11" fillId="0" borderId="0" xfId="27" applyFont="1" applyBorder="1" applyAlignment="1">
      <alignment horizontal="center" vertical="top" wrapText="1"/>
    </xf>
    <xf numFmtId="0" fontId="2" fillId="0" borderId="0" xfId="27" applyFont="1" applyBorder="1" applyAlignment="1">
      <alignment horizontal="center" vertical="center" wrapText="1"/>
    </xf>
    <xf numFmtId="0" fontId="2" fillId="0" borderId="0" xfId="27" applyFont="1" applyAlignment="1">
      <alignment horizontal="center"/>
    </xf>
    <xf numFmtId="0" fontId="2" fillId="0" borderId="0" xfId="27" applyFont="1" applyAlignment="1">
      <alignment horizontal="center" vertical="center"/>
    </xf>
    <xf numFmtId="0" fontId="2" fillId="0" borderId="0" xfId="27" applyFont="1" applyAlignment="1">
      <alignment horizontal="center" vertical="center" wrapText="1"/>
    </xf>
    <xf numFmtId="0" fontId="14" fillId="0" borderId="27" xfId="27" applyFont="1" applyBorder="1" applyAlignment="1">
      <alignment horizontal="left" vertical="center" wrapText="1"/>
    </xf>
    <xf numFmtId="0" fontId="14" fillId="3" borderId="27" xfId="14" applyNumberFormat="1" applyFont="1" applyFill="1" applyBorder="1" applyAlignment="1">
      <alignment horizontal="left" vertical="center" wrapText="1"/>
    </xf>
    <xf numFmtId="0" fontId="11" fillId="0" borderId="0" xfId="14" applyFont="1" applyAlignment="1">
      <alignment horizontal="center"/>
    </xf>
    <xf numFmtId="0" fontId="14" fillId="3" borderId="27" xfId="9" applyFont="1" applyFill="1" applyBorder="1" applyAlignment="1">
      <alignment horizontal="left" vertical="center" wrapText="1"/>
    </xf>
    <xf numFmtId="0" fontId="14" fillId="3" borderId="27" xfId="27" applyFont="1" applyFill="1" applyBorder="1" applyAlignment="1">
      <alignment horizontal="left" vertical="center" wrapText="1"/>
    </xf>
    <xf numFmtId="0" fontId="33" fillId="0" borderId="0" xfId="14" applyFont="1" applyFill="1" applyAlignment="1">
      <alignment horizontal="left" vertical="center" wrapText="1"/>
    </xf>
    <xf numFmtId="0" fontId="11" fillId="0" borderId="0" xfId="14" applyFont="1" applyAlignment="1">
      <alignment horizontal="left" vertical="center" wrapText="1"/>
    </xf>
    <xf numFmtId="0" fontId="14" fillId="0" borderId="0" xfId="14" applyFont="1" applyAlignment="1">
      <alignment horizontal="center" vertical="center"/>
    </xf>
    <xf numFmtId="0" fontId="14" fillId="0" borderId="0" xfId="14" applyFont="1" applyAlignment="1">
      <alignment horizontal="center"/>
    </xf>
    <xf numFmtId="49" fontId="14" fillId="0" borderId="0" xfId="14" applyNumberFormat="1" applyFont="1" applyAlignment="1">
      <alignment horizontal="left" vertical="center" wrapText="1"/>
    </xf>
    <xf numFmtId="0" fontId="3" fillId="0" borderId="0" xfId="44" applyFont="1" applyBorder="1" applyAlignment="1">
      <alignment horizontal="right" vertical="center"/>
    </xf>
    <xf numFmtId="0" fontId="2" fillId="0" borderId="0" xfId="27" quotePrefix="1" applyFont="1" applyAlignment="1">
      <alignment horizontal="center" vertical="center" wrapText="1"/>
    </xf>
    <xf numFmtId="0" fontId="14" fillId="5" borderId="2" xfId="27" applyFont="1" applyFill="1" applyBorder="1" applyAlignment="1">
      <alignment horizontal="center" vertical="center" wrapText="1"/>
    </xf>
    <xf numFmtId="0" fontId="9" fillId="0" borderId="14" xfId="27" applyBorder="1" applyAlignment="1">
      <alignment horizontal="center" vertical="center" wrapText="1"/>
    </xf>
    <xf numFmtId="0" fontId="19" fillId="0" borderId="14" xfId="27" applyFont="1" applyBorder="1" applyAlignment="1">
      <alignment horizontal="center" vertical="center" wrapText="1"/>
    </xf>
    <xf numFmtId="0" fontId="9" fillId="0" borderId="16" xfId="27" applyBorder="1" applyAlignment="1">
      <alignment horizontal="center" vertical="center"/>
    </xf>
    <xf numFmtId="0" fontId="9" fillId="0" borderId="21" xfId="27" applyBorder="1" applyAlignment="1">
      <alignment horizontal="center" vertical="center"/>
    </xf>
    <xf numFmtId="0" fontId="19" fillId="0" borderId="21" xfId="27" applyFont="1" applyBorder="1" applyAlignment="1">
      <alignment horizontal="center" vertical="center"/>
    </xf>
    <xf numFmtId="0" fontId="19" fillId="0" borderId="20" xfId="27" applyFont="1" applyBorder="1" applyAlignment="1">
      <alignment horizontal="center" vertical="center"/>
    </xf>
    <xf numFmtId="0" fontId="11" fillId="0" borderId="0" xfId="27" applyFont="1" applyAlignment="1">
      <alignment horizontal="center" vertical="center" wrapText="1"/>
    </xf>
    <xf numFmtId="0" fontId="14" fillId="0" borderId="0" xfId="27" applyFont="1" applyAlignment="1">
      <alignment horizontal="left" vertical="center" wrapText="1"/>
    </xf>
    <xf numFmtId="0" fontId="14" fillId="0" borderId="0" xfId="27" applyFont="1" applyAlignment="1">
      <alignment horizontal="left" wrapText="1"/>
    </xf>
    <xf numFmtId="0" fontId="14" fillId="4" borderId="4" xfId="27" applyFont="1" applyFill="1" applyBorder="1" applyAlignment="1">
      <alignment horizontal="center" vertical="center"/>
    </xf>
    <xf numFmtId="0" fontId="14" fillId="4" borderId="5" xfId="27" applyFont="1" applyFill="1" applyBorder="1" applyAlignment="1">
      <alignment horizontal="center" vertical="center"/>
    </xf>
    <xf numFmtId="0" fontId="14" fillId="4" borderId="4" xfId="27" applyFont="1" applyFill="1" applyBorder="1" applyAlignment="1">
      <alignment horizontal="center" vertical="center" wrapText="1"/>
    </xf>
    <xf numFmtId="0" fontId="14" fillId="4" borderId="12" xfId="27" applyFont="1" applyFill="1" applyBorder="1" applyAlignment="1">
      <alignment horizontal="center" vertical="center" wrapText="1"/>
    </xf>
    <xf numFmtId="0" fontId="14" fillId="4" borderId="5" xfId="27" applyFont="1" applyFill="1" applyBorder="1" applyAlignment="1">
      <alignment horizontal="center" vertical="center" wrapText="1"/>
    </xf>
    <xf numFmtId="0" fontId="14" fillId="4" borderId="2" xfId="27" applyFont="1" applyFill="1" applyBorder="1" applyAlignment="1">
      <alignment horizontal="center" vertical="center" wrapText="1"/>
    </xf>
    <xf numFmtId="0" fontId="11" fillId="0" borderId="0" xfId="27" quotePrefix="1" applyFont="1" applyAlignment="1">
      <alignment horizontal="left" vertical="center" wrapText="1"/>
    </xf>
    <xf numFmtId="0" fontId="3" fillId="0" borderId="0" xfId="27" applyFont="1" applyAlignment="1">
      <alignment horizontal="center" wrapText="1"/>
    </xf>
    <xf numFmtId="0" fontId="14" fillId="0" borderId="0" xfId="0" applyFont="1" applyAlignment="1">
      <alignment horizontal="left" wrapText="1"/>
    </xf>
    <xf numFmtId="0" fontId="14" fillId="0" borderId="0" xfId="27" applyFont="1" applyAlignment="1">
      <alignment horizontal="left" vertical="top" wrapText="1"/>
    </xf>
    <xf numFmtId="0" fontId="11" fillId="0" borderId="0" xfId="27" applyFont="1" applyBorder="1" applyAlignment="1">
      <alignment horizontal="center" vertical="center" wrapText="1"/>
    </xf>
    <xf numFmtId="0" fontId="14" fillId="2" borderId="27" xfId="0" applyFont="1" applyFill="1" applyBorder="1" applyAlignment="1">
      <alignment horizontal="left" vertical="center"/>
    </xf>
    <xf numFmtId="0" fontId="14" fillId="2" borderId="25" xfId="0" applyFont="1" applyFill="1" applyBorder="1" applyAlignment="1">
      <alignment horizontal="left" vertical="center" wrapText="1"/>
    </xf>
    <xf numFmtId="0" fontId="14" fillId="2" borderId="23" xfId="0" applyFont="1" applyFill="1" applyBorder="1" applyAlignment="1">
      <alignment horizontal="left" vertical="center" wrapText="1"/>
    </xf>
    <xf numFmtId="0" fontId="14" fillId="0" borderId="25"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23" xfId="0" applyFont="1" applyFill="1" applyBorder="1" applyAlignment="1">
      <alignment horizontal="center" vertical="center"/>
    </xf>
    <xf numFmtId="166" fontId="14" fillId="0" borderId="0" xfId="0" applyNumberFormat="1" applyFont="1" applyFill="1" applyBorder="1" applyAlignment="1">
      <alignment horizontal="center" vertical="center"/>
    </xf>
    <xf numFmtId="0" fontId="14" fillId="0" borderId="27" xfId="0" applyFont="1" applyBorder="1" applyAlignment="1">
      <alignment horizontal="center"/>
    </xf>
    <xf numFmtId="0" fontId="14" fillId="0" borderId="25" xfId="0" applyFont="1" applyBorder="1" applyAlignment="1">
      <alignment horizontal="center"/>
    </xf>
    <xf numFmtId="0" fontId="14" fillId="0" borderId="24" xfId="0" applyFont="1" applyBorder="1" applyAlignment="1">
      <alignment horizontal="center"/>
    </xf>
    <xf numFmtId="0" fontId="14" fillId="0" borderId="23" xfId="0" applyFont="1" applyBorder="1" applyAlignment="1">
      <alignment horizontal="center"/>
    </xf>
    <xf numFmtId="0" fontId="14" fillId="0" borderId="27" xfId="0" applyFont="1" applyBorder="1" applyAlignment="1">
      <alignment horizontal="left" vertical="center" wrapText="1"/>
    </xf>
    <xf numFmtId="0" fontId="11" fillId="3" borderId="10" xfId="14" applyFont="1" applyFill="1" applyBorder="1" applyAlignment="1">
      <alignment horizontal="center" vertical="center" wrapText="1"/>
    </xf>
    <xf numFmtId="0" fontId="11" fillId="3" borderId="7" xfId="14" applyFont="1" applyFill="1" applyBorder="1" applyAlignment="1">
      <alignment horizontal="center" vertical="center" wrapText="1"/>
    </xf>
    <xf numFmtId="0" fontId="11" fillId="3" borderId="8" xfId="14" applyFont="1" applyFill="1" applyBorder="1" applyAlignment="1">
      <alignment horizontal="center" vertical="center" wrapText="1"/>
    </xf>
    <xf numFmtId="49" fontId="11" fillId="3" borderId="3" xfId="14" applyNumberFormat="1" applyFont="1" applyFill="1" applyBorder="1" applyAlignment="1">
      <alignment horizontal="right" vertical="center" wrapText="1"/>
    </xf>
    <xf numFmtId="49" fontId="11" fillId="3" borderId="11" xfId="14" applyNumberFormat="1" applyFont="1" applyFill="1" applyBorder="1" applyAlignment="1">
      <alignment horizontal="right" vertical="center" wrapText="1"/>
    </xf>
    <xf numFmtId="49" fontId="11" fillId="3" borderId="9" xfId="14" applyNumberFormat="1" applyFont="1" applyFill="1" applyBorder="1" applyAlignment="1">
      <alignment horizontal="right" vertical="center" wrapText="1"/>
    </xf>
    <xf numFmtId="0" fontId="11" fillId="3" borderId="3" xfId="14" applyFont="1" applyFill="1" applyBorder="1" applyAlignment="1">
      <alignment horizontal="center" vertical="center" wrapText="1"/>
    </xf>
    <xf numFmtId="0" fontId="11" fillId="3" borderId="11" xfId="14" applyFont="1" applyFill="1" applyBorder="1" applyAlignment="1">
      <alignment horizontal="center" vertical="center" wrapText="1"/>
    </xf>
    <xf numFmtId="49" fontId="11" fillId="4" borderId="3" xfId="14" applyNumberFormat="1" applyFont="1" applyFill="1" applyBorder="1" applyAlignment="1">
      <alignment horizontal="right" vertical="center" wrapText="1"/>
    </xf>
    <xf numFmtId="49" fontId="11" fillId="4" borderId="11" xfId="14" applyNumberFormat="1" applyFont="1" applyFill="1" applyBorder="1" applyAlignment="1">
      <alignment horizontal="right" vertical="center" wrapText="1"/>
    </xf>
    <xf numFmtId="49" fontId="11" fillId="4" borderId="9" xfId="14" applyNumberFormat="1" applyFont="1" applyFill="1" applyBorder="1" applyAlignment="1">
      <alignment horizontal="right" vertical="center" wrapText="1"/>
    </xf>
    <xf numFmtId="0" fontId="14" fillId="3" borderId="0" xfId="14" applyFont="1" applyFill="1" applyAlignment="1">
      <alignment horizontal="left" vertical="center" wrapText="1"/>
    </xf>
    <xf numFmtId="0" fontId="11" fillId="3" borderId="0" xfId="14" applyFont="1" applyFill="1" applyAlignment="1">
      <alignment horizontal="left" vertical="center" wrapText="1"/>
    </xf>
    <xf numFmtId="0" fontId="2" fillId="3" borderId="0" xfId="9" applyFont="1" applyFill="1" applyAlignment="1">
      <alignment horizontal="left" vertical="center"/>
    </xf>
    <xf numFmtId="49" fontId="11" fillId="4" borderId="4" xfId="14" applyNumberFormat="1" applyFont="1" applyFill="1" applyBorder="1" applyAlignment="1">
      <alignment horizontal="center" vertical="center" wrapText="1"/>
    </xf>
    <xf numFmtId="49" fontId="11" fillId="4" borderId="6" xfId="14" applyNumberFormat="1" applyFont="1" applyFill="1" applyBorder="1" applyAlignment="1">
      <alignment horizontal="center" vertical="center" wrapText="1"/>
    </xf>
    <xf numFmtId="49" fontId="11" fillId="4" borderId="5" xfId="14" applyNumberFormat="1" applyFont="1" applyFill="1" applyBorder="1" applyAlignment="1">
      <alignment horizontal="center" vertical="center" wrapText="1"/>
    </xf>
    <xf numFmtId="0" fontId="11" fillId="4" borderId="2" xfId="14" applyFont="1" applyFill="1" applyBorder="1" applyAlignment="1">
      <alignment horizontal="center"/>
    </xf>
    <xf numFmtId="0" fontId="11" fillId="3" borderId="0" xfId="14" applyFont="1" applyFill="1" applyAlignment="1">
      <alignment horizontal="center" vertical="center" wrapText="1"/>
    </xf>
    <xf numFmtId="0" fontId="14" fillId="3" borderId="0" xfId="14" applyFont="1" applyFill="1" applyAlignment="1">
      <alignment horizontal="left" vertical="top" wrapText="1"/>
    </xf>
    <xf numFmtId="0" fontId="14" fillId="3" borderId="0" xfId="14" applyFont="1" applyFill="1" applyAlignment="1">
      <alignment horizontal="left" vertical="top"/>
    </xf>
    <xf numFmtId="0" fontId="11" fillId="3" borderId="0" xfId="14" quotePrefix="1" applyFont="1" applyFill="1" applyAlignment="1">
      <alignment horizontal="left" vertical="top" wrapText="1"/>
    </xf>
    <xf numFmtId="0" fontId="11" fillId="3" borderId="0" xfId="14" applyFont="1" applyFill="1" applyAlignment="1">
      <alignment horizontal="left" vertical="top" wrapText="1"/>
    </xf>
    <xf numFmtId="0" fontId="46" fillId="0" borderId="0" xfId="74" applyFont="1" applyAlignment="1">
      <alignment horizontal="center" vertical="top" wrapText="1"/>
    </xf>
    <xf numFmtId="0" fontId="8" fillId="0" borderId="0" xfId="74" applyFont="1" applyAlignment="1">
      <alignment horizontal="center" vertical="top" wrapText="1"/>
    </xf>
    <xf numFmtId="0" fontId="8" fillId="0" borderId="19" xfId="74" applyFont="1" applyBorder="1" applyAlignment="1">
      <alignment horizontal="center" vertical="top" wrapText="1"/>
    </xf>
    <xf numFmtId="0" fontId="37" fillId="0" borderId="27" xfId="74" applyFont="1" applyBorder="1" applyAlignment="1">
      <alignment horizontal="left" vertical="top" wrapText="1"/>
    </xf>
    <xf numFmtId="4" fontId="37" fillId="0" borderId="27" xfId="74" applyNumberFormat="1" applyFont="1" applyBorder="1" applyAlignment="1">
      <alignment horizontal="right" vertical="top" wrapText="1"/>
    </xf>
    <xf numFmtId="0" fontId="8" fillId="0" borderId="0" xfId="74" applyFont="1" applyAlignment="1">
      <alignment horizontal="left" vertical="top" wrapText="1"/>
    </xf>
    <xf numFmtId="4" fontId="8" fillId="0" borderId="0" xfId="74" applyNumberFormat="1" applyFont="1" applyAlignment="1">
      <alignment horizontal="left" vertical="top" wrapText="1"/>
    </xf>
    <xf numFmtId="0" fontId="8" fillId="0" borderId="45" xfId="74" applyFont="1" applyBorder="1" applyAlignment="1">
      <alignment horizontal="left" vertical="top" wrapText="1"/>
    </xf>
    <xf numFmtId="0" fontId="37" fillId="0" borderId="33" xfId="74" applyFont="1" applyBorder="1" applyAlignment="1">
      <alignment horizontal="left" vertical="top" wrapText="1"/>
    </xf>
    <xf numFmtId="0" fontId="8" fillId="0" borderId="33" xfId="74" applyFont="1" applyBorder="1" applyAlignment="1">
      <alignment horizontal="left" vertical="top" wrapText="1"/>
    </xf>
    <xf numFmtId="4" fontId="8" fillId="0" borderId="33" xfId="74" applyNumberFormat="1" applyFont="1" applyBorder="1" applyAlignment="1">
      <alignment horizontal="right" vertical="top" wrapText="1"/>
    </xf>
    <xf numFmtId="0" fontId="37" fillId="0" borderId="45" xfId="74" applyFont="1" applyBorder="1" applyAlignment="1">
      <alignment horizontal="left" vertical="top" wrapText="1"/>
    </xf>
    <xf numFmtId="0" fontId="8" fillId="0" borderId="27" xfId="74" applyFont="1" applyBorder="1" applyAlignment="1">
      <alignment horizontal="center" vertical="center" wrapText="1"/>
    </xf>
    <xf numFmtId="0" fontId="39" fillId="0" borderId="0" xfId="74" applyFont="1" applyAlignment="1">
      <alignment horizontal="left" vertical="top" wrapText="1"/>
    </xf>
    <xf numFmtId="0" fontId="8" fillId="0" borderId="0" xfId="74" applyFont="1" applyAlignment="1">
      <alignment horizontal="right" vertical="top" wrapText="1"/>
    </xf>
    <xf numFmtId="0" fontId="37" fillId="0" borderId="0" xfId="74" applyFont="1" applyAlignment="1">
      <alignment horizontal="center" vertical="top" wrapText="1"/>
    </xf>
    <xf numFmtId="0" fontId="66" fillId="0" borderId="0" xfId="91" applyFont="1" applyAlignment="1">
      <alignment horizontal="center" vertical="top" wrapText="1"/>
    </xf>
    <xf numFmtId="0" fontId="67" fillId="0" borderId="27" xfId="91" applyFont="1" applyBorder="1" applyAlignment="1">
      <alignment horizontal="left" vertical="top" wrapText="1"/>
    </xf>
    <xf numFmtId="4" fontId="67" fillId="0" borderId="27" xfId="91" applyNumberFormat="1" applyFont="1" applyBorder="1" applyAlignment="1">
      <alignment horizontal="right" vertical="top" wrapText="1"/>
    </xf>
    <xf numFmtId="0" fontId="65" fillId="0" borderId="0" xfId="91" applyFont="1" applyAlignment="1">
      <alignment horizontal="left" vertical="top" wrapText="1"/>
    </xf>
    <xf numFmtId="4" fontId="65" fillId="0" borderId="0" xfId="91" applyNumberFormat="1" applyFont="1" applyAlignment="1">
      <alignment horizontal="left" vertical="top" wrapText="1"/>
    </xf>
    <xf numFmtId="0" fontId="65" fillId="0" borderId="19" xfId="91" applyFont="1" applyBorder="1" applyAlignment="1">
      <alignment horizontal="center" vertical="top" wrapText="1"/>
    </xf>
    <xf numFmtId="0" fontId="65" fillId="0" borderId="0" xfId="91" applyFont="1" applyAlignment="1">
      <alignment horizontal="center" vertical="top" wrapText="1"/>
    </xf>
    <xf numFmtId="0" fontId="65" fillId="0" borderId="45" xfId="91" applyFont="1" applyBorder="1" applyAlignment="1">
      <alignment horizontal="left" vertical="top" wrapText="1"/>
    </xf>
    <xf numFmtId="0" fontId="67" fillId="0" borderId="45" xfId="91" applyFont="1" applyBorder="1" applyAlignment="1">
      <alignment horizontal="left" vertical="top" wrapText="1"/>
    </xf>
    <xf numFmtId="0" fontId="67" fillId="0" borderId="63" xfId="91" applyFont="1" applyBorder="1" applyAlignment="1">
      <alignment horizontal="left" vertical="top" wrapText="1"/>
    </xf>
    <xf numFmtId="0" fontId="65" fillId="0" borderId="63" xfId="91" applyFont="1" applyBorder="1" applyAlignment="1">
      <alignment horizontal="left" vertical="top" wrapText="1"/>
    </xf>
    <xf numFmtId="4" fontId="65" fillId="0" borderId="63" xfId="91" applyNumberFormat="1" applyFont="1" applyBorder="1" applyAlignment="1">
      <alignment horizontal="right" vertical="top" wrapText="1"/>
    </xf>
    <xf numFmtId="0" fontId="65" fillId="0" borderId="27" xfId="91" applyFont="1" applyBorder="1" applyAlignment="1">
      <alignment horizontal="left" vertical="top" wrapText="1"/>
    </xf>
    <xf numFmtId="0" fontId="65" fillId="0" borderId="27" xfId="91" applyFont="1" applyBorder="1" applyAlignment="1">
      <alignment horizontal="center" vertical="center" wrapText="1"/>
    </xf>
    <xf numFmtId="0" fontId="68" fillId="0" borderId="0" xfId="91" applyFont="1" applyAlignment="1">
      <alignment horizontal="left" vertical="top" wrapText="1"/>
    </xf>
    <xf numFmtId="0" fontId="65" fillId="0" borderId="0" xfId="91" applyFont="1" applyAlignment="1">
      <alignment horizontal="right" vertical="top" wrapText="1"/>
    </xf>
    <xf numFmtId="0" fontId="67" fillId="0" borderId="0" xfId="91" applyFont="1" applyAlignment="1">
      <alignment horizontal="center" vertical="top" wrapText="1"/>
    </xf>
    <xf numFmtId="0" fontId="8" fillId="0" borderId="0" xfId="91" applyNumberFormat="1" applyFont="1" applyAlignment="1">
      <alignment horizontal="left" vertical="top" wrapText="1"/>
    </xf>
    <xf numFmtId="0" fontId="8" fillId="0" borderId="0" xfId="90" applyFont="1" applyAlignment="1">
      <alignment horizontal="left" vertical="top" wrapText="1"/>
    </xf>
    <xf numFmtId="0" fontId="38" fillId="0" borderId="0" xfId="90" applyFont="1" applyAlignment="1">
      <alignment horizontal="left" vertical="top" wrapText="1"/>
    </xf>
    <xf numFmtId="0" fontId="39" fillId="0" borderId="0" xfId="90" applyFont="1" applyAlignment="1">
      <alignment horizontal="left" vertical="top" wrapText="1"/>
    </xf>
    <xf numFmtId="0" fontId="8" fillId="0" borderId="0" xfId="90" applyFont="1" applyAlignment="1">
      <alignment horizontal="right" vertical="top" wrapText="1"/>
    </xf>
    <xf numFmtId="0" fontId="37" fillId="0" borderId="0" xfId="90" applyFont="1" applyAlignment="1">
      <alignment horizontal="center" vertical="center" wrapText="1"/>
    </xf>
    <xf numFmtId="0" fontId="8" fillId="0" borderId="0" xfId="90" applyFont="1" applyAlignment="1">
      <alignment horizontal="center" vertical="center" wrapText="1"/>
    </xf>
    <xf numFmtId="0" fontId="8" fillId="0" borderId="27" xfId="90" applyFont="1" applyBorder="1" applyAlignment="1">
      <alignment horizontal="center" vertical="center" wrapText="1"/>
    </xf>
    <xf numFmtId="0" fontId="37" fillId="0" borderId="27" xfId="90" applyFont="1" applyBorder="1" applyAlignment="1">
      <alignment horizontal="left" vertical="top" wrapText="1"/>
    </xf>
    <xf numFmtId="0" fontId="37" fillId="0" borderId="44" xfId="90" applyFont="1" applyBorder="1" applyAlignment="1">
      <alignment horizontal="left" vertical="top" wrapText="1"/>
    </xf>
    <xf numFmtId="0" fontId="8" fillId="0" borderId="44" xfId="90" applyFont="1" applyBorder="1" applyAlignment="1">
      <alignment horizontal="left" vertical="top" wrapText="1"/>
    </xf>
    <xf numFmtId="4" fontId="8" fillId="0" borderId="44" xfId="90" applyNumberFormat="1" applyFont="1" applyBorder="1" applyAlignment="1">
      <alignment horizontal="right" vertical="top" wrapText="1"/>
    </xf>
    <xf numFmtId="4" fontId="37" fillId="0" borderId="27" xfId="90" applyNumberFormat="1" applyFont="1" applyBorder="1" applyAlignment="1">
      <alignment horizontal="right" vertical="top" wrapText="1"/>
    </xf>
    <xf numFmtId="0" fontId="37" fillId="0" borderId="45" xfId="90" applyFont="1" applyBorder="1" applyAlignment="1">
      <alignment horizontal="left" vertical="top" wrapText="1"/>
    </xf>
    <xf numFmtId="0" fontId="8" fillId="0" borderId="45" xfId="90" applyFont="1" applyBorder="1" applyAlignment="1">
      <alignment horizontal="left" vertical="top" wrapText="1"/>
    </xf>
    <xf numFmtId="0" fontId="8" fillId="0" borderId="27" xfId="90" applyFont="1" applyBorder="1" applyAlignment="1">
      <alignment horizontal="left" vertical="top" wrapText="1"/>
    </xf>
    <xf numFmtId="4" fontId="8" fillId="0" borderId="27" xfId="90" applyNumberFormat="1" applyFont="1" applyBorder="1" applyAlignment="1">
      <alignment horizontal="right" vertical="top" wrapText="1"/>
    </xf>
    <xf numFmtId="4" fontId="8" fillId="0" borderId="0" xfId="90" applyNumberFormat="1" applyFont="1" applyAlignment="1">
      <alignment horizontal="left" vertical="top" wrapText="1"/>
    </xf>
    <xf numFmtId="0" fontId="14" fillId="0" borderId="0" xfId="77" applyFont="1" applyFill="1" applyBorder="1" applyAlignment="1">
      <alignment horizontal="left" vertical="top" wrapText="1"/>
    </xf>
    <xf numFmtId="0" fontId="14" fillId="0" borderId="0" xfId="0" applyFont="1" applyBorder="1" applyAlignment="1">
      <alignment horizontal="center"/>
    </xf>
    <xf numFmtId="0" fontId="14" fillId="0" borderId="0" xfId="0" applyFont="1" applyBorder="1" applyAlignment="1">
      <alignment horizontal="center" vertical="center" wrapText="1"/>
    </xf>
    <xf numFmtId="2" fontId="14" fillId="0" borderId="25" xfId="0" applyNumberFormat="1" applyFont="1" applyBorder="1" applyAlignment="1">
      <alignment horizontal="left" vertical="center" wrapText="1"/>
    </xf>
    <xf numFmtId="2" fontId="14" fillId="0" borderId="24" xfId="0" applyNumberFormat="1" applyFont="1" applyBorder="1" applyAlignment="1">
      <alignment horizontal="left" vertical="center" wrapText="1"/>
    </xf>
    <xf numFmtId="2" fontId="14" fillId="0" borderId="23" xfId="0" applyNumberFormat="1" applyFont="1" applyBorder="1" applyAlignment="1">
      <alignment horizontal="left" vertical="center" wrapText="1"/>
    </xf>
    <xf numFmtId="2" fontId="14" fillId="0" borderId="28" xfId="0" applyNumberFormat="1" applyFont="1" applyBorder="1" applyAlignment="1">
      <alignment horizontal="left" vertical="center" wrapText="1"/>
    </xf>
    <xf numFmtId="0" fontId="40" fillId="0" borderId="51" xfId="77" applyFont="1" applyFill="1" applyBorder="1" applyAlignment="1">
      <alignment horizontal="right" wrapText="1"/>
    </xf>
    <xf numFmtId="0" fontId="40" fillId="0" borderId="53" xfId="77" applyFont="1" applyFill="1" applyBorder="1" applyAlignment="1">
      <alignment horizontal="right" wrapText="1"/>
    </xf>
    <xf numFmtId="0" fontId="40" fillId="0" borderId="54" xfId="77" applyFont="1" applyFill="1" applyBorder="1" applyAlignment="1">
      <alignment horizontal="right" wrapText="1"/>
    </xf>
    <xf numFmtId="0" fontId="11" fillId="0" borderId="24" xfId="81" applyFont="1" applyFill="1" applyBorder="1" applyAlignment="1">
      <alignment horizontal="right" vertical="center" wrapText="1"/>
    </xf>
    <xf numFmtId="0" fontId="11" fillId="0" borderId="23" xfId="81" applyFont="1" applyFill="1" applyBorder="1" applyAlignment="1">
      <alignment horizontal="right" vertical="center" wrapText="1"/>
    </xf>
    <xf numFmtId="0" fontId="41" fillId="0" borderId="27" xfId="77" applyFont="1" applyFill="1" applyBorder="1" applyAlignment="1">
      <alignment horizontal="center" wrapText="1"/>
    </xf>
    <xf numFmtId="0" fontId="41" fillId="0" borderId="27" xfId="0" applyFont="1" applyBorder="1" applyAlignment="1">
      <alignment horizontal="center" vertical="center" wrapText="1"/>
    </xf>
    <xf numFmtId="49" fontId="41" fillId="0" borderId="27" xfId="0" applyNumberFormat="1" applyFont="1" applyBorder="1" applyAlignment="1">
      <alignment horizontal="center" vertical="center" wrapText="1"/>
    </xf>
    <xf numFmtId="0" fontId="41" fillId="0" borderId="27" xfId="77" applyFont="1" applyFill="1" applyBorder="1" applyAlignment="1">
      <alignment horizontal="center" vertical="center" wrapText="1"/>
    </xf>
    <xf numFmtId="0" fontId="41" fillId="0" borderId="40" xfId="77" applyFont="1" applyFill="1" applyBorder="1" applyAlignment="1">
      <alignment horizontal="center" wrapText="1"/>
    </xf>
    <xf numFmtId="0" fontId="41" fillId="0" borderId="39" xfId="77" applyFont="1" applyFill="1" applyBorder="1" applyAlignment="1">
      <alignment horizontal="center" wrapText="1"/>
    </xf>
    <xf numFmtId="0" fontId="41" fillId="0" borderId="56" xfId="83" applyFont="1" applyFill="1" applyBorder="1" applyAlignment="1">
      <alignment horizontal="right" wrapText="1"/>
    </xf>
    <xf numFmtId="0" fontId="41" fillId="0" borderId="39" xfId="83" applyFont="1" applyFill="1" applyBorder="1" applyAlignment="1">
      <alignment horizontal="right" wrapText="1"/>
    </xf>
    <xf numFmtId="0" fontId="41" fillId="0" borderId="26" xfId="83" applyFont="1" applyFill="1" applyBorder="1" applyAlignment="1">
      <alignment horizontal="right" wrapText="1"/>
    </xf>
    <xf numFmtId="0" fontId="40" fillId="0" borderId="57" xfId="83" applyFont="1" applyFill="1" applyBorder="1" applyAlignment="1">
      <alignment horizontal="right" wrapText="1"/>
    </xf>
    <xf numFmtId="0" fontId="40" fillId="0" borderId="48" xfId="83" applyFont="1" applyFill="1" applyBorder="1" applyAlignment="1">
      <alignment horizontal="right" wrapText="1"/>
    </xf>
    <xf numFmtId="0" fontId="40" fillId="0" borderId="49" xfId="83" applyFont="1" applyFill="1" applyBorder="1" applyAlignment="1">
      <alignment horizontal="right" wrapText="1"/>
    </xf>
    <xf numFmtId="0" fontId="41" fillId="0" borderId="55" xfId="77" applyFont="1" applyFill="1" applyBorder="1" applyAlignment="1">
      <alignment horizontal="center" wrapText="1"/>
    </xf>
    <xf numFmtId="0" fontId="41" fillId="0" borderId="53" xfId="77" applyFont="1" applyFill="1" applyBorder="1" applyAlignment="1">
      <alignment horizontal="center" wrapText="1"/>
    </xf>
    <xf numFmtId="0" fontId="41" fillId="0" borderId="54" xfId="77" applyFont="1" applyFill="1" applyBorder="1" applyAlignment="1">
      <alignment horizontal="center" wrapText="1"/>
    </xf>
    <xf numFmtId="0" fontId="40" fillId="0" borderId="27" xfId="77" applyFont="1" applyFill="1" applyBorder="1" applyAlignment="1">
      <alignment horizontal="right" wrapText="1"/>
    </xf>
    <xf numFmtId="0" fontId="41" fillId="0" borderId="37" xfId="77" applyFont="1" applyFill="1" applyBorder="1" applyAlignment="1">
      <alignment horizontal="center" wrapText="1"/>
    </xf>
    <xf numFmtId="0" fontId="41" fillId="0" borderId="0" xfId="77" applyFont="1" applyFill="1" applyBorder="1" applyAlignment="1">
      <alignment horizontal="center" wrapText="1"/>
    </xf>
    <xf numFmtId="0" fontId="41" fillId="0" borderId="38" xfId="77" applyFont="1" applyFill="1" applyBorder="1" applyAlignment="1">
      <alignment horizontal="center" wrapText="1"/>
    </xf>
    <xf numFmtId="0" fontId="14" fillId="0" borderId="27" xfId="77" applyFont="1" applyFill="1" applyBorder="1" applyAlignment="1">
      <alignment horizontal="center" vertical="center" wrapText="1"/>
    </xf>
    <xf numFmtId="0" fontId="11" fillId="0" borderId="25" xfId="77" applyFont="1" applyFill="1" applyBorder="1" applyAlignment="1">
      <alignment horizontal="right" wrapText="1"/>
    </xf>
    <xf numFmtId="0" fontId="11" fillId="0" borderId="24" xfId="77" applyFont="1" applyFill="1" applyBorder="1" applyAlignment="1">
      <alignment horizontal="right" wrapText="1"/>
    </xf>
    <xf numFmtId="0" fontId="11" fillId="0" borderId="23" xfId="77" applyFont="1" applyFill="1" applyBorder="1" applyAlignment="1">
      <alignment horizontal="right" wrapText="1"/>
    </xf>
    <xf numFmtId="0" fontId="41" fillId="0" borderId="36" xfId="81" applyFont="1" applyFill="1" applyBorder="1" applyAlignment="1">
      <alignment horizontal="center" vertical="center" wrapText="1"/>
    </xf>
    <xf numFmtId="0" fontId="41" fillId="0" borderId="0" xfId="81" applyFont="1" applyFill="1" applyBorder="1" applyAlignment="1">
      <alignment horizontal="center" vertical="center" wrapText="1"/>
    </xf>
    <xf numFmtId="0" fontId="41" fillId="0" borderId="25" xfId="81" applyFont="1" applyFill="1" applyBorder="1" applyAlignment="1">
      <alignment horizontal="center" vertical="center" wrapText="1"/>
    </xf>
    <xf numFmtId="0" fontId="41" fillId="0" borderId="24" xfId="81" applyFont="1" applyFill="1" applyBorder="1" applyAlignment="1">
      <alignment horizontal="center" vertical="center" wrapText="1"/>
    </xf>
    <xf numFmtId="0" fontId="41" fillId="0" borderId="37" xfId="80" applyFont="1" applyFill="1" applyBorder="1" applyAlignment="1">
      <alignment horizontal="center" vertical="center" wrapText="1"/>
    </xf>
    <xf numFmtId="0" fontId="41" fillId="0" borderId="0" xfId="80" applyFont="1" applyFill="1" applyBorder="1" applyAlignment="1">
      <alignment horizontal="center" vertical="center" wrapText="1"/>
    </xf>
    <xf numFmtId="0" fontId="41" fillId="0" borderId="35" xfId="80" applyFont="1" applyFill="1" applyBorder="1" applyAlignment="1">
      <alignment horizontal="center" vertical="center" wrapText="1"/>
    </xf>
    <xf numFmtId="0" fontId="41" fillId="0" borderId="33" xfId="80" applyFont="1" applyFill="1" applyBorder="1" applyAlignment="1">
      <alignment horizontal="center" vertical="center" wrapText="1"/>
    </xf>
    <xf numFmtId="0" fontId="41" fillId="0" borderId="21" xfId="80" applyFont="1" applyFill="1" applyBorder="1" applyAlignment="1">
      <alignment horizontal="center" vertical="center" wrapText="1"/>
    </xf>
    <xf numFmtId="0" fontId="41" fillId="0" borderId="20" xfId="80" applyFont="1" applyFill="1" applyBorder="1" applyAlignment="1">
      <alignment horizontal="center" vertical="center" wrapText="1"/>
    </xf>
    <xf numFmtId="0" fontId="0" fillId="0" borderId="52" xfId="0" applyBorder="1" applyAlignment="1">
      <alignment horizontal="center"/>
    </xf>
    <xf numFmtId="0" fontId="0" fillId="0" borderId="35" xfId="0" applyBorder="1" applyAlignment="1">
      <alignment horizontal="center"/>
    </xf>
    <xf numFmtId="0" fontId="0" fillId="0" borderId="59" xfId="0" applyBorder="1" applyAlignment="1">
      <alignment horizontal="center"/>
    </xf>
    <xf numFmtId="0" fontId="40" fillId="0" borderId="25" xfId="77" applyFont="1" applyFill="1" applyBorder="1" applyAlignment="1">
      <alignment horizontal="right" wrapText="1"/>
    </xf>
    <xf numFmtId="0" fontId="40" fillId="0" borderId="24" xfId="77" applyFont="1" applyFill="1" applyBorder="1" applyAlignment="1">
      <alignment horizontal="right" wrapText="1"/>
    </xf>
    <xf numFmtId="0" fontId="40" fillId="0" borderId="23" xfId="77" applyFont="1" applyFill="1" applyBorder="1" applyAlignment="1">
      <alignment horizontal="right" wrapText="1"/>
    </xf>
    <xf numFmtId="0" fontId="40" fillId="0" borderId="25" xfId="77" applyFont="1" applyFill="1" applyBorder="1" applyAlignment="1">
      <alignment horizontal="center" wrapText="1"/>
    </xf>
    <xf numFmtId="0" fontId="40" fillId="0" borderId="24" xfId="77" applyFont="1" applyFill="1" applyBorder="1" applyAlignment="1">
      <alignment horizontal="center" wrapText="1"/>
    </xf>
    <xf numFmtId="0" fontId="40" fillId="0" borderId="23" xfId="77" applyFont="1" applyFill="1" applyBorder="1" applyAlignment="1">
      <alignment horizontal="center" wrapText="1"/>
    </xf>
    <xf numFmtId="0" fontId="11" fillId="0" borderId="25" xfId="77" applyFont="1" applyFill="1" applyBorder="1" applyAlignment="1">
      <alignment horizontal="center" vertical="top" wrapText="1"/>
    </xf>
    <xf numFmtId="0" fontId="11" fillId="0" borderId="24" xfId="77" applyFont="1" applyFill="1" applyBorder="1" applyAlignment="1">
      <alignment horizontal="center" vertical="top" wrapText="1"/>
    </xf>
    <xf numFmtId="0" fontId="11" fillId="0" borderId="23" xfId="77" applyFont="1" applyFill="1" applyBorder="1" applyAlignment="1">
      <alignment horizontal="center" vertical="top" wrapText="1"/>
    </xf>
    <xf numFmtId="0" fontId="41" fillId="0" borderId="27" xfId="80" applyFont="1" applyFill="1" applyBorder="1" applyAlignment="1">
      <alignment horizontal="center" vertical="center" wrapText="1"/>
    </xf>
    <xf numFmtId="0" fontId="41" fillId="0" borderId="31" xfId="80" applyFont="1" applyFill="1" applyBorder="1" applyAlignment="1">
      <alignment horizontal="center" vertical="center" wrapText="1"/>
    </xf>
    <xf numFmtId="0" fontId="41" fillId="0" borderId="7" xfId="80" applyFont="1" applyFill="1" applyBorder="1" applyAlignment="1">
      <alignment horizontal="center" vertical="center" wrapText="1"/>
    </xf>
    <xf numFmtId="0" fontId="41" fillId="0" borderId="52" xfId="80" applyFont="1" applyFill="1" applyBorder="1" applyAlignment="1">
      <alignment horizontal="center" vertical="center" wrapText="1"/>
    </xf>
    <xf numFmtId="0" fontId="41" fillId="0" borderId="25" xfId="77" applyFont="1" applyFill="1" applyBorder="1" applyAlignment="1">
      <alignment horizontal="right" wrapText="1"/>
    </xf>
    <xf numFmtId="0" fontId="41" fillId="0" borderId="24" xfId="77" applyFont="1" applyFill="1" applyBorder="1" applyAlignment="1">
      <alignment horizontal="right" wrapText="1"/>
    </xf>
    <xf numFmtId="0" fontId="41" fillId="0" borderId="23" xfId="77" applyFont="1" applyFill="1" applyBorder="1" applyAlignment="1">
      <alignment horizontal="right" wrapText="1"/>
    </xf>
    <xf numFmtId="0" fontId="40" fillId="0" borderId="31" xfId="77" applyFont="1" applyFill="1" applyBorder="1" applyAlignment="1">
      <alignment horizontal="right" wrapText="1"/>
    </xf>
    <xf numFmtId="0" fontId="40" fillId="0" borderId="7" xfId="77" applyFont="1" applyFill="1" applyBorder="1" applyAlignment="1">
      <alignment horizontal="right" wrapText="1"/>
    </xf>
    <xf numFmtId="0" fontId="40" fillId="0" borderId="30" xfId="77" applyFont="1" applyFill="1" applyBorder="1" applyAlignment="1">
      <alignment horizontal="right" wrapText="1"/>
    </xf>
    <xf numFmtId="0" fontId="41" fillId="0" borderId="58" xfId="80" applyFont="1" applyFill="1" applyBorder="1" applyAlignment="1">
      <alignment horizontal="center" vertical="center" wrapText="1"/>
    </xf>
    <xf numFmtId="0" fontId="41" fillId="0" borderId="24" xfId="80" applyFont="1" applyFill="1" applyBorder="1" applyAlignment="1">
      <alignment horizontal="center" vertical="center" wrapText="1"/>
    </xf>
    <xf numFmtId="0" fontId="41" fillId="0" borderId="60" xfId="77" applyFont="1" applyFill="1" applyBorder="1" applyAlignment="1">
      <alignment horizontal="center" wrapText="1"/>
    </xf>
    <xf numFmtId="0" fontId="41" fillId="0" borderId="61" xfId="77" applyFont="1" applyFill="1" applyBorder="1" applyAlignment="1">
      <alignment horizontal="center" wrapText="1"/>
    </xf>
    <xf numFmtId="0" fontId="41" fillId="0" borderId="62" xfId="77" applyFont="1" applyFill="1" applyBorder="1" applyAlignment="1">
      <alignment horizontal="center" wrapText="1"/>
    </xf>
    <xf numFmtId="0" fontId="41" fillId="0" borderId="25" xfId="80" applyFont="1" applyFill="1" applyBorder="1" applyAlignment="1">
      <alignment horizontal="center" vertical="center" wrapText="1"/>
    </xf>
    <xf numFmtId="0" fontId="41" fillId="0" borderId="23" xfId="80" applyFont="1" applyFill="1" applyBorder="1" applyAlignment="1">
      <alignment horizontal="center" vertical="center" wrapText="1"/>
    </xf>
    <xf numFmtId="0" fontId="41" fillId="0" borderId="31" xfId="77" applyFont="1" applyFill="1" applyBorder="1" applyAlignment="1">
      <alignment horizontal="center" vertical="center" wrapText="1"/>
    </xf>
    <xf numFmtId="0" fontId="41" fillId="0" borderId="7" xfId="77" applyFont="1" applyFill="1" applyBorder="1" applyAlignment="1">
      <alignment horizontal="center" vertical="center" wrapText="1"/>
    </xf>
    <xf numFmtId="0" fontId="41" fillId="0" borderId="30" xfId="77" applyFont="1" applyFill="1" applyBorder="1" applyAlignment="1">
      <alignment horizontal="center" vertical="center" wrapText="1"/>
    </xf>
    <xf numFmtId="0" fontId="40" fillId="0" borderId="25" xfId="80" applyFont="1" applyFill="1" applyBorder="1" applyAlignment="1">
      <alignment horizontal="right" wrapText="1"/>
    </xf>
    <xf numFmtId="0" fontId="40" fillId="0" borderId="24" xfId="80" applyFont="1" applyFill="1" applyBorder="1" applyAlignment="1">
      <alignment horizontal="right" wrapText="1"/>
    </xf>
    <xf numFmtId="0" fontId="40" fillId="0" borderId="23" xfId="80" applyFont="1" applyFill="1" applyBorder="1" applyAlignment="1">
      <alignment horizontal="right" wrapText="1"/>
    </xf>
    <xf numFmtId="0" fontId="8" fillId="0" borderId="27" xfId="74" applyFont="1" applyBorder="1" applyAlignment="1">
      <alignment horizontal="left" vertical="top" wrapText="1"/>
    </xf>
    <xf numFmtId="4" fontId="8" fillId="0" borderId="27" xfId="74" applyNumberFormat="1" applyFont="1" applyBorder="1" applyAlignment="1">
      <alignment horizontal="right" vertical="top" wrapText="1"/>
    </xf>
    <xf numFmtId="0" fontId="38" fillId="0" borderId="0" xfId="74" applyFont="1" applyAlignment="1">
      <alignment horizontal="left" vertical="top" wrapText="1"/>
    </xf>
    <xf numFmtId="0" fontId="37" fillId="0" borderId="0" xfId="74" applyFont="1" applyAlignment="1">
      <alignment horizontal="center" vertical="center" wrapText="1"/>
    </xf>
    <xf numFmtId="0" fontId="8" fillId="0" borderId="0" xfId="74" applyFont="1" applyAlignment="1">
      <alignment horizontal="center" vertical="center" wrapText="1"/>
    </xf>
    <xf numFmtId="0" fontId="63" fillId="0" borderId="0" xfId="0" applyFont="1" applyBorder="1" applyAlignment="1">
      <alignment horizontal="center"/>
    </xf>
    <xf numFmtId="49" fontId="62" fillId="0" borderId="27" xfId="0" applyNumberFormat="1" applyFont="1" applyFill="1" applyBorder="1" applyAlignment="1" applyProtection="1">
      <alignment horizontal="left" vertical="top" wrapText="1"/>
    </xf>
    <xf numFmtId="49" fontId="55" fillId="0" borderId="27" xfId="0" applyNumberFormat="1" applyFont="1" applyFill="1" applyBorder="1" applyAlignment="1" applyProtection="1">
      <alignment horizontal="left" vertical="top" wrapText="1"/>
    </xf>
    <xf numFmtId="0" fontId="60" fillId="0" borderId="15" xfId="0" applyNumberFormat="1" applyFont="1" applyFill="1" applyBorder="1" applyAlignment="1" applyProtection="1">
      <alignment horizontal="left" vertical="center" wrapText="1"/>
    </xf>
    <xf numFmtId="0" fontId="60" fillId="0" borderId="17" xfId="0" applyNumberFormat="1" applyFont="1" applyFill="1" applyBorder="1" applyAlignment="1" applyProtection="1">
      <alignment horizontal="left" vertical="center" wrapText="1"/>
    </xf>
    <xf numFmtId="0" fontId="60" fillId="0" borderId="18" xfId="0" applyNumberFormat="1" applyFont="1" applyFill="1" applyBorder="1" applyAlignment="1" applyProtection="1">
      <alignment horizontal="left" vertical="center" wrapText="1"/>
    </xf>
    <xf numFmtId="0" fontId="59" fillId="0" borderId="15" xfId="0" applyNumberFormat="1" applyFont="1" applyFill="1" applyBorder="1" applyAlignment="1" applyProtection="1">
      <alignment horizontal="left" vertical="center" wrapText="1"/>
    </xf>
    <xf numFmtId="0" fontId="59" fillId="0" borderId="17" xfId="0" applyNumberFormat="1" applyFont="1" applyFill="1" applyBorder="1" applyAlignment="1" applyProtection="1">
      <alignment horizontal="left" vertical="center" wrapText="1"/>
    </xf>
    <xf numFmtId="0" fontId="59" fillId="0" borderId="18"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center"/>
    </xf>
    <xf numFmtId="0" fontId="8" fillId="0" borderId="0" xfId="0" applyNumberFormat="1" applyFont="1" applyFill="1" applyBorder="1" applyAlignment="1" applyProtection="1">
      <alignment horizontal="center"/>
    </xf>
    <xf numFmtId="0" fontId="55" fillId="0" borderId="7" xfId="0" applyNumberFormat="1" applyFont="1" applyFill="1" applyBorder="1" applyAlignment="1" applyProtection="1">
      <alignment horizontal="center" vertical="top"/>
    </xf>
    <xf numFmtId="0" fontId="57" fillId="0" borderId="19" xfId="0" applyNumberFormat="1" applyFont="1" applyFill="1" applyBorder="1" applyAlignment="1" applyProtection="1">
      <alignment horizontal="left" vertical="center" wrapText="1"/>
    </xf>
    <xf numFmtId="0" fontId="55" fillId="0" borderId="15" xfId="0" applyNumberFormat="1" applyFont="1" applyFill="1" applyBorder="1" applyAlignment="1" applyProtection="1">
      <alignment horizontal="left" vertical="center" wrapText="1"/>
    </xf>
    <xf numFmtId="0" fontId="55" fillId="0" borderId="17" xfId="0" applyNumberFormat="1" applyFont="1" applyFill="1" applyBorder="1" applyAlignment="1" applyProtection="1">
      <alignment horizontal="left" vertical="center" wrapText="1"/>
    </xf>
    <xf numFmtId="0" fontId="55" fillId="0" borderId="18" xfId="0" applyNumberFormat="1" applyFont="1" applyFill="1" applyBorder="1" applyAlignment="1" applyProtection="1">
      <alignment horizontal="left" vertical="center" wrapText="1"/>
    </xf>
    <xf numFmtId="0" fontId="37" fillId="0" borderId="19" xfId="0" applyNumberFormat="1" applyFont="1" applyFill="1" applyBorder="1" applyAlignment="1" applyProtection="1">
      <alignment horizontal="center" vertical="top" wrapText="1"/>
    </xf>
    <xf numFmtId="0" fontId="25" fillId="0" borderId="0" xfId="0" applyFont="1" applyAlignment="1">
      <alignment horizontal="center"/>
    </xf>
    <xf numFmtId="0" fontId="25" fillId="0" borderId="0" xfId="0" applyFont="1" applyAlignment="1">
      <alignment horizontal="center" wrapText="1"/>
    </xf>
    <xf numFmtId="0" fontId="74" fillId="0" borderId="27" xfId="51" applyNumberFormat="1" applyFont="1" applyFill="1" applyBorder="1" applyAlignment="1" applyProtection="1">
      <alignment horizontal="center" vertical="center" textRotation="90" wrapText="1"/>
    </xf>
    <xf numFmtId="0" fontId="69" fillId="0" borderId="0" xfId="51" applyNumberFormat="1" applyFont="1" applyFill="1" applyBorder="1" applyAlignment="1" applyProtection="1">
      <alignment horizontal="center"/>
    </xf>
    <xf numFmtId="0" fontId="71" fillId="0" borderId="19" xfId="51" applyNumberFormat="1" applyFont="1" applyFill="1" applyBorder="1" applyAlignment="1" applyProtection="1">
      <alignment horizontal="center" wrapText="1"/>
    </xf>
    <xf numFmtId="0" fontId="72" fillId="0" borderId="0" xfId="51" applyNumberFormat="1" applyFont="1" applyFill="1" applyBorder="1" applyAlignment="1" applyProtection="1">
      <alignment horizontal="center" vertical="top" wrapText="1"/>
    </xf>
    <xf numFmtId="0" fontId="73" fillId="0" borderId="19" xfId="51" applyNumberFormat="1" applyFont="1" applyFill="1" applyBorder="1" applyAlignment="1" applyProtection="1">
      <alignment horizontal="center" vertical="top" wrapText="1"/>
    </xf>
    <xf numFmtId="0" fontId="74" fillId="0" borderId="27" xfId="51" applyNumberFormat="1" applyFont="1" applyFill="1" applyBorder="1" applyAlignment="1" applyProtection="1">
      <alignment horizontal="center" vertical="center" wrapText="1"/>
    </xf>
    <xf numFmtId="0" fontId="50" fillId="0" borderId="15" xfId="0" applyFont="1" applyFill="1" applyBorder="1" applyAlignment="1">
      <alignment horizontal="left" vertical="top" wrapText="1"/>
    </xf>
    <xf numFmtId="0" fontId="50" fillId="0" borderId="17" xfId="0" applyFont="1" applyFill="1" applyBorder="1" applyAlignment="1">
      <alignment horizontal="left" vertical="top" wrapText="1"/>
    </xf>
    <xf numFmtId="0" fontId="50" fillId="0" borderId="18" xfId="0" applyFont="1" applyFill="1" applyBorder="1" applyAlignment="1">
      <alignment horizontal="left" vertical="top" wrapText="1"/>
    </xf>
    <xf numFmtId="0" fontId="50" fillId="0" borderId="19" xfId="0" applyFont="1" applyBorder="1" applyAlignment="1">
      <alignment horizont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center" wrapText="1"/>
    </xf>
    <xf numFmtId="0" fontId="0" fillId="0" borderId="0" xfId="0" applyAlignment="1">
      <alignment horizontal="center" vertical="top" wrapText="1"/>
    </xf>
    <xf numFmtId="0" fontId="0" fillId="0" borderId="0" xfId="0" applyAlignment="1">
      <alignment horizontal="left" vertical="center" wrapText="1"/>
    </xf>
    <xf numFmtId="0" fontId="25" fillId="0" borderId="0" xfId="0" applyFont="1" applyAlignment="1">
      <alignment horizontal="center" vertical="center"/>
    </xf>
    <xf numFmtId="0" fontId="2" fillId="0" borderId="0" xfId="21" quotePrefix="1" applyFont="1" applyFill="1" applyAlignment="1">
      <alignment horizontal="left" vertical="center" wrapText="1"/>
    </xf>
    <xf numFmtId="0" fontId="3" fillId="0" borderId="0" xfId="15" applyFont="1" applyFill="1" applyAlignment="1">
      <alignment wrapText="1"/>
    </xf>
    <xf numFmtId="0" fontId="3" fillId="0" borderId="0" xfId="20" quotePrefix="1" applyFont="1" applyFill="1" applyAlignment="1">
      <alignment horizontal="left" vertical="center" wrapText="1"/>
    </xf>
    <xf numFmtId="0" fontId="2" fillId="0" borderId="0" xfId="18" quotePrefix="1" applyFont="1" applyFill="1" applyAlignment="1">
      <alignment horizontal="left" vertical="top" wrapText="1"/>
    </xf>
    <xf numFmtId="0" fontId="3" fillId="0" borderId="0" xfId="19" quotePrefix="1" applyFont="1" applyFill="1" applyAlignment="1">
      <alignment horizontal="left" vertical="top" wrapText="1"/>
    </xf>
    <xf numFmtId="0" fontId="2" fillId="0" borderId="0" xfId="16" quotePrefix="1" applyFont="1" applyFill="1" applyAlignment="1">
      <alignment horizontal="center" vertical="center" wrapText="1"/>
    </xf>
    <xf numFmtId="0" fontId="3" fillId="0" borderId="0" xfId="17" quotePrefix="1" applyFont="1" applyFill="1" applyAlignment="1">
      <alignment horizontal="center" vertical="top" wrapText="1"/>
    </xf>
    <xf numFmtId="0" fontId="2" fillId="0" borderId="0" xfId="19" quotePrefix="1" applyFont="1" applyFill="1" applyAlignment="1">
      <alignment horizontal="left" vertical="center" wrapText="1"/>
    </xf>
    <xf numFmtId="0" fontId="2" fillId="0" borderId="0" xfId="15" applyFont="1" applyFill="1" applyAlignment="1">
      <alignment vertical="center" wrapText="1"/>
    </xf>
    <xf numFmtId="0" fontId="3" fillId="0" borderId="16" xfId="23" quotePrefix="1" applyFont="1" applyFill="1" applyBorder="1" applyAlignment="1">
      <alignment horizontal="center" vertical="center" wrapText="1"/>
    </xf>
    <xf numFmtId="0" fontId="3" fillId="0" borderId="21" xfId="23" quotePrefix="1" applyFont="1" applyFill="1" applyBorder="1" applyAlignment="1">
      <alignment horizontal="center" vertical="center" wrapText="1"/>
    </xf>
    <xf numFmtId="0" fontId="3" fillId="0" borderId="20" xfId="23" quotePrefix="1" applyFont="1" applyFill="1" applyBorder="1" applyAlignment="1">
      <alignment horizontal="center" vertical="center" wrapText="1"/>
    </xf>
    <xf numFmtId="0" fontId="17" fillId="0" borderId="0" xfId="0" applyFont="1" applyFill="1" applyAlignment="1">
      <alignment horizontal="center" wrapText="1"/>
    </xf>
    <xf numFmtId="4" fontId="3" fillId="0" borderId="6" xfId="43" applyNumberFormat="1" applyFont="1" applyFill="1" applyBorder="1" applyAlignment="1">
      <alignment horizontal="center" vertical="center" wrapText="1"/>
    </xf>
    <xf numFmtId="4" fontId="3" fillId="0" borderId="5" xfId="43" applyNumberFormat="1" applyFont="1" applyFill="1" applyBorder="1" applyAlignment="1">
      <alignment horizontal="center" vertical="center" wrapText="1"/>
    </xf>
    <xf numFmtId="0" fontId="3" fillId="4" borderId="2" xfId="22" quotePrefix="1"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6" xfId="23" quotePrefix="1" applyFont="1" applyFill="1" applyBorder="1" applyAlignment="1">
      <alignment horizontal="center" vertical="center" wrapText="1"/>
    </xf>
    <xf numFmtId="0" fontId="3" fillId="0" borderId="5" xfId="23" quotePrefix="1" applyFont="1" applyFill="1" applyBorder="1" applyAlignment="1">
      <alignment horizontal="center" vertical="center" wrapText="1"/>
    </xf>
  </cellXfs>
  <cellStyles count="92">
    <cellStyle name="S10 5" xfId="23"/>
    <cellStyle name="S12 4" xfId="24"/>
    <cellStyle name="S13 2" xfId="1"/>
    <cellStyle name="S2 6" xfId="20"/>
    <cellStyle name="S3 3" xfId="16"/>
    <cellStyle name="S4 4" xfId="17"/>
    <cellStyle name="S5 4" xfId="18"/>
    <cellStyle name="S6 4" xfId="19"/>
    <cellStyle name="S7 3" xfId="21"/>
    <cellStyle name="S8 3" xfId="22"/>
    <cellStyle name="Денежный 2 2" xfId="39"/>
    <cellStyle name="Итоги" xfId="7"/>
    <cellStyle name="ЛокСмета" xfId="6"/>
    <cellStyle name="Обычный" xfId="0" builtinId="0"/>
    <cellStyle name="Обычный 10" xfId="69"/>
    <cellStyle name="Обычный 10 12" xfId="47"/>
    <cellStyle name="Обычный 10 12 2" xfId="59"/>
    <cellStyle name="Обычный 100" xfId="10"/>
    <cellStyle name="Обычный 11" xfId="70"/>
    <cellStyle name="Обычный 12" xfId="71"/>
    <cellStyle name="Обычный 13" xfId="72"/>
    <cellStyle name="Обычный 13 4 2" xfId="49"/>
    <cellStyle name="Обычный 14" xfId="73"/>
    <cellStyle name="Обычный 140 3" xfId="12"/>
    <cellStyle name="Обычный 15" xfId="2"/>
    <cellStyle name="Обычный 16" xfId="74"/>
    <cellStyle name="Обычный 17" xfId="75"/>
    <cellStyle name="Обычный 18" xfId="15"/>
    <cellStyle name="Обычный 19" xfId="76"/>
    <cellStyle name="Обычный 2" xfId="3"/>
    <cellStyle name="Обычный 2 2" xfId="4"/>
    <cellStyle name="Обычный 2 2 2" xfId="51"/>
    <cellStyle name="Обычный 2 2 2 2" xfId="45"/>
    <cellStyle name="Обычный 2 2 3" xfId="65"/>
    <cellStyle name="Обычный 2 2 4" xfId="33"/>
    <cellStyle name="Обычный 2 3" xfId="36"/>
    <cellStyle name="Обычный 2 3 2" xfId="53"/>
    <cellStyle name="Обычный 2 3 3" xfId="88"/>
    <cellStyle name="Обычный 20" xfId="89"/>
    <cellStyle name="Обычный 21" xfId="90"/>
    <cellStyle name="Обычный 22" xfId="91"/>
    <cellStyle name="Обычный 25 2" xfId="11"/>
    <cellStyle name="Обычный 27" xfId="35"/>
    <cellStyle name="Обычный 28 4" xfId="30"/>
    <cellStyle name="Обычный 28 4 2" xfId="37"/>
    <cellStyle name="Обычный 3" xfId="14"/>
    <cellStyle name="Обычный 3 2" xfId="41"/>
    <cellStyle name="Обычный 3 2 3" xfId="44"/>
    <cellStyle name="Обычный 3 3" xfId="27"/>
    <cellStyle name="Обычный 3 4" xfId="52"/>
    <cellStyle name="Обычный 32" xfId="38"/>
    <cellStyle name="Обычный 35" xfId="48"/>
    <cellStyle name="Обычный 4" xfId="13"/>
    <cellStyle name="Обычный 4 2" xfId="82"/>
    <cellStyle name="Обычный 40" xfId="46"/>
    <cellStyle name="Обычный 41" xfId="60"/>
    <cellStyle name="Обычный 49" xfId="9"/>
    <cellStyle name="Обычный 5" xfId="50"/>
    <cellStyle name="Обычный 6" xfId="54"/>
    <cellStyle name="Обычный 7" xfId="56"/>
    <cellStyle name="Обычный 8" xfId="62"/>
    <cellStyle name="Обычный 8 2" xfId="68"/>
    <cellStyle name="Обычный 9" xfId="66"/>
    <cellStyle name="Обычный_Смета  бак и  ГЕЛЬМИТОЛОГИЧЕСКИЙ АНАЛИЗ ПОЧВЫ" xfId="87"/>
    <cellStyle name="Обычный_Смета на донные отложения" xfId="81"/>
    <cellStyle name="Обычный_Смета- на подземные воды  и скважины" xfId="86"/>
    <cellStyle name="Обычный_Смета-4 на мониторинг почва хим.состав СТ" xfId="84"/>
    <cellStyle name="Обычный_Смета-7 на мониторинг вохдуха" xfId="83"/>
    <cellStyle name="Обычный_Смета-8 на поверхностные  воды от 08.04.2010г." xfId="80"/>
    <cellStyle name="Обычный_Смета-9 на донные отложения от 08.04.2010 г." xfId="78"/>
    <cellStyle name="Обычный_Сметана поверхностные  воды" xfId="77"/>
    <cellStyle name="ПИР" xfId="40"/>
    <cellStyle name="ПИР 2" xfId="55"/>
    <cellStyle name="Процентный 10" xfId="34"/>
    <cellStyle name="Процентный 2" xfId="26"/>
    <cellStyle name="Процентный 2 2" xfId="28"/>
    <cellStyle name="Титул" xfId="5"/>
    <cellStyle name="Финансовый [0] 2 2" xfId="29"/>
    <cellStyle name="Финансовый 12" xfId="67"/>
    <cellStyle name="Финансовый 13" xfId="43"/>
    <cellStyle name="Финансовый 2" xfId="25"/>
    <cellStyle name="Финансовый 2 2" xfId="58"/>
    <cellStyle name="Финансовый 3" xfId="42"/>
    <cellStyle name="Финансовый 3 4" xfId="31"/>
    <cellStyle name="Финансовый 4" xfId="57"/>
    <cellStyle name="Финансовый 5" xfId="61"/>
    <cellStyle name="Финансовый 6" xfId="63"/>
    <cellStyle name="Финансовый 7 2" xfId="32"/>
    <cellStyle name="Финансовый 8" xfId="64"/>
    <cellStyle name="Финансовый_Смета на донные отложения" xfId="85"/>
    <cellStyle name="Финансовый_Сметана поверхностные  воды" xfId="79"/>
    <cellStyle name="Хвост"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lGO@N7xUE1JJ.OXzWNlaa"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37</xdr:row>
      <xdr:rowOff>0</xdr:rowOff>
    </xdr:from>
    <xdr:to>
      <xdr:col>1</xdr:col>
      <xdr:colOff>304800</xdr:colOff>
      <xdr:row>37</xdr:row>
      <xdr:rowOff>190500</xdr:rowOff>
    </xdr:to>
    <xdr:sp macro="" textlink="">
      <xdr:nvSpPr>
        <xdr:cNvPr id="2" name="AutoShape 9" descr="https://www.garant.ru/files/0/6/1373660/pict0-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3" name="AutoShape 10" descr="https://www.garant.ru/files/0/6/1373660/pict1-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4" name="AutoShape 11" descr="https://www.garant.ru/files/0/6/1373660/pict2-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37</xdr:row>
      <xdr:rowOff>0</xdr:rowOff>
    </xdr:from>
    <xdr:ext cx="304800" cy="190500"/>
    <xdr:sp macro="" textlink="">
      <xdr:nvSpPr>
        <xdr:cNvPr id="8" name="AutoShape 11" descr="https://www.garant.ru/files/0/6/1373660/pict2-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37</xdr:row>
      <xdr:rowOff>0</xdr:rowOff>
    </xdr:from>
    <xdr:to>
      <xdr:col>1</xdr:col>
      <xdr:colOff>304800</xdr:colOff>
      <xdr:row>37</xdr:row>
      <xdr:rowOff>190500</xdr:rowOff>
    </xdr:to>
    <xdr:sp macro="" textlink="">
      <xdr:nvSpPr>
        <xdr:cNvPr id="9" name="AutoShape 9" descr="https://www.garant.ru/files/0/6/1373660/pict0-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10" name="AutoShape 10" descr="https://www.garant.ru/files/0/6/1373660/pict1-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11"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37</xdr:row>
      <xdr:rowOff>0</xdr:rowOff>
    </xdr:from>
    <xdr:ext cx="304800" cy="190500"/>
    <xdr:sp macro="" textlink="">
      <xdr:nvSpPr>
        <xdr:cNvPr id="15"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37</xdr:row>
      <xdr:rowOff>0</xdr:rowOff>
    </xdr:from>
    <xdr:to>
      <xdr:col>1</xdr:col>
      <xdr:colOff>304800</xdr:colOff>
      <xdr:row>37</xdr:row>
      <xdr:rowOff>190500</xdr:rowOff>
    </xdr:to>
    <xdr:sp macro="" textlink="">
      <xdr:nvSpPr>
        <xdr:cNvPr id="16" name="AutoShape 9" descr="https://www.garant.ru/files/0/6/1373660/pict0-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17" name="AutoShape 10" descr="https://www.garant.ru/files/0/6/1373660/pict1-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18"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37</xdr:row>
      <xdr:rowOff>0</xdr:rowOff>
    </xdr:from>
    <xdr:ext cx="304800" cy="190500"/>
    <xdr:sp macro="" textlink="">
      <xdr:nvSpPr>
        <xdr:cNvPr id="22"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37</xdr:row>
      <xdr:rowOff>0</xdr:rowOff>
    </xdr:from>
    <xdr:to>
      <xdr:col>1</xdr:col>
      <xdr:colOff>304800</xdr:colOff>
      <xdr:row>37</xdr:row>
      <xdr:rowOff>190500</xdr:rowOff>
    </xdr:to>
    <xdr:sp macro="" textlink="">
      <xdr:nvSpPr>
        <xdr:cNvPr id="23"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24"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25"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37</xdr:row>
      <xdr:rowOff>0</xdr:rowOff>
    </xdr:from>
    <xdr:ext cx="304800" cy="190500"/>
    <xdr:sp macro="" textlink="">
      <xdr:nvSpPr>
        <xdr:cNvPr id="29"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37</xdr:row>
      <xdr:rowOff>0</xdr:rowOff>
    </xdr:from>
    <xdr:to>
      <xdr:col>1</xdr:col>
      <xdr:colOff>304800</xdr:colOff>
      <xdr:row>37</xdr:row>
      <xdr:rowOff>190500</xdr:rowOff>
    </xdr:to>
    <xdr:sp macro="" textlink="">
      <xdr:nvSpPr>
        <xdr:cNvPr id="30"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31"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32"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37</xdr:row>
      <xdr:rowOff>0</xdr:rowOff>
    </xdr:from>
    <xdr:ext cx="304800" cy="190500"/>
    <xdr:sp macro="" textlink="">
      <xdr:nvSpPr>
        <xdr:cNvPr id="36"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37</xdr:row>
      <xdr:rowOff>0</xdr:rowOff>
    </xdr:from>
    <xdr:to>
      <xdr:col>1</xdr:col>
      <xdr:colOff>304800</xdr:colOff>
      <xdr:row>37</xdr:row>
      <xdr:rowOff>190500</xdr:rowOff>
    </xdr:to>
    <xdr:sp macro="" textlink="">
      <xdr:nvSpPr>
        <xdr:cNvPr id="37"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38"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39"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37</xdr:row>
      <xdr:rowOff>0</xdr:rowOff>
    </xdr:from>
    <xdr:ext cx="304800" cy="190500"/>
    <xdr:sp macro="" textlink="">
      <xdr:nvSpPr>
        <xdr:cNvPr id="43"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37</xdr:row>
      <xdr:rowOff>0</xdr:rowOff>
    </xdr:from>
    <xdr:to>
      <xdr:col>1</xdr:col>
      <xdr:colOff>304800</xdr:colOff>
      <xdr:row>37</xdr:row>
      <xdr:rowOff>190500</xdr:rowOff>
    </xdr:to>
    <xdr:sp macro="" textlink="">
      <xdr:nvSpPr>
        <xdr:cNvPr id="44"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45"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46"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37</xdr:row>
      <xdr:rowOff>0</xdr:rowOff>
    </xdr:from>
    <xdr:ext cx="304800" cy="190500"/>
    <xdr:sp macro="" textlink="">
      <xdr:nvSpPr>
        <xdr:cNvPr id="50"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37</xdr:row>
      <xdr:rowOff>0</xdr:rowOff>
    </xdr:from>
    <xdr:to>
      <xdr:col>1</xdr:col>
      <xdr:colOff>304800</xdr:colOff>
      <xdr:row>37</xdr:row>
      <xdr:rowOff>190500</xdr:rowOff>
    </xdr:to>
    <xdr:sp macro="" textlink="">
      <xdr:nvSpPr>
        <xdr:cNvPr id="51"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52"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53"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37</xdr:row>
      <xdr:rowOff>0</xdr:rowOff>
    </xdr:from>
    <xdr:ext cx="304800" cy="190500"/>
    <xdr:sp macro="" textlink="">
      <xdr:nvSpPr>
        <xdr:cNvPr id="5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37</xdr:row>
      <xdr:rowOff>0</xdr:rowOff>
    </xdr:from>
    <xdr:to>
      <xdr:col>1</xdr:col>
      <xdr:colOff>304800</xdr:colOff>
      <xdr:row>37</xdr:row>
      <xdr:rowOff>190500</xdr:rowOff>
    </xdr:to>
    <xdr:sp macro="" textlink="">
      <xdr:nvSpPr>
        <xdr:cNvPr id="58"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59"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60"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37</xdr:row>
      <xdr:rowOff>0</xdr:rowOff>
    </xdr:from>
    <xdr:ext cx="304800" cy="190500"/>
    <xdr:sp macro="" textlink="">
      <xdr:nvSpPr>
        <xdr:cNvPr id="64"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37</xdr:row>
      <xdr:rowOff>0</xdr:rowOff>
    </xdr:from>
    <xdr:to>
      <xdr:col>1</xdr:col>
      <xdr:colOff>304800</xdr:colOff>
      <xdr:row>37</xdr:row>
      <xdr:rowOff>190500</xdr:rowOff>
    </xdr:to>
    <xdr:sp macro="" textlink="">
      <xdr:nvSpPr>
        <xdr:cNvPr id="65"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66"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6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37</xdr:row>
      <xdr:rowOff>0</xdr:rowOff>
    </xdr:from>
    <xdr:ext cx="304800" cy="190500"/>
    <xdr:sp macro="" textlink="">
      <xdr:nvSpPr>
        <xdr:cNvPr id="71"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37</xdr:row>
      <xdr:rowOff>0</xdr:rowOff>
    </xdr:from>
    <xdr:to>
      <xdr:col>1</xdr:col>
      <xdr:colOff>304800</xdr:colOff>
      <xdr:row>37</xdr:row>
      <xdr:rowOff>190500</xdr:rowOff>
    </xdr:to>
    <xdr:sp macro="" textlink="">
      <xdr:nvSpPr>
        <xdr:cNvPr id="72"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73"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74"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37</xdr:row>
      <xdr:rowOff>0</xdr:rowOff>
    </xdr:from>
    <xdr:ext cx="304800" cy="190500"/>
    <xdr:sp macro="" textlink="">
      <xdr:nvSpPr>
        <xdr:cNvPr id="78"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37</xdr:row>
      <xdr:rowOff>0</xdr:rowOff>
    </xdr:from>
    <xdr:to>
      <xdr:col>1</xdr:col>
      <xdr:colOff>304800</xdr:colOff>
      <xdr:row>37</xdr:row>
      <xdr:rowOff>190500</xdr:rowOff>
    </xdr:to>
    <xdr:sp macro="" textlink="">
      <xdr:nvSpPr>
        <xdr:cNvPr id="79"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80"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81"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37</xdr:row>
      <xdr:rowOff>0</xdr:rowOff>
    </xdr:from>
    <xdr:ext cx="304800" cy="190500"/>
    <xdr:sp macro="" textlink="">
      <xdr:nvSpPr>
        <xdr:cNvPr id="85"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37</xdr:row>
      <xdr:rowOff>0</xdr:rowOff>
    </xdr:from>
    <xdr:to>
      <xdr:col>1</xdr:col>
      <xdr:colOff>304800</xdr:colOff>
      <xdr:row>37</xdr:row>
      <xdr:rowOff>190500</xdr:rowOff>
    </xdr:to>
    <xdr:sp macro="" textlink="">
      <xdr:nvSpPr>
        <xdr:cNvPr id="86"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87"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190500</xdr:rowOff>
    </xdr:to>
    <xdr:sp macro="" textlink="">
      <xdr:nvSpPr>
        <xdr:cNvPr id="88"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37</xdr:row>
      <xdr:rowOff>0</xdr:rowOff>
    </xdr:from>
    <xdr:ext cx="304800" cy="190500"/>
    <xdr:sp macro="" textlink="">
      <xdr:nvSpPr>
        <xdr:cNvPr id="92"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37</xdr:row>
      <xdr:rowOff>0</xdr:rowOff>
    </xdr:from>
    <xdr:to>
      <xdr:col>1</xdr:col>
      <xdr:colOff>304800</xdr:colOff>
      <xdr:row>37</xdr:row>
      <xdr:rowOff>190500</xdr:rowOff>
    </xdr:to>
    <xdr:sp macro="" textlink="">
      <xdr:nvSpPr>
        <xdr:cNvPr id="93"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10</xdr:row>
      <xdr:rowOff>0</xdr:rowOff>
    </xdr:from>
    <xdr:to>
      <xdr:col>32</xdr:col>
      <xdr:colOff>400050</xdr:colOff>
      <xdr:row>18</xdr:row>
      <xdr:rowOff>1400175</xdr:rowOff>
    </xdr:to>
    <xdr:pic>
      <xdr:nvPicPr>
        <xdr:cNvPr id="2" name="Рисунок 1" descr="cid:ilGO@N7xUE1JJ.OXzWNlaa"/>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3382625" y="2895600"/>
          <a:ext cx="10763250" cy="602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25</xdr:col>
      <xdr:colOff>600075</xdr:colOff>
      <xdr:row>50</xdr:row>
      <xdr:rowOff>133350</xdr:rowOff>
    </xdr:to>
    <xdr:pic>
      <xdr:nvPicPr>
        <xdr:cNvPr id="3" name="Рисунок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82625" y="9124950"/>
          <a:ext cx="6696075" cy="585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14</xdr:col>
      <xdr:colOff>303375</xdr:colOff>
      <xdr:row>59</xdr:row>
      <xdr:rowOff>65715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1943100"/>
          <a:ext cx="11400000" cy="76761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1086;&#1073;&#1097;&#1072;&#1103;%20&#1087;&#1072;&#1087;&#1082;&#1072;\&#1070;&#1089;&#1091;&#1087;&#1086;&#1074;\&#1057;&#1052;&#1045;&#1058;&#1040;\WORK\&#1086;&#1073;&#1098;&#1077;&#1084;&#1099;%20&#1088;&#1072;&#1073;&#1086;&#1090;\&#1056;&#1072;&#1079;&#1085;&#1086;&#1077;\Zarplata_1\&#1044;&#1077;&#1085;&#1080;&#1089;\&#1089;&#1086;&#1093;&#1088;&#1072;&#1085;&#1080;&#1090;&#11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0opr\Smety\&#1050;&#1086;&#1085;&#1102;&#1096;&#1077;&#1085;&#1085;&#1072;&#1103;%20&#1091;&#1083;&#1080;&#1094;&#1072;\Smeta-tonne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0opr\Smety\Smety\&#1050;&#1086;&#1085;&#1102;&#1096;&#1077;&#1085;&#1085;&#1072;&#1103;%20&#1091;&#1083;&#1080;&#1094;&#1072;\Smeta-tonne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tatarinov\AppData\Roaming\Microsoft\AddIns\sumprop.xla"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044;&#1056;&#1048;/&#1057;&#1084;&#1077;&#1090;&#1085;&#1099;&#1081;/&#1053;&#1052;&#1062;/3.%20&#1069;&#1083;&#1100;&#1073;&#1088;&#1091;&#1089;/&#1050;&#1044;%20&#1085;&#1072;%20&#1083;&#1077;&#1076;&#1085;&#1080;&#1082;&#1077;/&#1043;&#1058;&#1052;%20&#1051;&#1077;&#1076;&#108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a\2007_&#1076;&#1086;&#1075;\!&#1044;&#1086;&#1075;&#1086;&#1074;&#1086;&#1088;&#1099;%20&#1085;&#1072;%202007%20&#1075;&#1086;&#1076;\&#1050;&#1091;&#1081;&#1073;_&#1046;&#1044;_&#1055;&#1048;&#1056;_&#1055;&#1054;\&#1040;&#1043;&#1043;_%20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KUMENT\DOG5\5176-1\Smeta-5-176-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Zarplata_1\&#1044;&#1077;&#1085;&#1080;&#1089;\&#1089;&#1086;&#1093;&#1088;&#1072;&#1085;&#1080;&#1090;&#11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1044;&#1086;&#1082;&#1091;&#1084;&#1077;&#1085;&#1090;&#1099;-&#1087;&#1086;%20&#1086;&#1073;&#1098;&#1077;&#1082;&#1090;&#1072;&#1084;\&#1050;&#1041;&#1044;&#1061;\&#1044;&#1080;&#1088;&#1077;&#1082;&#1094;&#1080;&#1103;%20&#1090;&#1088;&#1072;&#1085;&#1089;&#1087;%20&#1089;&#1090;&#1088;-&#1074;&#1072;\&#1056;&#1072;&#1079;&#1074;&#1103;&#1079;&#1082;&#1072;%20&#1085;&#1072;%20&#1046;&#1091;&#1082;&#1086;&#1074;&#1072;\&#1055;&#1088;&#1086;&#1077;&#1082;&#1090;\1%20&#1086;&#1095;&#1077;&#1088;&#1077;&#1076;&#1100;%20-%20&#1091;&#1083;.&#1052;&#1086;&#1088;.%20&#1087;&#1077;&#1093;&#1086;&#1090;&#1099;%20&#1089;%20&#1084;&#1086;&#1089;&#1090;&#1086;&#1084;\&#1057;&#1084;&#1077;&#1090;&#1099;%20&#1052;&#1046;%201-&#1103;%20&#1086;&#1095;&#1077;&#1088;&#1077;&#1076;&#1100;%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OKUMENT\DOG5\5-348\Smety\&#1057;&#1077;&#1089;&#1090;&#1088;&#1086;&#1088;&#1077;&#1094;&#1082;\Smeta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0opr\Smety\Smety\&#1057;&#1077;&#1089;&#1090;&#1088;&#1086;&#1088;&#1077;&#1094;&#1082;\Smeta-tonne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44;&#1086;&#1082;&#1091;&#1084;&#1077;&#1085;&#1090;&#1099;-&#1087;&#1086;%20&#1086;&#1073;&#1098;&#1077;&#1082;&#1090;&#1072;&#1084;\&#1050;&#1041;&#1044;&#1061;\&#1044;&#1080;&#1088;&#1077;&#1082;&#1094;&#1080;&#1103;%20&#1090;&#1088;&#1072;&#1085;&#1089;&#1087;%20&#1089;&#1090;&#1088;-&#1074;&#1072;\&#1057;&#1085;&#1077;&#1075;\&#1057;&#1084;&#1077;&#1090;&#1072;%20&#1089;&#1085;&#1077;&#1075;&#1086;&#1087;&#1083;&#1072;&#1074;&#1080;&#1083;&#1100;&#1085;&#1099;&#1081;%20&#1087;&#1091;&#1085;&#1082;&#1090;,%20&#1056;&#1080;&#1078;&#1089;&#1082;&#1080;&#1081;,%20190105%2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0opr\Smety\Smety\&#1057;&#1077;&#1089;&#1090;&#1088;&#1086;&#1088;&#1077;&#1094;&#1082;\Smeta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опография"/>
      <sheetName val="геология"/>
      <sheetName val="гидрология"/>
      <sheetName val="эл.химз."/>
      <sheetName val="геология "/>
      <sheetName val="свод"/>
      <sheetName val="Смета"/>
      <sheetName val="Лист2"/>
      <sheetName val="СметаСводная снег"/>
      <sheetName val="93-110"/>
      <sheetName val="Лист опроса"/>
      <sheetName val="к.84-к.83"/>
      <sheetName val="Шкаф"/>
      <sheetName val="Коэфф1."/>
      <sheetName val="Прайс лист"/>
      <sheetName val="Исполнение _освоение по закупк_"/>
      <sheetName val="Исполнение для Ускова"/>
      <sheetName val="Выборка по отсыпкам"/>
      <sheetName val="ИП _отсыпки_"/>
      <sheetName val="ИП _отсыпки_ФОТ_диз_т_"/>
      <sheetName val="ИП _отсыпки_ _выборка_"/>
      <sheetName val="Исполнение по оборуд_"/>
      <sheetName val="Исполнение по оборуд_ _2_"/>
      <sheetName val="Исполнение сжато"/>
      <sheetName val="Форма для бурения"/>
      <sheetName val="Форма для КС"/>
      <sheetName val="Форма для ГР"/>
      <sheetName val="Корректировка"/>
      <sheetName val="Смета 1свод"/>
      <sheetName val="см8"/>
      <sheetName val="Данные для расчёта сметы"/>
      <sheetName val="Зап-3- СЦБ"/>
      <sheetName val="СМЕТА проект"/>
      <sheetName val="ТИТУЛ"/>
      <sheetName val="6.14"/>
      <sheetName val="ОБЩЕСТВА"/>
      <sheetName val="6.3.1"/>
      <sheetName val="6.20"/>
      <sheetName val="6.4.1"/>
      <sheetName val="ПРОГНОЗ_1"/>
      <sheetName val="Лист1"/>
      <sheetName val="6_11_1  сторонние"/>
      <sheetName val="установки"/>
      <sheetName val="8.14 КР (списание)ОПСТИКР"/>
      <sheetName val="Стр1"/>
      <sheetName val="Список"/>
      <sheetName val="эл_химз_"/>
      <sheetName val="геология_"/>
      <sheetName val="6_14"/>
      <sheetName val="6_3_1"/>
      <sheetName val="6_20"/>
      <sheetName val="6_4_1"/>
      <sheetName val="6_11_1__сторонние"/>
      <sheetName val="8_14_КР_(списание)ОПСТИКР"/>
      <sheetName val="Списки"/>
      <sheetName val="топо"/>
      <sheetName val="6.14_КР"/>
      <sheetName val="Прилож"/>
      <sheetName val="ПДР"/>
      <sheetName val="DATA"/>
      <sheetName val="вариант"/>
      <sheetName val="Обновление"/>
      <sheetName val="Цена"/>
      <sheetName val="Product"/>
      <sheetName val="Summary"/>
      <sheetName val="Пример расчета"/>
      <sheetName val="свод 2"/>
      <sheetName val="Табл38-7"/>
      <sheetName val="все"/>
      <sheetName val="информация"/>
      <sheetName val="Кредиты"/>
      <sheetName val="СметаСводная Рыб"/>
      <sheetName val="Нормы"/>
      <sheetName val="13.1"/>
      <sheetName val="Текущие цены"/>
      <sheetName val="рабочий"/>
      <sheetName val="окраска"/>
      <sheetName val="отчет эл_эн  2000"/>
      <sheetName val="Счет-Фактура"/>
      <sheetName val="График"/>
      <sheetName val="2002(v2)"/>
      <sheetName val="справ."/>
      <sheetName val="справ_"/>
      <sheetName val="2002_v2_"/>
      <sheetName val="ЭХЗ"/>
      <sheetName val="РасчетКомандир1"/>
      <sheetName val="РасчетКомандир2"/>
      <sheetName val="Коэфф"/>
      <sheetName val="Смета2 проект. раб."/>
      <sheetName val="Суточная"/>
      <sheetName val="СС"/>
      <sheetName val="Смета 1"/>
      <sheetName val="РП"/>
      <sheetName val="данные"/>
      <sheetName val="Баланс"/>
      <sheetName val="Production and Spend"/>
      <sheetName val="sapactivexlhiddensheet"/>
      <sheetName val="OCK1"/>
      <sheetName val="1.3"/>
      <sheetName val="ИГ1"/>
      <sheetName val="К.рын"/>
      <sheetName val="Сводная смета"/>
      <sheetName val="Землеотвод"/>
      <sheetName val="Смета2_проект__раб_"/>
      <sheetName val="Зап-3-_СЦБ"/>
      <sheetName val="свод_2"/>
      <sheetName val="Данные_для_расчёта_сметы"/>
      <sheetName val="Смета_1"/>
      <sheetName val="свод 3"/>
      <sheetName val="шаблон"/>
      <sheetName val="1"/>
      <sheetName val="Пояснение "/>
      <sheetName val="list"/>
      <sheetName val="См 1 наруж.водопровод"/>
      <sheetName val="Восстановл_Лист7"/>
      <sheetName val="Восстановл_Лист13"/>
      <sheetName val="Восстановл_Лист15"/>
      <sheetName val="Восстановл_Лист19"/>
      <sheetName val="Восстановл_Лист44"/>
      <sheetName val="Восстановл_Лист6"/>
      <sheetName val="Восстановл_Лист4"/>
      <sheetName val="Восстановл_Лист45"/>
      <sheetName val="Восстановл_Лист9"/>
      <sheetName val="Восстановл_Лист10"/>
      <sheetName val="Восстановл_Лист46"/>
      <sheetName val="Восстановл_Лист11"/>
      <sheetName val="Восстановл_Лист47"/>
      <sheetName val="Восстановл_Лист20"/>
      <sheetName val="Восстановл_Лист49"/>
      <sheetName val="Восстановл_Лист21"/>
      <sheetName val="сводная"/>
      <sheetName val="Разработка проекта"/>
      <sheetName val="КП НовоКов"/>
      <sheetName val="ПДР ООО &quot;Юкос ФБЦ&quot;"/>
      <sheetName val="Прибыль опл"/>
      <sheetName val="сохранить"/>
      <sheetName val="3.1"/>
      <sheetName val="Коммерческие расходы"/>
      <sheetName val="исходные данные"/>
      <sheetName val="расчетные таблицы"/>
      <sheetName val="5ОборРабМест(HP)"/>
      <sheetName val="СметаСводная Колпино"/>
      <sheetName val="HP и оргтехника"/>
      <sheetName val="оборудован"/>
      <sheetName val="СметаСводная"/>
      <sheetName val="СметаСводная павильон"/>
      <sheetName val="Перечень ИУ"/>
      <sheetName val="Упр"/>
      <sheetName val="НМА"/>
      <sheetName val="оператор"/>
      <sheetName val="исх_данные"/>
      <sheetName val="ст ГТМ"/>
      <sheetName val="свод1"/>
      <sheetName val="таблица руководству"/>
      <sheetName val="Суточная добыча за неделю"/>
      <sheetName val="Хаттон 90.90 Femco"/>
      <sheetName val="ИД1"/>
      <sheetName val="Таблица 4 АСУТП"/>
      <sheetName val="Смета 5.2. Кусты25,29,31,65"/>
      <sheetName val="свод общ"/>
      <sheetName val="смета 2 проект. работы"/>
      <sheetName val="Хар_"/>
      <sheetName val="С1_"/>
      <sheetName val="СтрЗапасов (2)"/>
      <sheetName val="Norm"/>
      <sheetName val="НМ расчеты"/>
      <sheetName val="Переменные и константы"/>
      <sheetName val="Вспомогательный"/>
      <sheetName val="Calc"/>
      <sheetName val="ID"/>
      <sheetName val="История"/>
      <sheetName val="Р1"/>
      <sheetName val="Параметры_i"/>
      <sheetName val="Таблица 2"/>
      <sheetName val="справка"/>
      <sheetName val="суб.подряд"/>
      <sheetName val="ПСБ - ОЭ"/>
      <sheetName val="См3 СЦБ-зап"/>
      <sheetName val="Ачинский НПЗ"/>
      <sheetName val="D"/>
      <sheetName val="ИД"/>
      <sheetName val="СметаСводная 1 оч"/>
      <sheetName val="Итог"/>
      <sheetName val="3.1 ТХ"/>
      <sheetName val="ЗП_ЮНГ"/>
      <sheetName val="РН-ПНГ"/>
      <sheetName val="СС замеч с ответами"/>
      <sheetName val="total"/>
      <sheetName val="Комплектация"/>
      <sheetName val="трубы"/>
      <sheetName val="СМР"/>
      <sheetName val="дороги"/>
      <sheetName val="начало"/>
      <sheetName val="Main"/>
      <sheetName val="УП _2004"/>
      <sheetName val="Курсы"/>
      <sheetName val="3.2"/>
      <sheetName val="3.3"/>
      <sheetName val="Р2.1"/>
      <sheetName val="Р2.2"/>
      <sheetName val="Р3"/>
      <sheetName val="Р4"/>
      <sheetName val="Р5"/>
      <sheetName val="Р7"/>
      <sheetName val="Удельные(проф.)"/>
      <sheetName val="Спецификация"/>
      <sheetName val="Константы и результаты"/>
      <sheetName val="Лизинг"/>
      <sheetName val="расчет №3"/>
      <sheetName val="в работу"/>
      <sheetName val="1ПС"/>
      <sheetName val="20_Кредиты краткосрочные"/>
      <sheetName val="№5 СУБ Инж защ"/>
      <sheetName val="Амур ДОН"/>
      <sheetName val="3.5"/>
      <sheetName val="Смета 2"/>
      <sheetName val="Январь"/>
      <sheetName val="ИДвалка"/>
      <sheetName val="ц_1991"/>
      <sheetName val="ДКС"/>
      <sheetName val="Етыпур"/>
      <sheetName val="НВГПЗ"/>
      <sheetName val="НГКХ"/>
      <sheetName val="ПСП"/>
      <sheetName val="Тобольск"/>
      <sheetName val="УПН"/>
      <sheetName val="ПСПавтодор"/>
      <sheetName val="Лист3"/>
      <sheetName val="часы"/>
      <sheetName val="АЧ"/>
      <sheetName val="кп"/>
      <sheetName val="Общая часть"/>
      <sheetName val="Табл.5"/>
      <sheetName val="Табл.2"/>
      <sheetName val="Исх.данные"/>
      <sheetName val="Input"/>
      <sheetName val="Calculation"/>
      <sheetName val="MAIN_PARAMETERS"/>
      <sheetName val="RSOILBAL"/>
      <sheetName val="ВКЕ"/>
      <sheetName val="rvldmrv"/>
      <sheetName val="Additives"/>
      <sheetName val="Ryazan"/>
      <sheetName val="Assumpt"/>
      <sheetName val="Control"/>
      <sheetName val="Параметры"/>
      <sheetName val="См №3 ОПР"/>
      <sheetName val="см.№6 АВЗУ и ГПЗУ"/>
      <sheetName val="Геофизика"/>
      <sheetName val="Геодезия"/>
      <sheetName val="Экология1"/>
      <sheetName val="НГХК"/>
      <sheetName val="КП к снег Рыбинская"/>
      <sheetName val="АУП"/>
      <sheetName val="CENTR"/>
      <sheetName val="4сд"/>
      <sheetName val="2сд"/>
      <sheetName val="7сд"/>
      <sheetName val="Lim"/>
      <sheetName val="Справочник"/>
      <sheetName val="PwC Copies from old models --&gt;&gt;"/>
      <sheetName val="Справочники"/>
      <sheetName val="Сравнение ДПН факт 06-07"/>
      <sheetName val="Journals"/>
      <sheetName val="Names"/>
      <sheetName val="кп ГК"/>
      <sheetName val="Input Assumptions"/>
      <sheetName val="DMTR_BP_03"/>
      <sheetName val="см №1.1 Геодезические работы "/>
      <sheetName val="см №1.4 Экология "/>
      <sheetName val="АСУ ТП 1 этап ПД"/>
      <sheetName val="2.2 "/>
      <sheetName val="Расчет курса"/>
      <sheetName val="XLR_NoRangeSheet"/>
      <sheetName val="НЕДЕЛИ"/>
      <sheetName val="GD"/>
      <sheetName val="мсн"/>
      <sheetName val="влад-таблица"/>
      <sheetName val="2002(v1)"/>
      <sheetName val="КП к ГК"/>
      <sheetName val="Баланс (Ф1)"/>
      <sheetName val="ПОДПИСИ"/>
      <sheetName val="РАСЧЕТ"/>
      <sheetName val="КП (2)"/>
      <sheetName val="Бюджет"/>
      <sheetName val="Перечень Заказчиков"/>
      <sheetName val="Б.Сатка"/>
      <sheetName val="изыскания 2"/>
      <sheetName val="свод (2)"/>
      <sheetName val="Калплан ОИ2 Макм крестики"/>
      <sheetName val="Смета терзем"/>
      <sheetName val="ресурсная вед."/>
      <sheetName val="смета СИД"/>
      <sheetName val="р.Волхов"/>
      <sheetName val="СП"/>
      <sheetName val="эл_химз_1"/>
      <sheetName val="геология_1"/>
      <sheetName val="6_141"/>
      <sheetName val="6_3_11"/>
      <sheetName val="6_201"/>
      <sheetName val="6_4_11"/>
      <sheetName val="6_11_1__сторонние1"/>
      <sheetName val="8_14_КР_(списание)ОПСТИКР1"/>
      <sheetName val="6_14_КР"/>
      <sheetName val="Текущие_цены"/>
      <sheetName val="Пример_расчета"/>
      <sheetName val="СметаСводная_Рыб"/>
      <sheetName val="отчет_эл_эн__2000"/>
      <sheetName val="к_84-к_83"/>
      <sheetName val="6.3"/>
      <sheetName val="6.7"/>
      <sheetName val="6.3.1.3"/>
      <sheetName val="Opex personnel (Term facs)"/>
      <sheetName val="Капитальные затраты"/>
      <sheetName val="трансформация1"/>
      <sheetName val="Destination"/>
      <sheetName val="breakdown"/>
      <sheetName val="EKDEB90"/>
      <sheetName val="Калплан Кра"/>
      <sheetName val="Коэф КВ"/>
      <sheetName val="кп (3)"/>
      <sheetName val="13_1"/>
      <sheetName val=""/>
      <sheetName val="Подрядчики"/>
      <sheetName val="мат"/>
      <sheetName val="Коэфф1_"/>
      <sheetName val="Прайс_лист"/>
      <sheetName val="См_1_наруж_водопровод"/>
      <sheetName val="Разработка_проекта"/>
      <sheetName val="КП_НовоКов"/>
      <sheetName val="СметаСводная_1_оч"/>
      <sheetName val="пятилетка"/>
      <sheetName val="мониторинг"/>
      <sheetName val="Св. смета"/>
      <sheetName val="РБС ИЗМ1"/>
      <sheetName val="Справочные данные"/>
      <sheetName val="суб_подряд"/>
      <sheetName val="ПСБ_-_ОЭ"/>
      <sheetName val="4"/>
      <sheetName val="Материалы"/>
      <sheetName val="6.11 новый"/>
      <sheetName val="К"/>
      <sheetName val="Кал.план Жукова даты - не надо"/>
      <sheetName val="матер."/>
      <sheetName val="КП Прим (3)"/>
      <sheetName val="фонтан разбитый2"/>
      <sheetName val="накладная"/>
      <sheetName val="Акт"/>
      <sheetName val="Смета-Т"/>
      <sheetName val="Смета 3 Гидролог"/>
      <sheetName val="Записка СЦБ"/>
      <sheetName val="РС "/>
      <sheetName val="геолог"/>
      <sheetName val="Курс доллара"/>
      <sheetName val="Календарь новый"/>
      <sheetName val="Смета № 1 ИИ линия"/>
      <sheetName val="Дополнительные параметры"/>
      <sheetName val="ЛЧ"/>
      <sheetName val="Leistungsakt"/>
      <sheetName val="Свод объем"/>
      <sheetName val="Дог цена"/>
      <sheetName val="SakhNIPI5"/>
      <sheetName val="ПИР"/>
      <sheetName val="1155"/>
      <sheetName val="выборка на22 июня"/>
      <sheetName val="HP_и_оргтехника"/>
      <sheetName val="СМЕТА_проект"/>
      <sheetName val="Лист_опроса"/>
      <sheetName val="ОПС"/>
      <sheetName val="СметаСводная_снег"/>
      <sheetName val="Хаттон_90_90_Femco"/>
      <sheetName val="свод_общ"/>
      <sheetName val="таблица_руководству"/>
      <sheetName val="Суточная_добыча_за_неделю"/>
      <sheetName val="ИПЦ2002-2004"/>
      <sheetName val="Восстановл_Лист75"/>
      <sheetName val="Восстановл_Лист76"/>
      <sheetName val="Восстановл_Лист77"/>
      <sheetName val="Восстановл_Лист78"/>
      <sheetName val="Восстановл_Лист79"/>
      <sheetName val="Восстановл_Лист80"/>
      <sheetName val="Восстановл_Лист81"/>
      <sheetName val="Восстановл_Лист82"/>
      <sheetName val="Восстановл_Лист83"/>
      <sheetName val="Восстановл_Лист84"/>
      <sheetName val="Восстановл_Лист85"/>
      <sheetName val="Восстановл_Лист88"/>
      <sheetName val="Восстановл_Лист91"/>
      <sheetName val="Восстановл_Лист92"/>
      <sheetName val="Восстановл_Лист86"/>
      <sheetName val="Восстановл_Лист89"/>
      <sheetName val="Восстановл_Лист87"/>
      <sheetName val="Восстановл_Лист90"/>
      <sheetName val="Восстановл_Лист93"/>
      <sheetName val="Восстановл_Лист94"/>
      <sheetName val="Восстановл_Лист95"/>
      <sheetName val="Восстановл_Лист38"/>
      <sheetName val="Восстановл_Лист40"/>
      <sheetName val="Восстановл_Лист39"/>
      <sheetName val="Восстановл_Лист41"/>
      <sheetName val="Восстановл_Лист8"/>
      <sheetName val="Восстановл_Лист17"/>
      <sheetName val="СметаСводная_павильон"/>
      <sheetName val="3труба (П)"/>
      <sheetName val="15"/>
      <sheetName val="Восстановл_Лист37"/>
      <sheetName val="Объемы работ по ПВ"/>
      <sheetName val="16"/>
      <sheetName val="Таблица 5"/>
      <sheetName val="Таблица 3"/>
      <sheetName val="Коэф"/>
      <sheetName val="1.401.2"/>
      <sheetName val="Source lists"/>
      <sheetName val="PO Data"/>
      <sheetName val="Rub"/>
      <sheetName val="ПД"/>
      <sheetName val="свод_3"/>
      <sheetName val="3_1"/>
      <sheetName val="Коммерческие_расходы"/>
      <sheetName val="СС_замеч_с_ответами"/>
      <sheetName val="ПДР_ООО_&quot;Юкос_ФБЦ&quot;"/>
      <sheetName val="УП__2004"/>
      <sheetName val="Ачинский_НПЗ"/>
      <sheetName val="3_2"/>
      <sheetName val="3_3"/>
      <sheetName val="Р2_1"/>
      <sheetName val="Р2_2"/>
      <sheetName val="Удельные(проф_)"/>
      <sheetName val="Константы_и_результаты"/>
      <sheetName val="расчет_№3"/>
      <sheetName val="в_работу"/>
      <sheetName val="№5_СУБ_Инж_защ"/>
      <sheetName val="Сводная_смета"/>
      <sheetName val="исходные_данные"/>
      <sheetName val="расчетные_таблицы"/>
      <sheetName val="Исполнение__освоение_по_закупк_"/>
      <sheetName val="Исполнение_для_Ускова"/>
      <sheetName val="Выборка_по_отсыпкам"/>
      <sheetName val="ИП__отсыпки_"/>
      <sheetName val="ИП__отсыпки_ФОТ_диз_т_"/>
      <sheetName val="ИП__отсыпки___выборка_"/>
      <sheetName val="Исполнение_по_оборуд_"/>
      <sheetName val="Исполнение_по_оборуд___2_"/>
      <sheetName val="Исполнение_сжато"/>
      <sheetName val="Форма_для_бурения"/>
      <sheetName val="Форма_для_КС"/>
      <sheetName val="Форма_для_ГР"/>
      <sheetName val="Смета_1свод"/>
      <sheetName val="Прибыль_опл"/>
      <sheetName val="Амур_ДОН"/>
      <sheetName val="справ_1"/>
      <sheetName val="Перечень_ИУ"/>
      <sheetName val="3_1_ТХ"/>
      <sheetName val="1_3"/>
      <sheetName val="К_рын"/>
      <sheetName val="3_5"/>
      <sheetName val="См3_СЦБ-зап"/>
      <sheetName val="СметаСводная_Колпино"/>
      <sheetName val="Смета_2"/>
      <sheetName val="Таблица_4_АСУТП"/>
      <sheetName val="20_Кредиты_краткосрочные"/>
      <sheetName val="Перечень_Заказчиков"/>
      <sheetName val="Переменные_и_константы"/>
      <sheetName val="КП_к_снег_Рыбинская"/>
      <sheetName val="Смета_5_2__Кусты25,29,31,65"/>
      <sheetName val="Табл_5"/>
      <sheetName val="Табл_2"/>
      <sheetName val="Капитальные_затраты"/>
      <sheetName val="Opex_personnel_(Term_facs)"/>
      <sheetName val="КП_(2)"/>
      <sheetName val="2_2_"/>
      <sheetName val="Исходные"/>
      <sheetName val="Капвложения"/>
      <sheetName val="259-290"/>
      <sheetName val="р.Нева"/>
      <sheetName val="р.Молога"/>
      <sheetName val="518-540"/>
      <sheetName val="470-518"/>
      <sheetName val="365-405"/>
      <sheetName val="290-365"/>
      <sheetName val="157-259"/>
      <sheetName val="132-157"/>
      <sheetName val="405-470"/>
      <sheetName val="111-132"/>
      <sheetName val="111"/>
      <sheetName val="Сахалин"/>
      <sheetName val="Чумляк"/>
      <sheetName val="18 рек Ю-Х"/>
      <sheetName val="нпс Палкино"/>
      <sheetName val="Россия - Китай"/>
      <sheetName val="КМ 210-238"/>
      <sheetName val="БТС-2 км 405-459"/>
      <sheetName val="БТС-2 км 405-453"/>
      <sheetName val="БТС-2 км 313-352"/>
      <sheetName val="БТС-2 км326-352"/>
      <sheetName val="Улейма И"/>
      <sheetName val="Белая УБКА"/>
      <sheetName val="Уфа"/>
      <sheetName val="км 72-75р.Левоннька"/>
      <sheetName val="dgghg"/>
      <sheetName val="бтс-2"/>
      <sheetName val="колва"/>
      <sheetName val="Чермасан"/>
      <sheetName val="Корожечна"/>
      <sheetName val="Колтасы-Куйбышев"/>
      <sheetName val="Самара"/>
      <sheetName val="Мишуга"/>
      <sheetName val="киенгоп-н.Челны км 104-206"/>
      <sheetName val="ВЛ Урдома"/>
      <sheetName val="Вл Микунь Урдома"/>
      <sheetName val="ВЛ Синдор-Микунь"/>
      <sheetName val="Тон Чермасан"/>
      <sheetName val="Трасса км 16-147"/>
      <sheetName val="Тверца"/>
      <sheetName val="трасса 0-76"/>
      <sheetName val="Колва 78"/>
      <sheetName val="Гидрология .р.Колва км 38"/>
      <sheetName val="Восстановл_Лист5"/>
      <sheetName val="Восстановл_Лист29"/>
      <sheetName val="Восстановл_Лист2"/>
      <sheetName val="Восстановл_Лист27"/>
      <sheetName val="Восстановл_Лист28"/>
      <sheetName val="Восстановл_Лист12"/>
      <sheetName val="Восстановл_Лист14"/>
      <sheetName val="Восстановл_Лист1"/>
      <sheetName val="Восстановл_Лист18"/>
      <sheetName val="Восстановл_Лист25"/>
      <sheetName val="ГПК"/>
      <sheetName val="Западн"/>
      <sheetName val="ПСП "/>
      <sheetName val="Спр_общий"/>
      <sheetName val="р_Волхов"/>
      <sheetName val="р_Нева"/>
      <sheetName val="р_Молога"/>
      <sheetName val="18_рек_Ю-Х"/>
      <sheetName val="нпс_Палкино"/>
      <sheetName val="Россия_-_Китай"/>
      <sheetName val="КМ_210-238"/>
      <sheetName val="БТС-2_км_405-459"/>
      <sheetName val="БТС-2_км_405-453"/>
      <sheetName val="БТС-2_км_313-352"/>
      <sheetName val="БТС-2_км326-352"/>
      <sheetName val="Улейма_И"/>
      <sheetName val="Белая_УБКА"/>
      <sheetName val="км_72-75р_Левоннька"/>
      <sheetName val="Б_Сатка"/>
      <sheetName val="киенгоп-н_Челны_км_104-206"/>
      <sheetName val="ВЛ_Урдома"/>
      <sheetName val="Вл_Микунь_Урдома"/>
      <sheetName val="ВЛ_Синдор-Микунь"/>
      <sheetName val="Тон_Чермасан"/>
      <sheetName val="Трасса_км_16-147"/>
      <sheetName val="трасса_0-76"/>
      <sheetName val="Колва_78"/>
      <sheetName val="Гидрология__р_Колва_км_38"/>
      <sheetName val="ПСП_"/>
      <sheetName val="Стр1По"/>
      <sheetName val="Новая сводка (до бюджета) (2)"/>
      <sheetName val="Что пришло"/>
      <sheetName val="влад-таблица (2)"/>
      <sheetName val="Новая сводка (до бюджета)"/>
      <sheetName val="Сводка"/>
      <sheetName val="Новая сводка"/>
      <sheetName val="Бю-т"/>
      <sheetName val="ПерехОстатки"/>
      <sheetName val="Общие расходы"/>
      <sheetName val="Новая сводка (по бюджету)"/>
      <sheetName val="âëàä-òàáëèöà"/>
      <sheetName val="Íîâàÿ ñâîäêà (äî áþäæåòà) (2)"/>
      <sheetName val="×òî ïðèøëî"/>
      <sheetName val="âëàä-òàáëèöà (2)"/>
      <sheetName val="Íîâàÿ ñâîäêà (äî áþäæåòà)"/>
      <sheetName val="Ñâîäêà"/>
      <sheetName val="Íîâàÿ ñâîäêà"/>
      <sheetName val="Áþ-ò"/>
      <sheetName val="ÏåðåõÎñòàòêè"/>
      <sheetName val="Îáùèå ðàñõîäû"/>
      <sheetName val="Íîâàÿ ñâîäêà (ïî áþäæåòó)"/>
      <sheetName val="влад_таблица"/>
      <sheetName val="6.10.1"/>
      <sheetName val="Восстановл_Лист16"/>
      <sheetName val="6.7.3_ТН"/>
      <sheetName val="6.1"/>
      <sheetName val="НДС"/>
      <sheetName val="Гр5(о)"/>
      <sheetName val="пр_5_1"/>
      <sheetName val="Россия"/>
      <sheetName val="Украина"/>
      <sheetName val="Белорусия"/>
      <sheetName val="6.52-свод"/>
      <sheetName val="Новая_сводка_(до_бюджета)_(2)"/>
      <sheetName val="Что_пришло"/>
      <sheetName val="влад-таблица_(2)"/>
      <sheetName val="Новая_сводка_(до_бюджета)"/>
      <sheetName val="Новая_сводка"/>
      <sheetName val="Общие_расходы"/>
      <sheetName val="Новая_сводка_(по_бюджету)"/>
      <sheetName val="Íîâàÿ_ñâîäêà_(äî_áþäæåòà)_(2)"/>
      <sheetName val="×òî_ïðèøëî"/>
      <sheetName val="âëàä-òàáëèöà_(2)"/>
      <sheetName val="Íîâàÿ_ñâîäêà_(äî_áþäæåòà)"/>
      <sheetName val="Íîâàÿ_ñâîäêà"/>
      <sheetName val="Îáùèå_ðàñõîäû"/>
      <sheetName val="Íîâàÿ_ñâîäêà_(ïî_áþäæåòó)"/>
      <sheetName val="6_10_1"/>
      <sheetName val="6_7_3_ТН"/>
      <sheetName val="6_1"/>
      <sheetName val="ЦО"/>
      <sheetName val="Статьи"/>
      <sheetName val="2"/>
      <sheetName val="Новая_сводка_(до_бюджета)_(2)1"/>
      <sheetName val="Что_пришло1"/>
      <sheetName val="влад-таблица_(2)1"/>
      <sheetName val="Новая_сводка_(до_бюджета)1"/>
      <sheetName val="Новая_сводка1"/>
      <sheetName val="Общие_расходы1"/>
      <sheetName val="Новая_сводка_(по_бюджету)1"/>
      <sheetName val="Íîâàÿ_ñâîäêà_(äî_áþäæåòà)_(2)1"/>
      <sheetName val="×òî_ïðèøëî1"/>
      <sheetName val="âëàä-òàáëèöà_(2)1"/>
      <sheetName val="Íîâàÿ_ñâîäêà_(äî_áþäæåòà)1"/>
      <sheetName val="Íîâàÿ_ñâîäêà1"/>
      <sheetName val="Îáùèå_ðàñõîäû1"/>
      <sheetName val="Íîâàÿ_ñâîäêà_(ïî_áþäæåòó)1"/>
      <sheetName val="6_10_11"/>
      <sheetName val="6_7_3_ТН1"/>
      <sheetName val="6_11"/>
      <sheetName val="6_52-свод"/>
      <sheetName val="ДДС (Форма №3)"/>
      <sheetName val="09-07"/>
      <sheetName val="Титул1"/>
      <sheetName val="Титул2"/>
      <sheetName val="Титул3"/>
      <sheetName val="Info"/>
      <sheetName val="свод_ИИР"/>
      <sheetName val="М_1"/>
      <sheetName val="Сводная "/>
      <sheetName val="7.ТХ Сети (кор)"/>
      <sheetName val="Tier 311208"/>
      <sheetName val="Акт выбора"/>
      <sheetName val="См.№7 Эл."/>
      <sheetName val="См.№8 Пож."/>
      <sheetName val="См.№3 ВиК"/>
      <sheetName val="РСС_АУ"/>
      <sheetName val="Раб.АУ"/>
      <sheetName val="Восстановл_Лист42"/>
      <sheetName val="Восстановл_Лист22"/>
      <sheetName val="Восстановл_Лист43"/>
      <sheetName val="Восстановл_Лист24"/>
      <sheetName val="Восстановл_Лист48"/>
      <sheetName val="Восстановл_Лист50"/>
      <sheetName val="Восстановл_Лист30"/>
      <sheetName val="Восстановл_Лист51"/>
      <sheetName val="Восстановл_Лист23"/>
      <sheetName val="Восстановл_Лист32"/>
      <sheetName val="Восстановл_Лист52"/>
      <sheetName val="Восстановл_Лист53"/>
      <sheetName val="Восстановл_Лист55"/>
      <sheetName val="Восстановл_Лист56"/>
      <sheetName val="Восстановл_Лист26"/>
      <sheetName val="Восстановл_Лист57"/>
      <sheetName val="Восстановл_Лист58"/>
      <sheetName val="Восстановл_Лист59"/>
      <sheetName val="Восстановл_Лист60"/>
      <sheetName val="Восстановл_Лист61"/>
      <sheetName val="Восстановл_Лист3"/>
      <sheetName val="Восстановл_Лист62"/>
      <sheetName val="Восстановл_Лист63"/>
      <sheetName val="Восстановл_Лист64"/>
      <sheetName val="Восстановл_Лист35"/>
      <sheetName val="Восстановл_Лист67"/>
      <sheetName val="Восстановл_Лист68"/>
      <sheetName val="Восстановл_Лист65"/>
      <sheetName val="Восстановл_Лист69"/>
      <sheetName val="Восстановл_Лист66"/>
      <sheetName val="Восстановл_Лист97"/>
      <sheetName val="Восстановл_Лист54"/>
      <sheetName val="Восстановл_Лист70"/>
      <sheetName val="Восстановл_Лист96"/>
      <sheetName val="Восстановл_Лист33"/>
      <sheetName val="Восстановл_Лист71"/>
      <sheetName val="Восстановл_Лист36"/>
      <sheetName val="Восстановл_Лист98"/>
      <sheetName val="Восстановл_Лист34"/>
      <sheetName val="Восстановл_Лист72"/>
      <sheetName val="Восстановл_Лист73"/>
      <sheetName val="Восстановл_Лист74"/>
      <sheetName val="Восстановл_Лист31"/>
      <sheetName val="№1"/>
      <sheetName val="Сметы за сопровождение"/>
      <sheetName val="СМ_x000b__x0011__x0012__x000c__x0011__x0011__x0011__x0011__x0011__x0011_"/>
      <sheetName val="ᄀᄀᄀᄀᄀᄀᄀᄀᄀᄀᄀᄀᄀᄀᄀᄀᄀ"/>
      <sheetName val="См.3_АСУ"/>
      <sheetName val="Полигон - ИЭИ "/>
      <sheetName val="Ком"/>
      <sheetName val="Смета ТЗ АСУ-16"/>
      <sheetName val="База Геодезия"/>
      <sheetName val="База Геология"/>
      <sheetName val="База Геофизика"/>
      <sheetName val="4.1.1"/>
      <sheetName val="исп.1.1.1"/>
      <sheetName val="База Гидро"/>
      <sheetName val="4.2.1"/>
      <sheetName val="исп.1.1.2"/>
      <sheetName val="Исп. смета этап 1.1, 1.2"/>
      <sheetName val="Экология-3"/>
      <sheetName val="АСУ-линия-1"/>
      <sheetName val="ТЗ АСУ-1"/>
      <sheetName val="лч и кам"/>
      <sheetName val="2-stage"/>
      <sheetName val="ИД СМР"/>
      <sheetName val="Вспом."/>
      <sheetName val="УКП"/>
      <sheetName val="БД"/>
      <sheetName val="Норм"/>
      <sheetName val="Лист4"/>
      <sheetName val="Общий"/>
      <sheetName val="ТабР"/>
      <sheetName val="Lucent"/>
      <sheetName val="BACT"/>
      <sheetName val="Общ"/>
      <sheetName val="эл_химз_2"/>
      <sheetName val="геология_2"/>
      <sheetName val="6_142"/>
      <sheetName val="6_3_12"/>
      <sheetName val="6_202"/>
      <sheetName val="6_4_12"/>
      <sheetName val="6_11_1__сторонние2"/>
      <sheetName val="8_14_КР_(списание)ОПСТИКР2"/>
      <sheetName val="6_14_КР1"/>
      <sheetName val="Данные_для_расчёта_сметы1"/>
      <sheetName val="Пример_расчета1"/>
      <sheetName val="свод_21"/>
      <sheetName val="Зап-3-_СЦБ1"/>
      <sheetName val="СметаСводная_Рыб1"/>
      <sheetName val="Текущие_цены1"/>
      <sheetName val="отчет_эл_эн__20001"/>
      <sheetName val="к_84-к_831"/>
      <sheetName val="Коэфф1_1"/>
      <sheetName val="6_3"/>
      <sheetName val="6_7"/>
      <sheetName val="6_3_1_3"/>
      <sheetName val="Смета2_проект__раб_1"/>
      <sheetName val="Смета_11"/>
      <sheetName val="Production_and_Spend"/>
      <sheetName val="Прайс_лист1"/>
      <sheetName val="См_1_наруж_водопровод1"/>
      <sheetName val="Разработка_проекта1"/>
      <sheetName val="КП_НовоКов1"/>
      <sheetName val="СметаСводная_1_оч1"/>
      <sheetName val="свод_(2)"/>
      <sheetName val="Калплан_ОИ2_Макм_крестики"/>
      <sheetName val="Св__смета"/>
      <sheetName val="РБС_ИЗМ1"/>
      <sheetName val="Таблица_2"/>
      <sheetName val="ст_ГТМ"/>
      <sheetName val="кп_ГК"/>
      <sheetName val="Справочные_данные"/>
      <sheetName val="суб_подряд1"/>
      <sheetName val="ПСБ_-_ОЭ1"/>
      <sheetName val="смета_СИД"/>
      <sheetName val="ресурсная_вед_"/>
      <sheetName val="КП_к_ГК"/>
      <sheetName val="изыскания_2"/>
      <sheetName val="Калплан_Кра"/>
      <sheetName val="6_11_новый"/>
      <sheetName val="СМ"/>
      <sheetName val="MararashAA"/>
      <sheetName val="ПРОЦЕНТЫ"/>
      <sheetName val="Пра_x0000_с_лист"/>
      <sheetName val="ПС_x0000__x0000__x0000__x0000__x0000__x0000_"/>
      <sheetName val="Бл.электр."/>
      <sheetName val="2 Геология"/>
      <sheetName val="Объем работ"/>
      <sheetName val="Виды работ АСО"/>
      <sheetName val="таблица_руко_x0019__x0015__x0009__x0003__x000c__x0011__x0011_"/>
      <sheetName val="ФОТ для смет"/>
      <sheetName val="ЛС_РЕС"/>
      <sheetName val="_x0000__x0000_"/>
      <sheetName val="таблица_руко_x0019__x0015_ _x0003__x000c__x0011__x0011_"/>
      <sheetName val="КБК ДПК"/>
      <sheetName val="8"/>
      <sheetName val="исх-данные"/>
      <sheetName val="Сводный"/>
      <sheetName val="3_гидромет"/>
      <sheetName val="6"/>
      <sheetName val="СМИС"/>
      <sheetName val="basa"/>
      <sheetName val="ПД-2.2"/>
      <sheetName val="1.14"/>
      <sheetName val="1.7"/>
      <sheetName val="Имя"/>
      <sheetName val="кап.ремонт"/>
      <sheetName val="База"/>
      <sheetName val="СВ 2"/>
      <sheetName val="1.2_"/>
      <sheetName val="Base"/>
      <sheetName val="Настр"/>
      <sheetName val="Распределение_затрат"/>
      <sheetName val="ЗАТ_ПОДР"/>
      <sheetName val="ПРОЧИЕ_ЗАТР"/>
      <sheetName val="ПОКУП_ВОДА"/>
      <sheetName val="РАСПРЕД ПО ПРОЦЕСС"/>
      <sheetName val="РЕАГ_КАТАЛ"/>
      <sheetName val="СЫРЬЕ"/>
      <sheetName val="СМЕТА_ТЕКРЕМ"/>
      <sheetName val="УСЛУГИ_ПРОМХАР"/>
      <sheetName val="Обор"/>
      <sheetName val="Приложение 2"/>
      <sheetName val="Должности"/>
      <sheetName val="Лист"/>
      <sheetName val="Исх"/>
      <sheetName val="Исх."/>
      <sheetName val="#ССЫЛКА"/>
      <sheetName val="пофакторный"/>
      <sheetName val="РАСШИФ_ЦЕХ_РАСХ"/>
      <sheetName val="топ"/>
      <sheetName val="Дог_рас"/>
      <sheetName val="Ограничения шаблон"/>
      <sheetName val="Причины отклонений"/>
      <sheetName val="Статус работы"/>
      <sheetName val="Уровень графика"/>
      <sheetName val="ЕТС (ф)"/>
      <sheetName val="эл_химз_3"/>
      <sheetName val="геология_3"/>
      <sheetName val="6_143"/>
      <sheetName val="6_3_13"/>
      <sheetName val="6_203"/>
      <sheetName val="6_4_13"/>
      <sheetName val="6_11_1__сторонние3"/>
      <sheetName val="8_14_КР_(списание)ОПСТИКР3"/>
      <sheetName val="Данные_для_расчёта_сметы2"/>
      <sheetName val="6_14_КР2"/>
      <sheetName val="Пример_расчета2"/>
      <sheetName val="свод_22"/>
      <sheetName val="Зап-3-_СЦБ2"/>
      <sheetName val="СметаСводная_Рыб2"/>
      <sheetName val="13_11"/>
      <sheetName val="Текущие_цены2"/>
      <sheetName val="отчет_эл_эн__20002"/>
      <sheetName val="к_84-к_832"/>
      <sheetName val="Коэфф1_2"/>
      <sheetName val="КП_(2)1"/>
      <sheetName val="6_31"/>
      <sheetName val="6_71"/>
      <sheetName val="6_3_1_31"/>
      <sheetName val="свод_31"/>
      <sheetName val="Смета2_проект__раб_2"/>
      <sheetName val="Смета_12"/>
      <sheetName val="СМЕТА_проект1"/>
      <sheetName val="Production_and_Spend1"/>
      <sheetName val="Прайс_лист2"/>
      <sheetName val="1_31"/>
      <sheetName val="К_рын1"/>
      <sheetName val="Сводная_смета1"/>
      <sheetName val="См_1_наруж_водопровод2"/>
      <sheetName val="Разработка_проекта2"/>
      <sheetName val="КП_НовоКов2"/>
      <sheetName val="СметаСводная_1_оч2"/>
      <sheetName val="Переменные_и_константы1"/>
      <sheetName val="свод_(2)1"/>
      <sheetName val="Калплан_ОИ2_Макм_крестики1"/>
      <sheetName val="СметаСводная_павильон1"/>
      <sheetName val="Св__смета1"/>
      <sheetName val="РБС_ИЗМ11"/>
      <sheetName val="СметаСводная_снег1"/>
      <sheetName val="Лист_опроса1"/>
      <sheetName val="Исполнение__освоение_по_закупк1"/>
      <sheetName val="Исполнение_для_Ускова1"/>
      <sheetName val="Выборка_по_отсыпкам1"/>
      <sheetName val="ИП__отсыпки_1"/>
      <sheetName val="ИП__отсыпки_ФОТ_диз_т_1"/>
      <sheetName val="ИП__отсыпки___выборка_1"/>
      <sheetName val="Исполнение_по_оборуд_1"/>
      <sheetName val="Исполнение_по_оборуд___2_1"/>
      <sheetName val="Исполнение_сжато1"/>
      <sheetName val="Форма_для_бурения1"/>
      <sheetName val="Форма_для_КС1"/>
      <sheetName val="Форма_для_ГР1"/>
      <sheetName val="Смета_1свод1"/>
      <sheetName val="таблица_руководству1"/>
      <sheetName val="Суточная_добыча_за_неделю1"/>
      <sheetName val="Прибыль_опл1"/>
      <sheetName val="№5_СУБ_Инж_защ1"/>
      <sheetName val="HP_и_оргтехника1"/>
      <sheetName val="Таблица_21"/>
      <sheetName val="Таблица_4_АСУТП1"/>
      <sheetName val="ст_ГТМ1"/>
      <sheetName val="ПДР_ООО_&quot;Юкос_ФБЦ&quot;1"/>
      <sheetName val="исходные_данные1"/>
      <sheetName val="расчетные_таблицы1"/>
      <sheetName val="Амур_ДОН1"/>
      <sheetName val="кп_ГК1"/>
      <sheetName val="Справочные_данные1"/>
      <sheetName val="Б_Сатка1"/>
      <sheetName val="справ_2"/>
      <sheetName val="Перечень_ИУ1"/>
      <sheetName val="3_1_ТХ1"/>
      <sheetName val="СметаСводная_Колпино1"/>
      <sheetName val="3_51"/>
      <sheetName val="суб_подряд2"/>
      <sheetName val="ПСБ_-_ОЭ2"/>
      <sheetName val="Смета_21"/>
      <sheetName val="Ачинский_НПЗ1"/>
      <sheetName val="См3_СЦБ-зап1"/>
      <sheetName val="Хаттон_90_90_Femco1"/>
      <sheetName val="свод_общ1"/>
      <sheetName val="Смета_5_2__Кусты25,29,31,651"/>
      <sheetName val="смета_СИД1"/>
      <sheetName val="ресурсная_вед_1"/>
      <sheetName val="р_Волхов1"/>
      <sheetName val="КП_к_ГК1"/>
      <sheetName val="изыскания_21"/>
      <sheetName val="Калплан_Кра1"/>
      <sheetName val="6_11_новый1"/>
      <sheetName val="Opex_personnel_(Term_facs)1"/>
      <sheetName val="Капитальные_затраты1"/>
      <sheetName val="Пояснение_"/>
      <sheetName val="3_11"/>
      <sheetName val="Коммерческие_расходы1"/>
      <sheetName val="смета_2_проект__работы"/>
      <sheetName val="СС_замеч_с_ответами1"/>
      <sheetName val="УП__20041"/>
      <sheetName val="в_работу1"/>
      <sheetName val="3_21"/>
      <sheetName val="3_31"/>
      <sheetName val="Р2_11"/>
      <sheetName val="Р2_21"/>
      <sheetName val="Удельные(проф_)1"/>
      <sheetName val="Константы_и_результаты1"/>
      <sheetName val="расчет_№31"/>
      <sheetName val="20_Кредиты_краткосрочные1"/>
      <sheetName val="Перечень_Заказчиков1"/>
      <sheetName val="2_2_1"/>
      <sheetName val="СтрЗапасов_(2)"/>
      <sheetName val="PwC_Copies_from_old_models_--&gt;&gt;"/>
      <sheetName val="Сравнение_ДПН_факт_06-07"/>
      <sheetName val="НМ_расчеты"/>
      <sheetName val="КП_к_снег_Рыбинская1"/>
      <sheetName val="Коэф_КВ"/>
      <sheetName val="Смета_терзем"/>
      <sheetName val="Кал_план_Жукова_даты_-_не_надо"/>
      <sheetName val="матер_"/>
      <sheetName val="КП_Прим_(3)"/>
      <sheetName val="кп_(3)"/>
      <sheetName val="фонтан_разбитый2"/>
      <sheetName val="Баланс_(Ф1)"/>
      <sheetName val="Смета_3_Гидролог"/>
      <sheetName val="Записка_СЦБ"/>
      <sheetName val="РС_"/>
      <sheetName val="Source_lists"/>
      <sheetName val="Общая_часть"/>
      <sheetName val="Табл_51"/>
      <sheetName val="Табл_21"/>
      <sheetName val="См_№3_ОПР"/>
      <sheetName val="см_№6_АВЗУ_и_ГПЗУ"/>
      <sheetName val="Input_Assumptions"/>
      <sheetName val="см_№1_1_Геодезические_работы_"/>
      <sheetName val="см_№1_4_Экология_"/>
      <sheetName val="АСУ_ТП_1_этап_ПД"/>
      <sheetName val="Расчет_курса"/>
      <sheetName val="Курс_доллара"/>
      <sheetName val="Календарь_новый"/>
      <sheetName val="Смета_№_1_ИИ_линия"/>
      <sheetName val="Дополнительные_параметры"/>
      <sheetName val="Свод_объем"/>
      <sheetName val="Дог_цена"/>
      <sheetName val="выборка_на22_июня"/>
      <sheetName val="3труба_(П)"/>
      <sheetName val="Объемы_работ_по_ПВ"/>
      <sheetName val="Таблица_5"/>
      <sheetName val="Таблица_3"/>
      <sheetName val="1_401_2"/>
      <sheetName val="PO_Data"/>
      <sheetName val="Раб_АУ"/>
      <sheetName val="р_Нева1"/>
      <sheetName val="р_Молога1"/>
      <sheetName val="18_рек_Ю-Х1"/>
      <sheetName val="нпс_Палкино1"/>
      <sheetName val="Россия_-_Китай1"/>
      <sheetName val="КМ_210-2381"/>
      <sheetName val="БТС-2_км_405-4591"/>
      <sheetName val="БТС-2_км_405-4531"/>
      <sheetName val="БТС-2_км_313-3521"/>
      <sheetName val="БТС-2_км326-3521"/>
      <sheetName val="Улейма_И1"/>
      <sheetName val="Белая_УБКА1"/>
      <sheetName val="км_72-75р_Левоннька1"/>
      <sheetName val="киенгоп-н_Челны_км_104-2061"/>
      <sheetName val="ВЛ_Урдома1"/>
      <sheetName val="Вл_Микунь_Урдома1"/>
      <sheetName val="ВЛ_Синдор-Микунь1"/>
      <sheetName val="Тон_Чермасан1"/>
      <sheetName val="Трасса_км_16-1471"/>
      <sheetName val="трасса_0-761"/>
      <sheetName val="Колва_781"/>
      <sheetName val="Гидрология__р_Колва_км_381"/>
      <sheetName val="ПСП_1"/>
      <sheetName val="Новая_сводка_(до_бюджета)_(2)2"/>
      <sheetName val="Что_пришло2"/>
      <sheetName val="влад-таблица_(2)2"/>
      <sheetName val="Новая_сводка_(до_бюджета)2"/>
      <sheetName val="Новая_сводка2"/>
      <sheetName val="Общие_расходы2"/>
      <sheetName val="Новая_сводка_(по_бюджету)2"/>
      <sheetName val="Íîâàÿ_ñâîäêà_(äî_áþäæåòà)_(2)2"/>
      <sheetName val="×òî_ïðèøëî2"/>
      <sheetName val="âëàä-òàáëèöà_(2)2"/>
      <sheetName val="Íîâàÿ_ñâîäêà_(äî_áþäæåòà)2"/>
      <sheetName val="Íîâàÿ_ñâîäêà2"/>
      <sheetName val="Îáùèå_ðàñõîäû2"/>
      <sheetName val="Íîâàÿ_ñâîäêà_(ïî_áþäæåòó)2"/>
      <sheetName val="6_10_12"/>
      <sheetName val="6_7_3_ТН2"/>
      <sheetName val="6_12"/>
      <sheetName val="6_52-свод1"/>
      <sheetName val="ДДС_(Форма_№3)"/>
      <sheetName val="Сводная_"/>
      <sheetName val="7_ТХ_Сети_(кор)"/>
      <sheetName val="Tier_311208"/>
      <sheetName val="Акт_выбора"/>
      <sheetName val="См_№7_Эл_"/>
      <sheetName val="См_№8_Пож_"/>
      <sheetName val="См_№3_ВиК"/>
      <sheetName val="Сметы_за_сопровождение"/>
      <sheetName val="ПС"/>
      <sheetName val="См_3_АСУ"/>
      <sheetName val="Полигон_-_ИЭИ_"/>
      <sheetName val="Смета_ТЗ_АСУ-16"/>
      <sheetName val="База_Геодезия"/>
      <sheetName val="База_Геология"/>
      <sheetName val="База_Геофизика"/>
      <sheetName val="4_1_1"/>
      <sheetName val="исп_1_1_1"/>
      <sheetName val="База_Гидро"/>
      <sheetName val="4_2_1"/>
      <sheetName val="исп_1_1_2"/>
      <sheetName val="Исп__смета_этап_1_1,_1_2"/>
      <sheetName val="Исх. данные"/>
      <sheetName val="Main list"/>
      <sheetName val="Исх1"/>
      <sheetName val="Пра"/>
      <sheetName val="Промер глуб"/>
      <sheetName val="Расчет №1.1"/>
      <sheetName val="Расчет №2.1"/>
      <sheetName val="ИД ПНР"/>
      <sheetName val="Технический лист"/>
      <sheetName val="анализ 2003_2004исполнение МТО"/>
      <sheetName val="Тестовый"/>
      <sheetName val="Panduit"/>
      <sheetName val=" Свод"/>
      <sheetName val="исключ ЭХЗ"/>
      <sheetName val="БДР"/>
      <sheetName val="геол"/>
      <sheetName val="аванс по ОС"/>
      <sheetName val="Авансы выданные"/>
      <sheetName val="Кред"/>
      <sheetName val="ДЗ"/>
      <sheetName val="Кред. задолж."/>
      <sheetName val="Прочие"/>
      <sheetName val="ГАЗ_камаз"/>
      <sheetName val="41"/>
      <sheetName val="Договорная цена"/>
      <sheetName val="№2Гидромет."/>
      <sheetName val="№2Геолог"/>
      <sheetName val="№2Геолог с.п."/>
      <sheetName val="№3Экологи (2этап)"/>
      <sheetName val="Исходная"/>
      <sheetName val="3 Сл.-структура затрат"/>
      <sheetName val="const"/>
      <sheetName val="расчеты"/>
      <sheetName val="ПС 110 кВ (доп)"/>
      <sheetName val="ПД-2.1"/>
      <sheetName val="Смета 7"/>
      <sheetName val="Бл_электр_"/>
      <sheetName val="Прил.5 СС"/>
      <sheetName val="расчет вязкости"/>
      <sheetName val="Сравнение с Finder - ДНС-5"/>
      <sheetName val="1-1"/>
      <sheetName val="1-2"/>
      <sheetName val="1-4"/>
      <sheetName val="изм2-1"/>
      <sheetName val="2-2"/>
      <sheetName val="2-3"/>
      <sheetName val="изм7-1"/>
      <sheetName val="изм9-1"/>
      <sheetName val="См_2 Шатурс сети  проект работы"/>
      <sheetName val="W28"/>
      <sheetName val="Ref"/>
      <sheetName val="выборка "/>
      <sheetName val="выборка раб"/>
      <sheetName val="см 5 ОДД "/>
      <sheetName val="Коэффициенты"/>
      <sheetName val="Акт-Смета_30"/>
      <sheetName val="Смета 2 эл.монтаж"/>
      <sheetName val="Смета 1 общестроит"/>
      <sheetName val="ДЦ"/>
      <sheetName val=" Оборудование  end"/>
      <sheetName val="автоматизация РД"/>
      <sheetName val="РабПр"/>
      <sheetName val="Восстановл_Лис礊め_x0005_"/>
      <sheetName val="Смета _4ПР ЭХЗ"/>
      <sheetName val="ЖД 3.1"/>
      <sheetName val="УСР"/>
      <sheetName val="Объемы"/>
      <sheetName val="Акт выполненных работ 46"/>
      <sheetName val="SMW_Служебная"/>
      <sheetName val="СметаСводная п54"/>
      <sheetName val="СметаСводная пуш"/>
      <sheetName val="сводная (2)"/>
      <sheetName val="Расч(подряд)"/>
      <sheetName val="эл_химз_4"/>
      <sheetName val="13_12"/>
      <sheetName val="КП_(2)2"/>
      <sheetName val="свод_32"/>
      <sheetName val="СМЕТА_проект2"/>
      <sheetName val="1_32"/>
      <sheetName val="К_рын2"/>
      <sheetName val="Сводная_смета2"/>
      <sheetName val="Переменные_и_константы2"/>
      <sheetName val="СметаСводная_павильон2"/>
      <sheetName val="СметаСводная_снег2"/>
      <sheetName val="Лист_опроса2"/>
      <sheetName val="Исполнение__освоение_по_закупк2"/>
      <sheetName val="Исполнение_для_Ускова2"/>
      <sheetName val="Выборка_по_отсыпкам2"/>
      <sheetName val="ИП__отсыпки_2"/>
      <sheetName val="ИП__отсыпки_ФОТ_диз_т_2"/>
      <sheetName val="ИП__отсыпки___выборка_2"/>
      <sheetName val="Исполнение_по_оборуд_2"/>
      <sheetName val="Исполнение_по_оборуд___2_2"/>
      <sheetName val="Исполнение_сжато2"/>
      <sheetName val="Форма_для_бурения2"/>
      <sheetName val="Форма_для_КС2"/>
      <sheetName val="Форма_для_ГР2"/>
      <sheetName val="Смета_1свод2"/>
      <sheetName val="таблица_руководству2"/>
      <sheetName val="Суточная_добыча_за_неделю2"/>
      <sheetName val="Прибыль_опл2"/>
      <sheetName val="№5_СУБ_Инж_защ2"/>
      <sheetName val="HP_и_оргтехника2"/>
      <sheetName val="Таблица_4_АСУТП2"/>
      <sheetName val="ПДР_ООО_&quot;Юкос_ФБЦ&quot;2"/>
      <sheetName val="исходные_данные2"/>
      <sheetName val="расчетные_таблицы2"/>
      <sheetName val="Амур_ДОН2"/>
      <sheetName val="Б_Сатка2"/>
      <sheetName val="справ_3"/>
      <sheetName val="Перечень_ИУ2"/>
      <sheetName val="3_1_ТХ2"/>
      <sheetName val="СметаСводная_Колпино2"/>
      <sheetName val="3_52"/>
      <sheetName val="Смета_22"/>
      <sheetName val="Ачинский_НПЗ2"/>
      <sheetName val="См3_СЦБ-зап2"/>
      <sheetName val="Хаттон_90_90_Femco2"/>
      <sheetName val="свод_общ2"/>
      <sheetName val="Смета_5_2__Кусты25,29,31,652"/>
      <sheetName val="р_Волхов2"/>
      <sheetName val="Opex_personnel_(Term_facs)2"/>
      <sheetName val="Капитальные_затраты2"/>
      <sheetName val="Пояснение_1"/>
      <sheetName val="3_12"/>
      <sheetName val="Коммерческие_расходы2"/>
      <sheetName val="смета_2_проект__работы1"/>
      <sheetName val="СС_замеч_с_ответами2"/>
      <sheetName val="УП__20042"/>
      <sheetName val="в_работу2"/>
      <sheetName val="3_22"/>
      <sheetName val="3_32"/>
      <sheetName val="Р2_12"/>
      <sheetName val="Р2_22"/>
      <sheetName val="Удельные(проф_)2"/>
      <sheetName val="Константы_и_результаты2"/>
      <sheetName val="расчет_№32"/>
      <sheetName val="20_Кредиты_краткосрочные2"/>
      <sheetName val="Перечень_Заказчиков2"/>
      <sheetName val="2_2_2"/>
      <sheetName val="СтрЗапасов_(2)1"/>
      <sheetName val="PwC_Copies_from_old_models_--&gt;1"/>
      <sheetName val="Сравнение_ДПН_факт_06-071"/>
      <sheetName val="НМ_расчеты1"/>
      <sheetName val="КП_к_снег_Рыбинская2"/>
      <sheetName val="Коэф_КВ1"/>
      <sheetName val="Смета_терзем1"/>
      <sheetName val="Кал_план_Жукова_даты_-_не_надо1"/>
      <sheetName val="матер_1"/>
      <sheetName val="КП_Прим_(3)1"/>
      <sheetName val="кп_(3)1"/>
      <sheetName val="фонтан_разбитый21"/>
      <sheetName val="Баланс_(Ф1)1"/>
      <sheetName val="Смета_3_Гидролог1"/>
      <sheetName val="Записка_СЦБ1"/>
      <sheetName val="РС_1"/>
      <sheetName val="Раб_АУ1"/>
      <sheetName val="Source_lists1"/>
      <sheetName val="Общая_часть1"/>
      <sheetName val="Табл_52"/>
      <sheetName val="Табл_22"/>
      <sheetName val="См_№3_ОПР1"/>
      <sheetName val="см_№6_АВЗУ_и_ГПЗУ1"/>
      <sheetName val="Input_Assumptions1"/>
      <sheetName val="см_№1_1_Геодезические_работы_1"/>
      <sheetName val="см_№1_4_Экология_1"/>
      <sheetName val="АСУ_ТП_1_этап_ПД1"/>
      <sheetName val="Расчет_курса1"/>
      <sheetName val="ДДС_(Форма_№3)1"/>
      <sheetName val="Курс_доллара1"/>
      <sheetName val="Календарь_новый1"/>
      <sheetName val="Смета_№_1_ИИ_линия1"/>
      <sheetName val="Дополнительные_параметры1"/>
      <sheetName val="Свод_объем1"/>
      <sheetName val="Дог_цена1"/>
      <sheetName val="выборка_на22_июня1"/>
      <sheetName val="3труба_(П)1"/>
      <sheetName val="Объемы_работ_по_ПВ1"/>
      <sheetName val="Таблица_51"/>
      <sheetName val="Таблица_31"/>
      <sheetName val="1_401_21"/>
      <sheetName val="PO_Data1"/>
      <sheetName val="р_Нева2"/>
      <sheetName val="р_Молога2"/>
      <sheetName val="18_рек_Ю-Х2"/>
      <sheetName val="нпс_Палкино2"/>
      <sheetName val="Россия_-_Китай2"/>
      <sheetName val="КМ_210-2382"/>
      <sheetName val="БТС-2_км_405-4592"/>
      <sheetName val="БТС-2_км_405-4532"/>
      <sheetName val="БТС-2_км_313-3522"/>
      <sheetName val="БТС-2_км326-3522"/>
      <sheetName val="Улейма_И2"/>
      <sheetName val="Белая_УБКА2"/>
      <sheetName val="км_72-75р_Левоннька2"/>
      <sheetName val="киенгоп-н_Челны_км_104-2062"/>
      <sheetName val="ВЛ_Урдома2"/>
      <sheetName val="Вл_Микунь_Урдома2"/>
      <sheetName val="ВЛ_Синдор-Микунь2"/>
      <sheetName val="Тон_Чермасан2"/>
      <sheetName val="Трасса_км_16-1472"/>
      <sheetName val="трасса_0-762"/>
      <sheetName val="Колва_782"/>
      <sheetName val="Гидрология__р_Колва_км_382"/>
      <sheetName val="ПСП_2"/>
      <sheetName val="Новая_сводка_(до_бюджета)_(2)3"/>
      <sheetName val="Что_пришло3"/>
      <sheetName val="влад-таблица_(2)3"/>
      <sheetName val="Новая_сводка_(до_бюджета)3"/>
      <sheetName val="Новая_сводка3"/>
      <sheetName val="Общие_расходы3"/>
      <sheetName val="Новая_сводка_(по_бюджету)3"/>
      <sheetName val="Íîâàÿ_ñâîäêà_(äî_áþäæåòà)_(2)3"/>
      <sheetName val="×òî_ïðèøëî3"/>
      <sheetName val="âëàä-òàáëèöà_(2)3"/>
      <sheetName val="Íîâàÿ_ñâîäêà_(äî_áþäæåòà)3"/>
      <sheetName val="Íîâàÿ_ñâîäêà3"/>
      <sheetName val="Îáùèå_ðàñõîäû3"/>
      <sheetName val="Íîâàÿ_ñâîäêà_(ïî_áþäæåòó)3"/>
      <sheetName val="6_10_13"/>
      <sheetName val="6_7_3_ТН3"/>
      <sheetName val="6_13"/>
      <sheetName val="6_52-свод2"/>
      <sheetName val="Сводная_1"/>
      <sheetName val="7_ТХ_Сети_(кор)1"/>
      <sheetName val="Tier_3112081"/>
      <sheetName val="Акт_выбора1"/>
      <sheetName val="См_№7_Эл_1"/>
      <sheetName val="См_№8_Пож_1"/>
      <sheetName val="См_№3_ВиК1"/>
      <sheetName val="Сметы_за_сопровождение1"/>
      <sheetName val="ЕТС_(ф)"/>
      <sheetName val="геология_4"/>
      <sheetName val="6_144"/>
      <sheetName val="6_3_14"/>
      <sheetName val="6_204"/>
      <sheetName val="6_4_14"/>
      <sheetName val="6_11_1__сторонние4"/>
      <sheetName val="8_14_КР_(списание)ОПСТИКР4"/>
      <sheetName val="Данные_для_расчёта_сметы3"/>
      <sheetName val="6_14_КР3"/>
      <sheetName val="Текущие_цены3"/>
      <sheetName val="отчет_эл_эн__20003"/>
      <sheetName val="к_84-к_833"/>
      <sheetName val="свод_23"/>
      <sheetName val="Зап-3-_СЦБ3"/>
      <sheetName val="Пример_расчета3"/>
      <sheetName val="СметаСводная_Рыб3"/>
      <sheetName val="Коэфф1_3"/>
      <sheetName val="6_32"/>
      <sheetName val="6_72"/>
      <sheetName val="6_3_1_32"/>
      <sheetName val="Смета2_проект__раб_3"/>
      <sheetName val="Смета_13"/>
      <sheetName val="Production_and_Spend2"/>
      <sheetName val="Прайс_лист3"/>
      <sheetName val="См_1_наруж_водопровод3"/>
      <sheetName val="Разработка_проекта3"/>
      <sheetName val="КП_НовоКов3"/>
      <sheetName val="СметаСводная_1_оч3"/>
      <sheetName val="свод_(2)2"/>
      <sheetName val="Калплан_ОИ2_Макм_крестики2"/>
      <sheetName val="Св__смета2"/>
      <sheetName val="РБС_ИЗМ12"/>
      <sheetName val="Таблица_22"/>
      <sheetName val="ст_ГТМ2"/>
      <sheetName val="кп_ГК2"/>
      <sheetName val="Справочные_данные2"/>
      <sheetName val="суб_подряд3"/>
      <sheetName val="ПСБ_-_ОЭ3"/>
      <sheetName val="смета_СИД2"/>
      <sheetName val="ресурсная_вед_2"/>
      <sheetName val="КП_к_ГК2"/>
      <sheetName val="изыскания_22"/>
      <sheetName val="Калплан_Кра2"/>
      <sheetName val="6_11_новый2"/>
      <sheetName val="См_3_АСУ1"/>
      <sheetName val="Полигон_-_ИЭИ_1"/>
      <sheetName val="Смета_ТЗ_АСУ-161"/>
      <sheetName val="База_Геодезия1"/>
      <sheetName val="База_Геология1"/>
      <sheetName val="База_Геофизика1"/>
      <sheetName val="4_1_11"/>
      <sheetName val="исп_1_1_11"/>
      <sheetName val="База_Гидро1"/>
      <sheetName val="4_2_11"/>
      <sheetName val="исп_1_1_21"/>
      <sheetName val="Исп__смета_этап_1_1,_1_21"/>
      <sheetName val="КБК_ДПК"/>
      <sheetName val="ТЗ_АСУ-1"/>
      <sheetName val="лч_и_кам"/>
      <sheetName val="ИД_СМР"/>
      <sheetName val="Вспом_"/>
      <sheetName val="2_Геология"/>
      <sheetName val="Объем_работ"/>
      <sheetName val="Виды_работ_АСО"/>
      <sheetName val="таблица_руко_1"/>
      <sheetName val="ФОТ_для_смет"/>
      <sheetName val="таблица_руко_"/>
      <sheetName val="Исх__данные"/>
      <sheetName val="Main_list"/>
      <sheetName val="ПД-2_2"/>
      <sheetName val="1_14"/>
      <sheetName val="1_7"/>
      <sheetName val="Промер_глуб"/>
      <sheetName val="7"/>
      <sheetName val="Прочее"/>
      <sheetName val="ЛЧ Р"/>
      <sheetName val="GLOBAL"/>
      <sheetName val="темп"/>
      <sheetName val="Форма 2.1"/>
      <sheetName val="СВ"/>
      <sheetName val="2.1"/>
      <sheetName val="ИНСТРУКЦИЯ"/>
      <sheetName val="См_2_Шатурс_сети__проект_работы"/>
      <sheetName val="исключ_ЭХЗ"/>
      <sheetName val="Форма 9"/>
      <sheetName val="Форма 10"/>
      <sheetName val="Настройки"/>
      <sheetName val="СмРучБур"/>
      <sheetName val="Локальная смета 6-3-2"/>
      <sheetName val="Производство электроэнергии"/>
      <sheetName val="Т11"/>
      <sheetName val="Т12"/>
      <sheetName val="Т7"/>
      <sheetName val="1.1"/>
      <sheetName val="1.2-1"/>
      <sheetName val="1.2-2"/>
      <sheetName val="1.2-3"/>
      <sheetName val="1.2-4"/>
      <sheetName val="1.2-5"/>
      <sheetName val="1.3.1"/>
      <sheetName val="1.3.2"/>
      <sheetName val="1.3.3"/>
      <sheetName val="1.4.1.1"/>
      <sheetName val="1.4.1.2"/>
      <sheetName val="1.4.1.3"/>
      <sheetName val="1.4.1.5"/>
      <sheetName val="1.5"/>
      <sheetName val="№2.1"/>
      <sheetName val="№2.2-1"/>
      <sheetName val="№2.2-2"/>
      <sheetName val="№2.2-3 "/>
      <sheetName val="2.2-5 "/>
      <sheetName val="№2.3.1"/>
      <sheetName val="№2.3.2"/>
      <sheetName val="2.3.3"/>
      <sheetName val="2.4.1.1"/>
      <sheetName val="2.4.1.3"/>
      <sheetName val="№3.1"/>
      <sheetName val="№3.2-1"/>
      <sheetName val="№3.2-2"/>
      <sheetName val="№3.2-3"/>
      <sheetName val="3.2-5 "/>
      <sheetName val="3.3.1"/>
      <sheetName val="3.3.2"/>
      <sheetName val="3.3.3"/>
      <sheetName val="3.4.1.3"/>
      <sheetName val="2.6"/>
      <sheetName val="2.7"/>
      <sheetName val="4.1"/>
      <sheetName val="4.2"/>
      <sheetName val="4.3"/>
      <sheetName val="4.4"/>
      <sheetName val="4.5"/>
      <sheetName val="4.6"/>
      <sheetName val="4.7"/>
      <sheetName val="4.9"/>
      <sheetName val="4.10"/>
      <sheetName val="4.10 (3)"/>
      <sheetName val="4.10 (2)"/>
      <sheetName val="4.11"/>
      <sheetName val="4.12"/>
      <sheetName val="4.13"/>
      <sheetName val="4.14"/>
      <sheetName val="4.15"/>
      <sheetName val="4.16"/>
      <sheetName val="4.17"/>
      <sheetName val="4.18"/>
      <sheetName val="4.19"/>
      <sheetName val="5.1"/>
      <sheetName val="5.2"/>
      <sheetName val="5.3"/>
      <sheetName val="5.4"/>
      <sheetName val="5.5"/>
      <sheetName val="5.6"/>
      <sheetName val="5.7"/>
      <sheetName val="5.8"/>
      <sheetName val="Настройка"/>
      <sheetName val="База ВОП"/>
      <sheetName val="База ПИР"/>
      <sheetName val="2.2"/>
      <sheetName val="2.3"/>
      <sheetName val="2.3.2"/>
      <sheetName val="2.4"/>
      <sheetName val="2.5"/>
      <sheetName val=" Ком"/>
      <sheetName val="2.3.лаб"/>
      <sheetName val="3.1земля"/>
      <sheetName val="6.1-7.1"/>
      <sheetName val="рекульт"/>
      <sheetName val="ГО и ЧС"/>
      <sheetName val="ДПБ"/>
      <sheetName val="№3"/>
      <sheetName val="№1 СИД"/>
      <sheetName val="№2 Ком дьяк"/>
      <sheetName val="№3.2"/>
      <sheetName val="№3.3"/>
      <sheetName val="СВ смета"/>
      <sheetName val="№3.4"/>
      <sheetName val="№4 ПДЛУ и ЗУ"/>
      <sheetName val="№5 ППиМТ"/>
      <sheetName val="№6.1 ТГВ"/>
      <sheetName val="№6.2 ЭХЗ"/>
      <sheetName val="№6.3 ЭС (согл )"/>
      <sheetName val="№6.4 КИП"/>
      <sheetName val="№6.5 Согл (КИП) "/>
      <sheetName val="№6.6 МЕО "/>
      <sheetName val="№6.7 ПожБ (ПД)"/>
      <sheetName val="№6.8 Пром без (ПД)"/>
      <sheetName val="№6.9 эк аспект"/>
      <sheetName val="№6.10 ОВОС"/>
      <sheetName val="№6.11 отвод"/>
      <sheetName val="№6.12 рекул"/>
      <sheetName val="№6.13 отход"/>
      <sheetName val="№6.14 выброс"/>
      <sheetName val="№6.15 ИБ (ПД)"/>
      <sheetName val="№6.16 ИБ (РД)"/>
      <sheetName val="Список_объектов"/>
      <sheetName val="РС"/>
      <sheetName val="проектные роли"/>
      <sheetName val="Смета180"/>
      <sheetName val="ДКСС от МПС"/>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refreshError="1"/>
      <sheetData sheetId="44" refreshError="1"/>
      <sheetData sheetId="45" refreshError="1"/>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sheetData sheetId="366"/>
      <sheetData sheetId="367"/>
      <sheetData sheetId="368" refreshError="1"/>
      <sheetData sheetId="369"/>
      <sheetData sheetId="370"/>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sheetData sheetId="1051" refreshError="1"/>
      <sheetData sheetId="1052" refreshError="1"/>
      <sheetData sheetId="1053" refreshError="1"/>
      <sheetData sheetId="1054"/>
      <sheetData sheetId="1055"/>
      <sheetData sheetId="1056"/>
      <sheetData sheetId="1057"/>
      <sheetData sheetId="1058"/>
      <sheetData sheetId="1059"/>
      <sheetData sheetId="1060"/>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sheetData sheetId="1071" refreshError="1"/>
      <sheetData sheetId="1072"/>
      <sheetData sheetId="1073" refreshError="1"/>
      <sheetData sheetId="1074" refreshError="1"/>
      <sheetData sheetId="1075">
        <row r="1">
          <cell r="B1">
            <v>0</v>
          </cell>
        </row>
      </sheetData>
      <sheetData sheetId="1076" refreshError="1"/>
      <sheetData sheetId="1077" refreshError="1"/>
      <sheetData sheetId="1078" refreshError="1"/>
      <sheetData sheetId="1079" refreshError="1"/>
      <sheetData sheetId="1080" refreshError="1"/>
      <sheetData sheetId="108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sheetData sheetId="1103"/>
      <sheetData sheetId="1104"/>
      <sheetData sheetId="1105" refreshError="1"/>
      <sheetData sheetId="1106" refreshError="1"/>
      <sheetData sheetId="1107" refreshError="1"/>
      <sheetData sheetId="1108" refreshError="1"/>
      <sheetData sheetId="1109" refreshError="1"/>
      <sheetData sheetId="1110" refreshError="1"/>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refreshError="1"/>
      <sheetData sheetId="1344" refreshError="1"/>
      <sheetData sheetId="1345" refreshError="1"/>
      <sheetData sheetId="1346" refreshError="1"/>
      <sheetData sheetId="1347" refreshError="1"/>
      <sheetData sheetId="1348" refreshError="1"/>
      <sheetData sheetId="1349"/>
      <sheetData sheetId="1350"/>
      <sheetData sheetId="1351" refreshError="1"/>
      <sheetData sheetId="1352"/>
      <sheetData sheetId="1353"/>
      <sheetData sheetId="1354" refreshError="1"/>
      <sheetData sheetId="1355" refreshError="1"/>
      <sheetData sheetId="1356"/>
      <sheetData sheetId="1357" refreshError="1"/>
      <sheetData sheetId="1358" refreshError="1"/>
      <sheetData sheetId="1359" refreshError="1"/>
      <sheetData sheetId="1360" refreshError="1"/>
      <sheetData sheetId="1361" refreshError="1"/>
      <sheetData sheetId="1362" refreshError="1"/>
      <sheetData sheetId="1363"/>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sheetData sheetId="1410"/>
      <sheetData sheetId="1411" refreshError="1"/>
      <sheetData sheetId="1412"/>
      <sheetData sheetId="1413"/>
      <sheetData sheetId="1414"/>
      <sheetData sheetId="1415"/>
      <sheetData sheetId="1416"/>
      <sheetData sheetId="1417"/>
      <sheetData sheetId="1418"/>
      <sheetData sheetId="1419" refreshError="1"/>
      <sheetData sheetId="1420" refreshError="1"/>
      <sheetData sheetId="1421" refreshError="1"/>
      <sheetData sheetId="1422" refreshError="1"/>
      <sheetData sheetId="1423" refreshError="1"/>
      <sheetData sheetId="1424" refreshError="1"/>
      <sheetData sheetId="1425" refreshError="1"/>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refreshError="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refreshError="1"/>
      <sheetData sheetId="1467" refreshError="1"/>
      <sheetData sheetId="1468" refreshError="1"/>
      <sheetData sheetId="1469" refreshError="1"/>
      <sheetData sheetId="147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чет договорной цены"/>
      <sheetName val="Сводная смета"/>
      <sheetName val="Смета 1"/>
      <sheetName val="Смета 2"/>
      <sheetName val="Смета 3"/>
      <sheetName val="Смета 4"/>
      <sheetName val="Смета 5"/>
      <sheetName val="Смета 6"/>
      <sheetName val="Смета 7"/>
      <sheetName val="Смета 8"/>
      <sheetName val="Смета 9"/>
      <sheetName val="Смета 10"/>
      <sheetName val="Смета 11"/>
      <sheetName val="Смета 12"/>
      <sheetName val="Смета 13"/>
      <sheetName val="Смета 14"/>
      <sheetName val="Смета 15"/>
      <sheetName val="Смета 16"/>
      <sheetName val="Вспомогательные подсчеты"/>
      <sheetName val="Вспомогательный"/>
      <sheetName val="смета"/>
      <sheetName val="СметаСводная снег"/>
      <sheetName val="7"/>
      <sheetName val="СметаСводная"/>
      <sheetName val="Расчет_договорной_цены"/>
      <sheetName val="Сводная_смета"/>
      <sheetName val="Смета_1"/>
      <sheetName val="Смета_2"/>
      <sheetName val="Смета_3"/>
      <sheetName val="Смета_4"/>
      <sheetName val="Смета_5"/>
      <sheetName val="Смета_6"/>
      <sheetName val="Смета_7"/>
      <sheetName val="Смета_8"/>
      <sheetName val="Смета_9"/>
      <sheetName val="Смета_10"/>
      <sheetName val="Смета_11"/>
      <sheetName val="Смета_12"/>
      <sheetName val="Смета_13"/>
      <sheetName val="Смета_14"/>
      <sheetName val="Смета_15"/>
      <sheetName val="Смета_16"/>
      <sheetName val="Вспомогательные_подсчеты"/>
      <sheetName val="сводная (2)"/>
      <sheetName val="Лист опроса"/>
      <sheetName val="Дог_рас"/>
      <sheetName val="КП_СС"/>
      <sheetName val="Ф2П"/>
    </sheetNames>
    <sheetDataSet>
      <sheetData sheetId="0"/>
      <sheetData sheetId="1"/>
      <sheetData sheetId="2"/>
      <sheetData sheetId="3"/>
      <sheetData sheetId="4"/>
      <sheetData sheetId="5"/>
      <sheetData sheetId="6"/>
      <sheetData sheetId="7"/>
      <sheetData sheetId="8">
        <row r="1">
          <cell r="F1">
            <v>0.83155992578849702</v>
          </cell>
        </row>
      </sheetData>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sheetData sheetId="22" refreshError="1"/>
      <sheetData sheetId="23" refreshError="1"/>
      <sheetData sheetId="24"/>
      <sheetData sheetId="25"/>
      <sheetData sheetId="26"/>
      <sheetData sheetId="27"/>
      <sheetData sheetId="28"/>
      <sheetData sheetId="29"/>
      <sheetData sheetId="30"/>
      <sheetData sheetId="31"/>
      <sheetData sheetId="32">
        <row r="1">
          <cell r="F1">
            <v>0.83155992578849702</v>
          </cell>
        </row>
      </sheetData>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чет договорной цены"/>
      <sheetName val="Сводная смета"/>
      <sheetName val="Смета 1"/>
      <sheetName val="Смета 2"/>
      <sheetName val="Смета 3"/>
      <sheetName val="Смета 4"/>
      <sheetName val="Смета 5"/>
      <sheetName val="Смета 6"/>
      <sheetName val="Смета 7"/>
      <sheetName val="Смета 8"/>
      <sheetName val="Смета 9"/>
      <sheetName val="Смета 10"/>
      <sheetName val="Смета 11"/>
      <sheetName val="Смета 12"/>
      <sheetName val="Смета 13"/>
      <sheetName val="Смета 14"/>
      <sheetName val="Смета 15"/>
      <sheetName val="Смета 16"/>
      <sheetName val="Вспомогательные подсчеты"/>
      <sheetName val="смета"/>
      <sheetName val="Basa"/>
    </sheetNames>
    <sheetDataSet>
      <sheetData sheetId="0"/>
      <sheetData sheetId="1"/>
      <sheetData sheetId="2"/>
      <sheetData sheetId="3"/>
      <sheetData sheetId="4"/>
      <sheetData sheetId="5"/>
      <sheetData sheetId="6"/>
      <sheetData sheetId="7"/>
      <sheetData sheetId="8">
        <row r="1">
          <cell r="F1">
            <v>0.83155992578849702</v>
          </cell>
        </row>
      </sheetData>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umprop"/>
    </sheetNames>
    <definedNames>
      <definedName name="СуммаПрописью"/>
    </definedNames>
    <sheetDataSet>
      <sheetData sheetId="0"/>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ёмы ГТМ"/>
      <sheetName val="ОГС.СМР"/>
      <sheetName val="Смета наблюдений"/>
      <sheetName val="итого расходов"/>
    </sheetNames>
    <sheetDataSet>
      <sheetData sheetId="0"/>
      <sheetData sheetId="1">
        <row r="31">
          <cell r="L31">
            <v>37481.0880416</v>
          </cell>
        </row>
      </sheetData>
      <sheetData sheetId="2">
        <row r="35">
          <cell r="H35">
            <v>94584.818757524888</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ог_деньги"/>
      <sheetName val="Задание В"/>
      <sheetName val="Лист опроса"/>
      <sheetName val="Исх Тракт"/>
      <sheetName val="См_Тракт"/>
      <sheetName val="См_об Тракт"/>
      <sheetName val="Ст_ком Тракт"/>
      <sheetName val="Шаблон"/>
      <sheetName val="Шаблон_ДЦ_АПК"/>
      <sheetName val="Дог_рас"/>
      <sheetName val="Исх АПК"/>
      <sheetName val="См_АПК"/>
      <sheetName val="Об_АПК"/>
      <sheetName val="Спец_об"/>
      <sheetName val="Шаблон_Спец1"/>
      <sheetName val="Шаблон_Спец2"/>
      <sheetName val="Об_Сет"/>
      <sheetName val="См_Сет"/>
      <sheetName val="топография"/>
    </sheetNames>
    <sheetDataSet>
      <sheetData sheetId="0" refreshError="1"/>
      <sheetData sheetId="1" refreshError="1"/>
      <sheetData sheetId="2">
        <row r="6">
          <cell r="B6">
            <v>19.2</v>
          </cell>
        </row>
        <row r="10">
          <cell r="B10">
            <v>97</v>
          </cell>
        </row>
        <row r="11">
          <cell r="B11">
            <v>45</v>
          </cell>
        </row>
        <row r="12">
          <cell r="B12">
            <v>52</v>
          </cell>
        </row>
        <row r="17">
          <cell r="B17">
            <v>1.3</v>
          </cell>
        </row>
        <row r="19">
          <cell r="B19">
            <v>1.1000000000000001</v>
          </cell>
        </row>
        <row r="20">
          <cell r="B20">
            <v>1.08</v>
          </cell>
        </row>
        <row r="22">
          <cell r="B22">
            <v>35</v>
          </cell>
        </row>
        <row r="23">
          <cell r="B23">
            <v>3</v>
          </cell>
        </row>
        <row r="24">
          <cell r="B24">
            <v>81</v>
          </cell>
        </row>
        <row r="32">
          <cell r="B32">
            <v>0</v>
          </cell>
        </row>
        <row r="34">
          <cell r="B34">
            <v>0</v>
          </cell>
        </row>
        <row r="41">
          <cell r="B41">
            <v>0</v>
          </cell>
        </row>
      </sheetData>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н"/>
      <sheetName val="План1"/>
      <sheetName val="Выполнение"/>
      <sheetName val="Расчет"/>
      <sheetName val="Сводная смета"/>
      <sheetName val="Смета 1"/>
      <sheetName val="Смета 2"/>
      <sheetName val="Смета 3"/>
      <sheetName val="Вспомогательный"/>
      <sheetName val="Выполнение1"/>
      <sheetName val="лист1"/>
      <sheetName val="обновление"/>
      <sheetName val="Лист опроса"/>
      <sheetName val="См 1 наруж.водопровод"/>
      <sheetName val="топография"/>
      <sheetName val="12"/>
      <sheetName val="исх-данные"/>
      <sheetName val="сводная лес угвэ"/>
      <sheetName val="Содержание"/>
      <sheetName val="СметаСводная"/>
      <sheetName val="сводная"/>
      <sheetName val="Смета 7"/>
      <sheetName val="сводная (2)"/>
      <sheetName val="СметаСводная се"/>
      <sheetName val="свод1"/>
      <sheetName val="АД (Р)"/>
      <sheetName val="АД"/>
      <sheetName val="Smeta-5-176-1"/>
      <sheetName val="СметаСводная павильон"/>
      <sheetName val="Орг"/>
      <sheetName val="СметаСводная снег"/>
      <sheetName val="Смета"/>
      <sheetName val="служ"/>
      <sheetName val="Сводная_смета"/>
      <sheetName val="Смета_1"/>
      <sheetName val="Смета_2"/>
      <sheetName val="Смета_3"/>
      <sheetName val="См_1_наруж_водопровод"/>
      <sheetName val="ИД"/>
      <sheetName val="спецификация"/>
      <sheetName val="Упр"/>
      <sheetName val="СметаСводная 1 оч"/>
      <sheetName val="variant 1"/>
      <sheetName val="Гр5(о)"/>
      <sheetName val="шаблон"/>
      <sheetName val="СметаСводная п54"/>
      <sheetName val="СВОДКА"/>
      <sheetName val="свод"/>
    </sheetNames>
    <sheetDataSet>
      <sheetData sheetId="0"/>
      <sheetData sheetId="1"/>
      <sheetData sheetId="2"/>
      <sheetData sheetId="3"/>
      <sheetData sheetId="4"/>
      <sheetData sheetId="5"/>
      <sheetData sheetId="6">
        <row r="36">
          <cell r="D36">
            <v>1.1000000000000001</v>
          </cell>
        </row>
      </sheetData>
      <sheetData sheetId="7">
        <row r="36">
          <cell r="D36">
            <v>1.1000000000000001</v>
          </cell>
        </row>
      </sheetData>
      <sheetData sheetId="8">
        <row r="36">
          <cell r="D36">
            <v>1.1000000000000001</v>
          </cell>
        </row>
        <row r="38">
          <cell r="D38">
            <v>1.1000000000000001</v>
          </cell>
        </row>
        <row r="77">
          <cell r="D77">
            <v>0.02</v>
          </cell>
        </row>
        <row r="78">
          <cell r="D78">
            <v>0.01</v>
          </cell>
        </row>
        <row r="80">
          <cell r="D80">
            <v>0.05</v>
          </cell>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опография"/>
      <sheetName val="геология"/>
      <sheetName val="гидрология"/>
      <sheetName val="эл.химз."/>
      <sheetName val="геология "/>
      <sheetName val="ТИТУЛ"/>
      <sheetName val="6.14"/>
      <sheetName val="ОБЩЕСТВА"/>
      <sheetName val="6.3.1"/>
      <sheetName val="6.20"/>
      <sheetName val="6.4.1"/>
      <sheetName val="ПРОГНОЗ_1"/>
      <sheetName val="Смета"/>
      <sheetName val="Лист1"/>
      <sheetName val="6_11_1  сторонние"/>
      <sheetName val="установки"/>
      <sheetName val="8.14 КР (списание)ОПСТИКР"/>
      <sheetName val="Стр1"/>
      <sheetName val="Список"/>
      <sheetName val="топо"/>
      <sheetName val="эл_химз_"/>
      <sheetName val="геология_"/>
      <sheetName val="6_14"/>
      <sheetName val="6_3_1"/>
      <sheetName val="6_20"/>
      <sheetName val="6_4_1"/>
      <sheetName val="6_11_1__сторонние"/>
      <sheetName val="8_14_КР_(списание)ОПСТИКР"/>
      <sheetName val="Списки"/>
      <sheetName val="6.14_КР"/>
      <sheetName val="Данные для расчёта сметы"/>
      <sheetName val="Прилож"/>
      <sheetName val="ПДР"/>
      <sheetName val="DATA"/>
      <sheetName val="вариант"/>
      <sheetName val="Обновление"/>
      <sheetName val="Цена"/>
      <sheetName val="Product"/>
      <sheetName val="см8"/>
      <sheetName val="Summary"/>
      <sheetName val="Пример расчета"/>
      <sheetName val="свод 2"/>
      <sheetName val="Табл38-7"/>
      <sheetName val="Зап-3- СЦБ"/>
      <sheetName val="все"/>
      <sheetName val="информация"/>
      <sheetName val="Кредиты"/>
      <sheetName val="СметаСводная Рыб"/>
      <sheetName val="Нормы"/>
      <sheetName val="13.1"/>
      <sheetName val="Текущие цены"/>
      <sheetName val="рабочий"/>
      <sheetName val="окраска"/>
      <sheetName val="отчет эл_эн  2000"/>
      <sheetName val="Счет-Фактура"/>
      <sheetName val="к.84-к.83"/>
      <sheetName val="Коэфф1."/>
      <sheetName val="График"/>
      <sheetName val="эл_химз_1"/>
      <sheetName val="геология_1"/>
      <sheetName val="6_141"/>
      <sheetName val="6_3_11"/>
      <sheetName val="6_201"/>
      <sheetName val="6_4_11"/>
      <sheetName val="6_11_1__сторонние1"/>
      <sheetName val="8_14_КР_(списание)ОПСТИКР1"/>
      <sheetName val="Данные_для_расчёта_сметы"/>
      <sheetName val="6_14_КР"/>
      <sheetName val="свод_2"/>
      <sheetName val="Зап-3-_СЦБ"/>
      <sheetName val="13_1"/>
      <sheetName val="Пример_расчета"/>
      <sheetName val="СметаСводная_Рыб"/>
      <sheetName val="ПОДПИСИ"/>
      <sheetName val="РАСЧЕТ"/>
      <sheetName val="Текущие_цены"/>
      <sheetName val="отчет_эл_эн__2000"/>
      <sheetName val="к_84-к_83"/>
      <sheetName val="6.3"/>
      <sheetName val="6.7"/>
      <sheetName val="6.3.1.3"/>
      <sheetName val="Лист2"/>
      <sheetName val="КП (2)"/>
      <sheetName val="Бюджет"/>
      <sheetName val="Norm"/>
      <sheetName val="sapactivexlhiddensheet"/>
      <sheetName val="свод 3"/>
      <sheetName val="ID"/>
      <sheetName val="СС"/>
      <sheetName val="Opex personnel (Term facs)"/>
      <sheetName val="ЭХЗ"/>
      <sheetName val="РасчетКомандир1"/>
      <sheetName val="РасчетКомандир2"/>
      <sheetName val="Коэфф"/>
      <sheetName val="Смета2 проект. раб."/>
      <sheetName val="Суточная"/>
      <sheetName val="Смета 1"/>
      <sheetName val="РП"/>
      <sheetName val="данные"/>
      <sheetName val="Баланс"/>
      <sheetName val="Смета2_проект__раб_"/>
      <sheetName val="Смета_1"/>
      <sheetName val="СМЕТА проект"/>
      <sheetName val="Production and Spend"/>
      <sheetName val="OCK1"/>
      <sheetName val="Шкаф"/>
      <sheetName val="Прайс лист"/>
      <sheetName val="1.3"/>
      <sheetName val="ИГ1"/>
      <sheetName val="К.рын"/>
      <sheetName val="Сводная смета"/>
      <sheetName val="Землеотвод"/>
      <sheetName val="шаблон"/>
      <sheetName val="См 1 наруж.водопровод"/>
      <sheetName val="Восстановл_Лист7"/>
      <sheetName val="Восстановл_Лист13"/>
      <sheetName val="Восстановл_Лист15"/>
      <sheetName val="Восстановл_Лист19"/>
      <sheetName val="Восстановл_Лист44"/>
      <sheetName val="Восстановл_Лист6"/>
      <sheetName val="Восстановл_Лист4"/>
      <sheetName val="Восстановл_Лист45"/>
      <sheetName val="Восстановл_Лист9"/>
      <sheetName val="Восстановл_Лист10"/>
      <sheetName val="Восстановл_Лист46"/>
      <sheetName val="Восстановл_Лист11"/>
      <sheetName val="Восстановл_Лист47"/>
      <sheetName val="Восстановл_Лист20"/>
      <sheetName val="Восстановл_Лист49"/>
      <sheetName val="Восстановл_Лист21"/>
      <sheetName val="свод"/>
      <sheetName val="сводная"/>
      <sheetName val="Разработка проекта"/>
      <sheetName val="КП НовоКов"/>
      <sheetName val="СметаСводная 1 оч"/>
      <sheetName val="Коэфф1_"/>
      <sheetName val="Прайс_лист"/>
      <sheetName val="См_1_наруж_водопровод"/>
      <sheetName val="Разработка_проекта"/>
      <sheetName val="КП_НовоКов"/>
      <sheetName val="СметаСводная_1_оч"/>
      <sheetName val="Переменные и константы"/>
      <sheetName val="пятилетка"/>
      <sheetName val="мониторинг"/>
      <sheetName val="свод (2)"/>
      <sheetName val="Калплан ОИ2 Макм крестики"/>
      <sheetName val="СметаСводная павильон"/>
      <sheetName val="93-110"/>
      <sheetName val="Св. смета"/>
      <sheetName val="РБС ИЗМ1"/>
      <sheetName val="СметаСводная снег"/>
      <sheetName val="Лист опроса"/>
      <sheetName val="Исполнение _освоение по закупк_"/>
      <sheetName val="Исполнение для Ускова"/>
      <sheetName val="Выборка по отсыпкам"/>
      <sheetName val="ИП _отсыпки_"/>
      <sheetName val="ИП _отсыпки_ФОТ_диз_т_"/>
      <sheetName val="ИП _отсыпки_ _выборка_"/>
      <sheetName val="Исполнение по оборуд_"/>
      <sheetName val="Исполнение по оборуд_ _2_"/>
      <sheetName val="Исполнение сжато"/>
      <sheetName val="Форма для бурения"/>
      <sheetName val="Форма для КС"/>
      <sheetName val="Форма для ГР"/>
      <sheetName val="Корректировка"/>
      <sheetName val="Смета 1свод"/>
      <sheetName val="таблица руководству"/>
      <sheetName val="Суточная добыча за неделю"/>
      <sheetName val="list"/>
      <sheetName val="Прибыль опл"/>
      <sheetName val="Вспомогательный"/>
      <sheetName val="сохранить"/>
      <sheetName val="5ОборРабМест(HP)"/>
      <sheetName val="№5 СУБ Инж защ"/>
      <sheetName val="HP и оргтехника"/>
      <sheetName val="Calc"/>
      <sheetName val="История"/>
      <sheetName val="Р1"/>
      <sheetName val="Параметры_i"/>
      <sheetName val="Таблица 2"/>
      <sheetName val="свод1"/>
      <sheetName val="Таблица 4 АСУТП"/>
      <sheetName val="Input"/>
      <sheetName val="Calculation"/>
      <sheetName val="ст ГТМ"/>
      <sheetName val="ПДР ООО &quot;Юкос ФБЦ&quot;"/>
      <sheetName val="исходные данные"/>
      <sheetName val="расчетные таблицы"/>
      <sheetName val="Амур ДОН"/>
      <sheetName val="кп ГК"/>
      <sheetName val="Справочные данные"/>
      <sheetName val="Б.Сатка"/>
      <sheetName val="total"/>
      <sheetName val="Комплектация"/>
      <sheetName val="трубы"/>
      <sheetName val="СМР"/>
      <sheetName val="дороги"/>
      <sheetName val="2002(v2)"/>
      <sheetName val="справ."/>
      <sheetName val="справ_"/>
      <sheetName val="2002_v2_"/>
      <sheetName val="СметаСводная"/>
      <sheetName val="оборудован"/>
      <sheetName val="Упр"/>
      <sheetName val="Перечень ИУ"/>
      <sheetName val="РН-ПНГ"/>
      <sheetName val="влад-таблица"/>
      <sheetName val="2002(v1)"/>
      <sheetName val="3.1 ТХ"/>
      <sheetName val="ЗП_ЮНГ"/>
      <sheetName val="НМА"/>
      <sheetName val="оператор"/>
      <sheetName val="исх_данные"/>
      <sheetName val="СметаСводная Колпино"/>
      <sheetName val="Подрядчики"/>
      <sheetName val="Январь"/>
      <sheetName val="Итог"/>
      <sheetName val="мсн"/>
      <sheetName val="мат"/>
      <sheetName val="3.5"/>
      <sheetName val="справка"/>
      <sheetName val="суб.подряд"/>
      <sheetName val="ПСБ - ОЭ"/>
      <sheetName val="суб_подряд"/>
      <sheetName val="ПСБ_-_ОЭ"/>
      <sheetName val="Смета 2"/>
      <sheetName val="D"/>
      <sheetName val="Ачинский НПЗ"/>
      <sheetName val="4"/>
      <sheetName val="ИД"/>
      <sheetName val="См3 СЦБ-зап"/>
      <sheetName val="Хаттон 90.90 Femco"/>
      <sheetName val="ИД1"/>
      <sheetName val="свод общ"/>
      <sheetName val="Смета 5.2. Кусты25,29,31,65"/>
      <sheetName val="смета СИД"/>
      <sheetName val="часы"/>
      <sheetName val="ресурсная вед."/>
      <sheetName val="ИДвалка"/>
      <sheetName val="р.Волхов"/>
      <sheetName val="КП к ГК"/>
      <sheetName val="изыскания 2"/>
      <sheetName val="Калплан Кра"/>
      <sheetName val="Материалы"/>
      <sheetName val="6.11 новый"/>
      <sheetName val="Капитальные затраты"/>
      <sheetName val="накладная"/>
      <sheetName val="Акт"/>
      <sheetName val="1"/>
      <sheetName val="Пояснение "/>
      <sheetName val="3.1"/>
      <sheetName val="Коммерческие расходы"/>
      <sheetName val="RSOILBAL"/>
      <sheetName val="смета 2 проект. работы"/>
      <sheetName val="4сд"/>
      <sheetName val="2сд"/>
      <sheetName val="7сд"/>
      <sheetName val="MAIN_PARAMETERS"/>
      <sheetName val="СС замеч с ответами"/>
      <sheetName val="начало"/>
      <sheetName val="Main"/>
      <sheetName val="УП _2004"/>
      <sheetName val="в работу"/>
      <sheetName val="1ПС"/>
      <sheetName val="Курсы"/>
      <sheetName val="3.2"/>
      <sheetName val="3.3"/>
      <sheetName val="Р2.1"/>
      <sheetName val="Р2.2"/>
      <sheetName val="Р3"/>
      <sheetName val="Р4"/>
      <sheetName val="Р5"/>
      <sheetName val="Р7"/>
      <sheetName val="Удельные(проф.)"/>
      <sheetName val="Спецификация"/>
      <sheetName val="Константы и результаты"/>
      <sheetName val="Лизинг"/>
      <sheetName val="расчет №3"/>
      <sheetName val="20_Кредиты краткосрочные"/>
      <sheetName val="Перечень Заказчиков"/>
      <sheetName val="2.2 "/>
      <sheetName val="Хар_"/>
      <sheetName val="С1_"/>
      <sheetName val="СтрЗапасов (2)"/>
      <sheetName val="Lim"/>
      <sheetName val="Справочник"/>
      <sheetName val="PwC Copies from old models --&gt;&gt;"/>
      <sheetName val="Справочники"/>
      <sheetName val="Journals"/>
      <sheetName val="ц_1991"/>
      <sheetName val="rvldmrv"/>
      <sheetName val="Сравнение ДПН факт 06-07"/>
      <sheetName val="Параметры"/>
      <sheetName val="трансформация1"/>
      <sheetName val="НМ расчеты"/>
      <sheetName val="Names"/>
      <sheetName val="breakdown"/>
      <sheetName val="Destination"/>
      <sheetName val="ДКС"/>
      <sheetName val="Етыпур"/>
      <sheetName val="НВГПЗ"/>
      <sheetName val="НГКХ"/>
      <sheetName val="ПСП"/>
      <sheetName val="Тобольск"/>
      <sheetName val="УПН"/>
      <sheetName val="ПСПавтодор"/>
      <sheetName val="НГХК"/>
      <sheetName val="КП к снег Рыбинская"/>
      <sheetName val="EKDEB90"/>
      <sheetName val="Коэф КВ"/>
      <sheetName val="К"/>
      <sheetName val="Смета терзем"/>
      <sheetName val="Кал.план Жукова даты - не надо"/>
      <sheetName val="кп"/>
      <sheetName val="матер."/>
      <sheetName val="КП Прим (3)"/>
      <sheetName val="Лист3"/>
      <sheetName val="АЧ"/>
      <sheetName val="кп (3)"/>
      <sheetName val="СП"/>
      <sheetName val="фонтан разбитый2"/>
      <sheetName val="Баланс (Ф1)"/>
      <sheetName val="Смета-Т"/>
      <sheetName val=""/>
      <sheetName val="Смета 3 Гидролог"/>
      <sheetName val="Записка СЦБ"/>
      <sheetName val="ИПЦ2002-2004"/>
      <sheetName val="РС "/>
      <sheetName val="Восстановл_Лист75"/>
      <sheetName val="Восстановл_Лист76"/>
      <sheetName val="Восстановл_Лист77"/>
      <sheetName val="Восстановл_Лист78"/>
      <sheetName val="Восстановл_Лист79"/>
      <sheetName val="Восстановл_Лист80"/>
      <sheetName val="Восстановл_Лист81"/>
      <sheetName val="Восстановл_Лист82"/>
      <sheetName val="Восстановл_Лист83"/>
      <sheetName val="Восстановл_Лист84"/>
      <sheetName val="Восстановл_Лист85"/>
      <sheetName val="Восстановл_Лист88"/>
      <sheetName val="Восстановл_Лист91"/>
      <sheetName val="Восстановл_Лист92"/>
      <sheetName val="Восстановл_Лист86"/>
      <sheetName val="Восстановл_Лист89"/>
      <sheetName val="Восстановл_Лист87"/>
      <sheetName val="Восстановл_Лист90"/>
      <sheetName val="Восстановл_Лист93"/>
      <sheetName val="Восстановл_Лист94"/>
      <sheetName val="Восстановл_Лист95"/>
      <sheetName val="Восстановл_Лист38"/>
      <sheetName val="Восстановл_Лист40"/>
      <sheetName val="Восстановл_Лист39"/>
      <sheetName val="Восстановл_Лист41"/>
      <sheetName val="Восстановл_Лист8"/>
      <sheetName val="Восстановл_Лист17"/>
      <sheetName val="Общая часть"/>
      <sheetName val="Табл.5"/>
      <sheetName val="Табл.2"/>
      <sheetName val="Исх.данные"/>
      <sheetName val="ВКЕ"/>
      <sheetName val="Additives"/>
      <sheetName val="Ryazan"/>
      <sheetName val="Assumpt"/>
      <sheetName val="Control"/>
      <sheetName val="См №3 ОПР"/>
      <sheetName val="см.№6 АВЗУ и ГПЗУ"/>
      <sheetName val="Геофизика"/>
      <sheetName val="Геодезия"/>
      <sheetName val="Экология1"/>
      <sheetName val="АУП"/>
      <sheetName val="CENTR"/>
      <sheetName val="Input Assumptions"/>
      <sheetName val="DMTR_BP_03"/>
      <sheetName val="см №1.1 Геодезические работы "/>
      <sheetName val="см №1.4 Экология "/>
      <sheetName val="АСУ ТП 1 этап ПД"/>
      <sheetName val="Расчет курса"/>
      <sheetName val="XLR_NoRangeSheet"/>
      <sheetName val="НЕДЕЛИ"/>
      <sheetName val="GD"/>
      <sheetName val="Source lists"/>
      <sheetName val="геолог"/>
      <sheetName val="Курс доллара"/>
      <sheetName val="Календарь новый"/>
      <sheetName val="Смета № 1 ИИ линия"/>
      <sheetName val="Дополнительные параметры"/>
      <sheetName val="ЛЧ"/>
      <sheetName val="Leistungsakt"/>
      <sheetName val="Свод объем"/>
      <sheetName val="Дог цена"/>
      <sheetName val="SakhNIPI5"/>
      <sheetName val="ПИР"/>
      <sheetName val="1155"/>
      <sheetName val="выборка на22 июня"/>
      <sheetName val="HP_и_оргтехника"/>
      <sheetName val="СМЕТА_проект"/>
      <sheetName val="Лист_опроса"/>
      <sheetName val="ОПС"/>
      <sheetName val="СметаСводная_снег"/>
      <sheetName val="Хаттон_90_90_Femco"/>
      <sheetName val="свод_общ"/>
      <sheetName val="таблица_руководству"/>
      <sheetName val="Суточная_добыча_за_неделю"/>
      <sheetName val="СметаСводная_павильон"/>
      <sheetName val="3труба (П)"/>
      <sheetName val="15"/>
      <sheetName val="Восстановл_Лист37"/>
      <sheetName val="Объемы работ по ПВ"/>
      <sheetName val="16"/>
      <sheetName val="Таблица 5"/>
      <sheetName val="Таблица 3"/>
      <sheetName val="Коэф"/>
      <sheetName val="1.401.2"/>
      <sheetName val="PO Data"/>
      <sheetName val="Rub"/>
      <sheetName val="ПД"/>
      <sheetName val="свод_3"/>
      <sheetName val="3_1"/>
      <sheetName val="Коммерческие_расходы"/>
      <sheetName val="СС_замеч_с_ответами"/>
      <sheetName val="ПДР_ООО_&quot;Юкос_ФБЦ&quot;"/>
      <sheetName val="УП__2004"/>
      <sheetName val="Ачинский_НПЗ"/>
      <sheetName val="3_2"/>
      <sheetName val="3_3"/>
      <sheetName val="Р2_1"/>
      <sheetName val="Р2_2"/>
      <sheetName val="Удельные(проф_)"/>
      <sheetName val="Константы_и_результаты"/>
      <sheetName val="расчет_№3"/>
      <sheetName val="в_работу"/>
      <sheetName val="№5_СУБ_Инж_защ"/>
      <sheetName val="Сводная_смета"/>
      <sheetName val="исходные_данные"/>
      <sheetName val="расчетные_таблицы"/>
      <sheetName val="Исполнение__освоение_по_закупк_"/>
      <sheetName val="Исполнение_для_Ускова"/>
      <sheetName val="Выборка_по_отсыпкам"/>
      <sheetName val="ИП__отсыпки_"/>
      <sheetName val="ИП__отсыпки_ФОТ_диз_т_"/>
      <sheetName val="ИП__отсыпки___выборка_"/>
      <sheetName val="Исполнение_по_оборуд_"/>
      <sheetName val="Исполнение_по_оборуд___2_"/>
      <sheetName val="Исполнение_сжато"/>
      <sheetName val="Форма_для_бурения"/>
      <sheetName val="Форма_для_КС"/>
      <sheetName val="Форма_для_ГР"/>
      <sheetName val="Смета_1свод"/>
      <sheetName val="Прибыль_опл"/>
      <sheetName val="Амур_ДОН"/>
      <sheetName val="справ_1"/>
      <sheetName val="Перечень_ИУ"/>
      <sheetName val="3_1_ТХ"/>
      <sheetName val="1_3"/>
      <sheetName val="К_рын"/>
      <sheetName val="3_5"/>
      <sheetName val="См3_СЦБ-зап"/>
      <sheetName val="СметаСводная_Колпино"/>
      <sheetName val="Смета_2"/>
      <sheetName val="Таблица_4_АСУТП"/>
      <sheetName val="20_Кредиты_краткосрочные"/>
      <sheetName val="Перечень_Заказчиков"/>
      <sheetName val="Переменные_и_константы"/>
      <sheetName val="КП_к_снег_Рыбинская"/>
      <sheetName val="Смета_5_2__Кусты25,29,31,65"/>
      <sheetName val="Табл_5"/>
      <sheetName val="Табл_2"/>
      <sheetName val="Капитальные_затраты"/>
      <sheetName val="Opex_personnel_(Term_facs)"/>
      <sheetName val="КП_(2)"/>
      <sheetName val="2_2_"/>
      <sheetName val="Исходные"/>
      <sheetName val="Капвложения"/>
      <sheetName val="259-290"/>
      <sheetName val="р.Нева"/>
      <sheetName val="р.Молога"/>
      <sheetName val="518-540"/>
      <sheetName val="470-518"/>
      <sheetName val="365-405"/>
      <sheetName val="290-365"/>
      <sheetName val="157-259"/>
      <sheetName val="132-157"/>
      <sheetName val="405-470"/>
      <sheetName val="111-132"/>
      <sheetName val="111"/>
      <sheetName val="Сахалин"/>
      <sheetName val="Чумляк"/>
      <sheetName val="18 рек Ю-Х"/>
      <sheetName val="нпс Палкино"/>
      <sheetName val="Россия - Китай"/>
      <sheetName val="КМ 210-238"/>
      <sheetName val="БТС-2 км 405-459"/>
      <sheetName val="БТС-2 км 405-453"/>
      <sheetName val="БТС-2 км 313-352"/>
      <sheetName val="БТС-2 км326-352"/>
      <sheetName val="Улейма И"/>
      <sheetName val="Белая УБКА"/>
      <sheetName val="Уфа"/>
      <sheetName val="км 72-75р.Левоннька"/>
      <sheetName val="dgghg"/>
      <sheetName val="бтс-2"/>
      <sheetName val="колва"/>
      <sheetName val="Чермасан"/>
      <sheetName val="Корожечна"/>
      <sheetName val="Колтасы-Куйбышев"/>
      <sheetName val="Самара"/>
      <sheetName val="Мишуга"/>
      <sheetName val="киенгоп-н.Челны км 104-206"/>
      <sheetName val="ВЛ Урдома"/>
      <sheetName val="Вл Микунь Урдома"/>
      <sheetName val="ВЛ Синдор-Микунь"/>
      <sheetName val="Тон Чермасан"/>
      <sheetName val="Трасса км 16-147"/>
      <sheetName val="Тверца"/>
      <sheetName val="трасса 0-76"/>
      <sheetName val="Колва 78"/>
      <sheetName val="Гидрология .р.Колва км 38"/>
      <sheetName val="Восстановл_Лист5"/>
      <sheetName val="Восстановл_Лист29"/>
      <sheetName val="Восстановл_Лист2"/>
      <sheetName val="Восстановл_Лист27"/>
      <sheetName val="Восстановл_Лист28"/>
      <sheetName val="Восстановл_Лист12"/>
      <sheetName val="Восстановл_Лист14"/>
      <sheetName val="Восстановл_Лист1"/>
      <sheetName val="Восстановл_Лист18"/>
      <sheetName val="Восстановл_Лист25"/>
      <sheetName val="ГПК"/>
      <sheetName val="Западн"/>
      <sheetName val="ПСП "/>
      <sheetName val="Спр_общий"/>
      <sheetName val="р_Волхов"/>
      <sheetName val="р_Нева"/>
      <sheetName val="р_Молога"/>
      <sheetName val="18_рек_Ю-Х"/>
      <sheetName val="нпс_Палкино"/>
      <sheetName val="Россия_-_Китай"/>
      <sheetName val="КМ_210-238"/>
      <sheetName val="БТС-2_км_405-459"/>
      <sheetName val="БТС-2_км_405-453"/>
      <sheetName val="БТС-2_км_313-352"/>
      <sheetName val="БТС-2_км326-352"/>
      <sheetName val="Улейма_И"/>
      <sheetName val="Белая_УБКА"/>
      <sheetName val="км_72-75р_Левоннька"/>
      <sheetName val="Б_Сатка"/>
      <sheetName val="киенгоп-н_Челны_км_104-206"/>
      <sheetName val="ВЛ_Урдома"/>
      <sheetName val="Вл_Микунь_Урдома"/>
      <sheetName val="ВЛ_Синдор-Микунь"/>
      <sheetName val="Тон_Чермасан"/>
      <sheetName val="Трасса_км_16-147"/>
      <sheetName val="трасса_0-76"/>
      <sheetName val="Колва_78"/>
      <sheetName val="Гидрология__р_Колва_км_38"/>
      <sheetName val="ПСП_"/>
      <sheetName val="Стр1По"/>
      <sheetName val="Новая сводка (до бюджета) (2)"/>
      <sheetName val="Что пришло"/>
      <sheetName val="влад-таблица (2)"/>
      <sheetName val="Новая сводка (до бюджета)"/>
      <sheetName val="Сводка"/>
      <sheetName val="Новая сводка"/>
      <sheetName val="Бю-т"/>
      <sheetName val="ПерехОстатки"/>
      <sheetName val="Общие расходы"/>
      <sheetName val="Новая сводка (по бюджету)"/>
      <sheetName val="âëàä-òàáëèöà"/>
      <sheetName val="Íîâàÿ ñâîäêà (äî áþäæåòà) (2)"/>
      <sheetName val="×òî ïðèøëî"/>
      <sheetName val="âëàä-òàáëèöà (2)"/>
      <sheetName val="Íîâàÿ ñâîäêà (äî áþäæåòà)"/>
      <sheetName val="Ñâîäêà"/>
      <sheetName val="Íîâàÿ ñâîäêà"/>
      <sheetName val="Áþ-ò"/>
      <sheetName val="ÏåðåõÎñòàòêè"/>
      <sheetName val="Îáùèå ðàñõîäû"/>
      <sheetName val="Íîâàÿ ñâîäêà (ïî áþäæåòó)"/>
      <sheetName val="влад_таблица"/>
      <sheetName val="6.10.1"/>
      <sheetName val="Восстановл_Лист16"/>
      <sheetName val="6.7.3_ТН"/>
      <sheetName val="6.1"/>
      <sheetName val="НДС"/>
      <sheetName val="Гр5(о)"/>
      <sheetName val="пр_5_1"/>
      <sheetName val="Россия"/>
      <sheetName val="Украина"/>
      <sheetName val="Белорусия"/>
      <sheetName val="6.52-свод"/>
      <sheetName val="Новая_сводка_(до_бюджета)_(2)"/>
      <sheetName val="Что_пришло"/>
      <sheetName val="влад-таблица_(2)"/>
      <sheetName val="Новая_сводка_(до_бюджета)"/>
      <sheetName val="Новая_сводка"/>
      <sheetName val="Общие_расходы"/>
      <sheetName val="Новая_сводка_(по_бюджету)"/>
      <sheetName val="Íîâàÿ_ñâîäêà_(äî_áþäæåòà)_(2)"/>
      <sheetName val="×òî_ïðèøëî"/>
      <sheetName val="âëàä-òàáëèöà_(2)"/>
      <sheetName val="Íîâàÿ_ñâîäêà_(äî_áþäæåòà)"/>
      <sheetName val="Íîâàÿ_ñâîäêà"/>
      <sheetName val="Îáùèå_ðàñõîäû"/>
      <sheetName val="Íîâàÿ_ñâîäêà_(ïî_áþäæåòó)"/>
      <sheetName val="6_10_1"/>
      <sheetName val="6_7_3_ТН"/>
      <sheetName val="6_1"/>
      <sheetName val="ЦО"/>
      <sheetName val="Статьи"/>
      <sheetName val="2"/>
      <sheetName val="Новая_сводка_(до_бюджета)_(2)1"/>
      <sheetName val="Что_пришло1"/>
      <sheetName val="влад-таблица_(2)1"/>
      <sheetName val="Новая_сводка_(до_бюджета)1"/>
      <sheetName val="Новая_сводка1"/>
      <sheetName val="Общие_расходы1"/>
      <sheetName val="Новая_сводка_(по_бюджету)1"/>
      <sheetName val="Íîâàÿ_ñâîäêà_(äî_áþäæåòà)_(2)1"/>
      <sheetName val="×òî_ïðèøëî1"/>
      <sheetName val="âëàä-òàáëèöà_(2)1"/>
      <sheetName val="Íîâàÿ_ñâîäêà_(äî_áþäæåòà)1"/>
      <sheetName val="Íîâàÿ_ñâîäêà1"/>
      <sheetName val="Îáùèå_ðàñõîäû1"/>
      <sheetName val="Íîâàÿ_ñâîäêà_(ïî_áþäæåòó)1"/>
      <sheetName val="6_10_11"/>
      <sheetName val="6_7_3_ТН1"/>
      <sheetName val="6_11"/>
      <sheetName val="6_52-свод"/>
      <sheetName val="ДДС (Форма №3)"/>
      <sheetName val="09-07"/>
      <sheetName val="Титул1"/>
      <sheetName val="Титул2"/>
      <sheetName val="Титул3"/>
      <sheetName val="Info"/>
      <sheetName val="свод_ИИР"/>
      <sheetName val="М_1"/>
      <sheetName val="Сводная "/>
      <sheetName val="7.ТХ Сети (кор)"/>
      <sheetName val="Tier 311208"/>
      <sheetName val="Акт выбора"/>
      <sheetName val="См.№7 Эл."/>
      <sheetName val="См.№8 Пож."/>
      <sheetName val="См.№3 ВиК"/>
      <sheetName val="РСС_АУ"/>
      <sheetName val="Раб.АУ"/>
      <sheetName val="Восстановл_Лист42"/>
      <sheetName val="Восстановл_Лист22"/>
      <sheetName val="Восстановл_Лист43"/>
      <sheetName val="Восстановл_Лист24"/>
      <sheetName val="Восстановл_Лист48"/>
      <sheetName val="Восстановл_Лист50"/>
      <sheetName val="Восстановл_Лист30"/>
      <sheetName val="Восстановл_Лист51"/>
      <sheetName val="Восстановл_Лист23"/>
      <sheetName val="Восстановл_Лист32"/>
      <sheetName val="Восстановл_Лист52"/>
      <sheetName val="Восстановл_Лист53"/>
      <sheetName val="Восстановл_Лист55"/>
      <sheetName val="Восстановл_Лист56"/>
      <sheetName val="Восстановл_Лист26"/>
      <sheetName val="Восстановл_Лист57"/>
      <sheetName val="Восстановл_Лист58"/>
      <sheetName val="Восстановл_Лист59"/>
      <sheetName val="Восстановл_Лист60"/>
      <sheetName val="Восстановл_Лист61"/>
      <sheetName val="Восстановл_Лист3"/>
      <sheetName val="Восстановл_Лист62"/>
      <sheetName val="Восстановл_Лист63"/>
      <sheetName val="Восстановл_Лист64"/>
      <sheetName val="Восстановл_Лист35"/>
      <sheetName val="Восстановл_Лист67"/>
      <sheetName val="Восстановл_Лист68"/>
      <sheetName val="Восстановл_Лист65"/>
      <sheetName val="Восстановл_Лист69"/>
      <sheetName val="Восстановл_Лист66"/>
      <sheetName val="Восстановл_Лист97"/>
      <sheetName val="Восстановл_Лист54"/>
      <sheetName val="Восстановл_Лист70"/>
      <sheetName val="Восстановл_Лист96"/>
      <sheetName val="Восстановл_Лист33"/>
      <sheetName val="Восстановл_Лист71"/>
      <sheetName val="Восстановл_Лист36"/>
      <sheetName val="Восстановл_Лист98"/>
      <sheetName val="Восстановл_Лист34"/>
      <sheetName val="Восстановл_Лист72"/>
      <sheetName val="Восстановл_Лист73"/>
      <sheetName val="Восстановл_Лист74"/>
      <sheetName val="Восстановл_Лист31"/>
      <sheetName val="№1"/>
      <sheetName val="Сметы за сопровождение"/>
      <sheetName val="СМ_x000b__x0011__x0012__x000c__x0011__x0011__x0011__x0011__x0011__x0011_"/>
      <sheetName val="ᄀᄀᄀᄀᄀᄀᄀᄀᄀᄀᄀᄀᄀᄀᄀᄀᄀ"/>
      <sheetName val="См.3_АСУ"/>
      <sheetName val="Полигон - ИЭИ "/>
      <sheetName val="Ком"/>
      <sheetName val="Смета ТЗ АСУ-16"/>
      <sheetName val="База Геодезия"/>
      <sheetName val="База Геология"/>
      <sheetName val="База Геофизика"/>
      <sheetName val="4.1.1"/>
      <sheetName val="исп.1.1.1"/>
      <sheetName val="База Гидро"/>
      <sheetName val="4.2.1"/>
      <sheetName val="исп.1.1.2"/>
      <sheetName val="Исп. смета этап 1.1, 1.2"/>
      <sheetName val="Экология-3"/>
      <sheetName val="АСУ-линия-1"/>
      <sheetName val="ТЗ АСУ-1"/>
      <sheetName val="лч и кам"/>
      <sheetName val="2-stage"/>
      <sheetName val="ИД СМР"/>
      <sheetName val="Вспом."/>
      <sheetName val="УКП"/>
      <sheetName val="БД"/>
      <sheetName val="Норм"/>
      <sheetName val="Лист4"/>
      <sheetName val="Общий"/>
      <sheetName val="ТабР"/>
      <sheetName val="Lucent"/>
      <sheetName val="BACT"/>
      <sheetName val="Общ"/>
      <sheetName val="эл_химз_2"/>
      <sheetName val="геология_2"/>
      <sheetName val="6_142"/>
      <sheetName val="6_3_12"/>
      <sheetName val="6_202"/>
      <sheetName val="6_4_12"/>
      <sheetName val="6_11_1__сторонние2"/>
      <sheetName val="8_14_КР_(списание)ОПСТИКР2"/>
      <sheetName val="6_14_КР1"/>
      <sheetName val="Данные_для_расчёта_сметы1"/>
      <sheetName val="Пример_расчета1"/>
      <sheetName val="свод_21"/>
      <sheetName val="Зап-3-_СЦБ1"/>
      <sheetName val="СметаСводная_Рыб1"/>
      <sheetName val="Текущие_цены1"/>
      <sheetName val="отчет_эл_эн__20001"/>
      <sheetName val="к_84-к_831"/>
      <sheetName val="Коэфф1_1"/>
      <sheetName val="6_3"/>
      <sheetName val="6_7"/>
      <sheetName val="6_3_1_3"/>
      <sheetName val="Смета2_проект__раб_1"/>
      <sheetName val="Смета_11"/>
      <sheetName val="Production_and_Spend"/>
      <sheetName val="Прайс_лист1"/>
      <sheetName val="См_1_наруж_водопровод1"/>
      <sheetName val="Разработка_проекта1"/>
      <sheetName val="КП_НовоКов1"/>
      <sheetName val="СметаСводная_1_оч1"/>
      <sheetName val="свод_(2)"/>
      <sheetName val="Калплан_ОИ2_Макм_крестики"/>
      <sheetName val="Св__смета"/>
      <sheetName val="РБС_ИЗМ1"/>
      <sheetName val="Таблица_2"/>
      <sheetName val="ст_ГТМ"/>
      <sheetName val="кп_ГК"/>
      <sheetName val="Справочные_данные"/>
      <sheetName val="суб_подряд1"/>
      <sheetName val="ПСБ_-_ОЭ1"/>
      <sheetName val="смета_СИД"/>
      <sheetName val="ресурсная_вед_"/>
      <sheetName val="КП_к_ГК"/>
      <sheetName val="изыскания_2"/>
      <sheetName val="Калплан_Кра"/>
      <sheetName val="6_11_новый"/>
      <sheetName val="СМ"/>
      <sheetName val="8"/>
      <sheetName val="исх-данные"/>
      <sheetName val="MararashAA"/>
      <sheetName val="ПРОЦЕНТЫ"/>
      <sheetName val="Пра_x0000_с_лист"/>
      <sheetName val="ПС_x0000__x0000__x0000__x0000__x0000__x0000_"/>
      <sheetName val="Бл.электр."/>
      <sheetName val="2 Геология"/>
      <sheetName val="Объем работ"/>
      <sheetName val="Виды работ АСО"/>
      <sheetName val="таблица_руко_x0019__x0015__x0009__x0003__x000c__x0011__x0011_"/>
      <sheetName val="ФОТ для смет"/>
      <sheetName val="ЛС_РЕС"/>
      <sheetName val="_x0000__x0000_"/>
      <sheetName val="таблица_руко_x0019__x0015_ _x0003__x000c__x0011__x0011_"/>
      <sheetName val="КБК ДПК"/>
      <sheetName val="Сводный"/>
      <sheetName val="3_гидромет"/>
      <sheetName val="6"/>
      <sheetName val="СМИС"/>
      <sheetName val="basa"/>
      <sheetName val="ПД-2.2"/>
      <sheetName val="1.14"/>
      <sheetName val="1.7"/>
      <sheetName val="Имя"/>
      <sheetName val="кап.ремонт"/>
      <sheetName val="База"/>
      <sheetName val="СВ 2"/>
      <sheetName val="1.2_"/>
      <sheetName val="Base"/>
      <sheetName val="Настр"/>
      <sheetName val="Распределение_затрат"/>
      <sheetName val="ЗАТ_ПОДР"/>
      <sheetName val="ПРОЧИЕ_ЗАТР"/>
      <sheetName val="ПОКУП_ВОДА"/>
      <sheetName val="РАСПРЕД ПО ПРОЦЕСС"/>
      <sheetName val="РЕАГ_КАТАЛ"/>
      <sheetName val="СЫРЬЕ"/>
      <sheetName val="СМЕТА_ТЕКРЕМ"/>
      <sheetName val="УСЛУГИ_ПРОМХАР"/>
      <sheetName val="Обор"/>
      <sheetName val="Приложение 2"/>
      <sheetName val="Должности"/>
      <sheetName val="Лист"/>
      <sheetName val="Исх"/>
      <sheetName val="Исх."/>
      <sheetName val="#ССЫЛКА"/>
      <sheetName val="пофакторный"/>
      <sheetName val="РАСШИФ_ЦЕХ_РАСХ"/>
      <sheetName val="топ"/>
      <sheetName val="Дог_рас"/>
      <sheetName val="Ограничения шаблон"/>
      <sheetName val="Причины отклонений"/>
      <sheetName val="Статус работы"/>
      <sheetName val="Уровень графика"/>
      <sheetName val="ЕТС (ф)"/>
      <sheetName val="Исх1"/>
      <sheetName val="ПС"/>
      <sheetName val="Main list"/>
      <sheetName val="эл_химз_3"/>
      <sheetName val="геология_3"/>
      <sheetName val="6_143"/>
      <sheetName val="6_3_13"/>
      <sheetName val="6_203"/>
      <sheetName val="6_4_13"/>
      <sheetName val="6_11_1__сторонние3"/>
      <sheetName val="8_14_КР_(списание)ОПСТИКР3"/>
      <sheetName val="Данные_для_расчёта_сметы2"/>
      <sheetName val="6_14_КР2"/>
      <sheetName val="Пример_расчета2"/>
      <sheetName val="свод_22"/>
      <sheetName val="Зап-3-_СЦБ2"/>
      <sheetName val="СметаСводная_Рыб2"/>
      <sheetName val="13_11"/>
      <sheetName val="Текущие_цены2"/>
      <sheetName val="отчет_эл_эн__20002"/>
      <sheetName val="к_84-к_832"/>
      <sheetName val="Коэфф1_2"/>
      <sheetName val="КП_(2)1"/>
      <sheetName val="6_31"/>
      <sheetName val="6_71"/>
      <sheetName val="6_3_1_31"/>
      <sheetName val="свод_31"/>
      <sheetName val="Смета2_проект__раб_2"/>
      <sheetName val="Смета_12"/>
      <sheetName val="СМЕТА_проект1"/>
      <sheetName val="Production_and_Spend1"/>
      <sheetName val="Прайс_лист2"/>
      <sheetName val="1_31"/>
      <sheetName val="К_рын1"/>
      <sheetName val="Сводная_смета1"/>
      <sheetName val="См_1_наруж_водопровод2"/>
      <sheetName val="Разработка_проекта2"/>
      <sheetName val="КП_НовоКов2"/>
      <sheetName val="СметаСводная_1_оч2"/>
      <sheetName val="Переменные_и_константы1"/>
      <sheetName val="свод_(2)1"/>
      <sheetName val="Калплан_ОИ2_Макм_крестики1"/>
      <sheetName val="СметаСводная_павильон1"/>
      <sheetName val="Св__смета1"/>
      <sheetName val="РБС_ИЗМ11"/>
      <sheetName val="СметаСводная_снег1"/>
      <sheetName val="Лист_опроса1"/>
      <sheetName val="Исполнение__освоение_по_закупк1"/>
      <sheetName val="Исполнение_для_Ускова1"/>
      <sheetName val="Выборка_по_отсыпкам1"/>
      <sheetName val="ИП__отсыпки_1"/>
      <sheetName val="ИП__отсыпки_ФОТ_диз_т_1"/>
      <sheetName val="ИП__отсыпки___выборка_1"/>
      <sheetName val="Исполнение_по_оборуд_1"/>
      <sheetName val="Исполнение_по_оборуд___2_1"/>
      <sheetName val="Исполнение_сжато1"/>
      <sheetName val="Форма_для_бурения1"/>
      <sheetName val="Форма_для_КС1"/>
      <sheetName val="Форма_для_ГР1"/>
      <sheetName val="Смета_1свод1"/>
      <sheetName val="таблица_руководству1"/>
      <sheetName val="Суточная_добыча_за_неделю1"/>
      <sheetName val="Прибыль_опл1"/>
      <sheetName val="№5_СУБ_Инж_защ1"/>
      <sheetName val="HP_и_оргтехника1"/>
      <sheetName val="Таблица_21"/>
      <sheetName val="Таблица_4_АСУТП1"/>
      <sheetName val="ст_ГТМ1"/>
      <sheetName val="ПДР_ООО_&quot;Юкос_ФБЦ&quot;1"/>
      <sheetName val="исходные_данные1"/>
      <sheetName val="расчетные_таблицы1"/>
      <sheetName val="Амур_ДОН1"/>
      <sheetName val="кп_ГК1"/>
      <sheetName val="Справочные_данные1"/>
      <sheetName val="Б_Сатка1"/>
      <sheetName val="справ_2"/>
      <sheetName val="Перечень_ИУ1"/>
      <sheetName val="3_1_ТХ1"/>
      <sheetName val="СметаСводная_Колпино1"/>
      <sheetName val="3_51"/>
      <sheetName val="суб_подряд2"/>
      <sheetName val="ПСБ_-_ОЭ2"/>
      <sheetName val="Смета_21"/>
      <sheetName val="Ачинский_НПЗ1"/>
      <sheetName val="См3_СЦБ-зап1"/>
      <sheetName val="Хаттон_90_90_Femco1"/>
      <sheetName val="свод_общ1"/>
      <sheetName val="Смета_5_2__Кусты25,29,31,651"/>
      <sheetName val="смета_СИД1"/>
      <sheetName val="ресурсная_вед_1"/>
      <sheetName val="р_Волхов1"/>
      <sheetName val="КП_к_ГК1"/>
      <sheetName val="изыскания_21"/>
      <sheetName val="Калплан_Кра1"/>
      <sheetName val="6_11_новый1"/>
      <sheetName val="Opex_personnel_(Term_facs)1"/>
      <sheetName val="Капитальные_затраты1"/>
      <sheetName val="Пояснение_"/>
      <sheetName val="3_11"/>
      <sheetName val="Коммерческие_расходы1"/>
      <sheetName val="смета_2_проект__работы"/>
      <sheetName val="СС_замеч_с_ответами1"/>
      <sheetName val="УП__20041"/>
      <sheetName val="в_работу1"/>
      <sheetName val="3_21"/>
      <sheetName val="3_31"/>
      <sheetName val="Р2_11"/>
      <sheetName val="Р2_21"/>
      <sheetName val="Удельные(проф_)1"/>
      <sheetName val="Константы_и_результаты1"/>
      <sheetName val="расчет_№31"/>
      <sheetName val="20_Кредиты_краткосрочные1"/>
      <sheetName val="Перечень_Заказчиков1"/>
      <sheetName val="2_2_1"/>
      <sheetName val="СтрЗапасов_(2)"/>
      <sheetName val="PwC_Copies_from_old_models_--&gt;&gt;"/>
      <sheetName val="Сравнение_ДПН_факт_06-07"/>
      <sheetName val="НМ_расчеты"/>
      <sheetName val="КП_к_снег_Рыбинская1"/>
      <sheetName val="Коэф_КВ"/>
      <sheetName val="Смета_терзем"/>
      <sheetName val="Кал_план_Жукова_даты_-_не_надо"/>
      <sheetName val="матер_"/>
      <sheetName val="КП_Прим_(3)"/>
      <sheetName val="кп_(3)"/>
      <sheetName val="фонтан_разбитый2"/>
      <sheetName val="Баланс_(Ф1)"/>
      <sheetName val="Смета_3_Гидролог"/>
      <sheetName val="Записка_СЦБ"/>
      <sheetName val="РС_"/>
      <sheetName val="Source_lists"/>
      <sheetName val="Общая_часть"/>
      <sheetName val="Табл_51"/>
      <sheetName val="Табл_21"/>
      <sheetName val="См_№3_ОПР"/>
      <sheetName val="см_№6_АВЗУ_и_ГПЗУ"/>
      <sheetName val="Input_Assumptions"/>
      <sheetName val="см_№1_1_Геодезические_работы_"/>
      <sheetName val="см_№1_4_Экология_"/>
      <sheetName val="АСУ_ТП_1_этап_ПД"/>
      <sheetName val="Расчет_курса"/>
      <sheetName val="Курс_доллара"/>
      <sheetName val="Календарь_новый"/>
      <sheetName val="Смета_№_1_ИИ_линия"/>
      <sheetName val="Дополнительные_параметры"/>
      <sheetName val="Свод_объем"/>
      <sheetName val="Дог_цена"/>
      <sheetName val="выборка_на22_июня"/>
      <sheetName val="3труба_(П)"/>
      <sheetName val="Объемы_работ_по_ПВ"/>
      <sheetName val="Таблица_5"/>
      <sheetName val="Таблица_3"/>
      <sheetName val="1_401_2"/>
      <sheetName val="PO_Data"/>
      <sheetName val="Раб_АУ"/>
      <sheetName val="р_Нева1"/>
      <sheetName val="р_Молога1"/>
      <sheetName val="18_рек_Ю-Х1"/>
      <sheetName val="нпс_Палкино1"/>
      <sheetName val="Россия_-_Китай1"/>
      <sheetName val="КМ_210-2381"/>
      <sheetName val="БТС-2_км_405-4591"/>
      <sheetName val="БТС-2_км_405-4531"/>
      <sheetName val="БТС-2_км_313-3521"/>
      <sheetName val="БТС-2_км326-3521"/>
      <sheetName val="Улейма_И1"/>
      <sheetName val="Белая_УБКА1"/>
      <sheetName val="км_72-75р_Левоннька1"/>
      <sheetName val="киенгоп-н_Челны_км_104-2061"/>
      <sheetName val="ВЛ_Урдома1"/>
      <sheetName val="Вл_Микунь_Урдома1"/>
      <sheetName val="ВЛ_Синдор-Микунь1"/>
      <sheetName val="Тон_Чермасан1"/>
      <sheetName val="Трасса_км_16-1471"/>
      <sheetName val="трасса_0-761"/>
      <sheetName val="Колва_781"/>
      <sheetName val="Гидрология__р_Колва_км_381"/>
      <sheetName val="ПСП_1"/>
      <sheetName val="Новая_сводка_(до_бюджета)_(2)2"/>
      <sheetName val="Что_пришло2"/>
      <sheetName val="влад-таблица_(2)2"/>
      <sheetName val="Новая_сводка_(до_бюджета)2"/>
      <sheetName val="Новая_сводка2"/>
      <sheetName val="Общие_расходы2"/>
      <sheetName val="Новая_сводка_(по_бюджету)2"/>
      <sheetName val="Íîâàÿ_ñâîäêà_(äî_áþäæåòà)_(2)2"/>
      <sheetName val="×òî_ïðèøëî2"/>
      <sheetName val="âëàä-òàáëèöà_(2)2"/>
      <sheetName val="Íîâàÿ_ñâîäêà_(äî_áþäæåòà)2"/>
      <sheetName val="Íîâàÿ_ñâîäêà2"/>
      <sheetName val="Îáùèå_ðàñõîäû2"/>
      <sheetName val="Íîâàÿ_ñâîäêà_(ïî_áþäæåòó)2"/>
      <sheetName val="6_10_12"/>
      <sheetName val="6_7_3_ТН2"/>
      <sheetName val="6_12"/>
      <sheetName val="6_52-свод1"/>
      <sheetName val="ДДС_(Форма_№3)"/>
      <sheetName val="Сводная_"/>
      <sheetName val="7_ТХ_Сети_(кор)"/>
      <sheetName val="Tier_311208"/>
      <sheetName val="Акт_выбора"/>
      <sheetName val="См_№7_Эл_"/>
      <sheetName val="См_№8_Пож_"/>
      <sheetName val="См_№3_ВиК"/>
      <sheetName val="Сметы_за_сопровождение"/>
      <sheetName val="См_3_АСУ"/>
      <sheetName val="Полигон_-_ИЭИ_"/>
      <sheetName val="Смета_ТЗ_АСУ-16"/>
      <sheetName val="База_Геодезия"/>
      <sheetName val="База_Геология"/>
      <sheetName val="База_Геофизика"/>
      <sheetName val="4_1_1"/>
      <sheetName val="исп_1_1_1"/>
      <sheetName val="База_Гидро"/>
      <sheetName val="4_2_1"/>
      <sheetName val="исп_1_1_2"/>
      <sheetName val="Исп__смета_этап_1_1,_1_2"/>
      <sheetName val="Исх. данные"/>
      <sheetName val="Промер глуб"/>
      <sheetName val="Расчет №1.1"/>
      <sheetName val="Расчет №2.1"/>
      <sheetName val="Пра"/>
      <sheetName val="ИД ПНР"/>
      <sheetName val="Технический лист"/>
      <sheetName val="анализ 2003_2004исполнение МТО"/>
      <sheetName val="Тестовый"/>
      <sheetName val="Panduit"/>
      <sheetName val=" Свод"/>
      <sheetName val="исключ ЭХЗ"/>
      <sheetName val="БДР"/>
      <sheetName val="геол"/>
      <sheetName val="аванс по ОС"/>
      <sheetName val="Авансы выданные"/>
      <sheetName val="Кред"/>
      <sheetName val="ДЗ"/>
      <sheetName val="Кред. задолж."/>
      <sheetName val="Прочие"/>
      <sheetName val="ГАЗ_камаз"/>
      <sheetName val="41"/>
      <sheetName val="Договорная цена"/>
      <sheetName val="№2Гидромет."/>
      <sheetName val="№2Геолог"/>
      <sheetName val="№2Геолог с.п."/>
      <sheetName val="№3Экологи (2этап)"/>
      <sheetName val="Исходная"/>
      <sheetName val="3 Сл.-структура затрат"/>
      <sheetName val="const"/>
      <sheetName val="расчеты"/>
      <sheetName val="ПС 110 кВ (доп)"/>
      <sheetName val="ПД-2.1"/>
      <sheetName val="Смета 7"/>
      <sheetName val="Бл_электр_"/>
      <sheetName val="Прил.5 СС"/>
      <sheetName val="расчет вязкости"/>
      <sheetName val="Сравнение с Finder - ДНС-5"/>
      <sheetName val="сводная (2)"/>
      <sheetName val="Расч(подряд)"/>
      <sheetName val="эл_химз_4"/>
      <sheetName val="13_12"/>
      <sheetName val="КП_(2)2"/>
      <sheetName val="свод_32"/>
      <sheetName val="СМЕТА_проект2"/>
      <sheetName val="1_32"/>
      <sheetName val="К_рын2"/>
      <sheetName val="Сводная_смета2"/>
      <sheetName val="Переменные_и_константы2"/>
      <sheetName val="СметаСводная_павильон2"/>
      <sheetName val="СметаСводная_снег2"/>
      <sheetName val="Лист_опроса2"/>
      <sheetName val="Исполнение__освоение_по_закупк2"/>
      <sheetName val="Исполнение_для_Ускова2"/>
      <sheetName val="Выборка_по_отсыпкам2"/>
      <sheetName val="ИП__отсыпки_2"/>
      <sheetName val="ИП__отсыпки_ФОТ_диз_т_2"/>
      <sheetName val="ИП__отсыпки___выборка_2"/>
      <sheetName val="Исполнение_по_оборуд_2"/>
      <sheetName val="Исполнение_по_оборуд___2_2"/>
      <sheetName val="Исполнение_сжато2"/>
      <sheetName val="Форма_для_бурения2"/>
      <sheetName val="Форма_для_КС2"/>
      <sheetName val="Форма_для_ГР2"/>
      <sheetName val="Смета_1свод2"/>
      <sheetName val="таблица_руководству2"/>
      <sheetName val="Суточная_добыча_за_неделю2"/>
      <sheetName val="Прибыль_опл2"/>
      <sheetName val="№5_СУБ_Инж_защ2"/>
      <sheetName val="HP_и_оргтехника2"/>
      <sheetName val="Таблица_4_АСУТП2"/>
      <sheetName val="ПДР_ООО_&quot;Юкос_ФБЦ&quot;2"/>
      <sheetName val="исходные_данные2"/>
      <sheetName val="расчетные_таблицы2"/>
      <sheetName val="Амур_ДОН2"/>
      <sheetName val="Б_Сатка2"/>
      <sheetName val="справ_3"/>
      <sheetName val="Перечень_ИУ2"/>
      <sheetName val="3_1_ТХ2"/>
      <sheetName val="СметаСводная_Колпино2"/>
      <sheetName val="3_52"/>
      <sheetName val="Смета_22"/>
      <sheetName val="Ачинский_НПЗ2"/>
      <sheetName val="См3_СЦБ-зап2"/>
      <sheetName val="Хаттон_90_90_Femco2"/>
      <sheetName val="свод_общ2"/>
      <sheetName val="Смета_5_2__Кусты25,29,31,652"/>
      <sheetName val="р_Волхов2"/>
      <sheetName val="Opex_personnel_(Term_facs)2"/>
      <sheetName val="Капитальные_затраты2"/>
      <sheetName val="Пояснение_1"/>
      <sheetName val="3_12"/>
      <sheetName val="Коммерческие_расходы2"/>
      <sheetName val="смета_2_проект__работы1"/>
      <sheetName val="СС_замеч_с_ответами2"/>
      <sheetName val="УП__20042"/>
      <sheetName val="в_работу2"/>
      <sheetName val="3_22"/>
      <sheetName val="3_32"/>
      <sheetName val="Р2_12"/>
      <sheetName val="Р2_22"/>
      <sheetName val="Удельные(проф_)2"/>
      <sheetName val="Константы_и_результаты2"/>
      <sheetName val="расчет_№32"/>
      <sheetName val="20_Кредиты_краткосрочные2"/>
      <sheetName val="Перечень_Заказчиков2"/>
      <sheetName val="2_2_2"/>
      <sheetName val="СтрЗапасов_(2)1"/>
      <sheetName val="PwC_Copies_from_old_models_--&gt;1"/>
      <sheetName val="Сравнение_ДПН_факт_06-071"/>
      <sheetName val="НМ_расчеты1"/>
      <sheetName val="КП_к_снег_Рыбинская2"/>
      <sheetName val="Коэф_КВ1"/>
      <sheetName val="Смета_терзем1"/>
      <sheetName val="Кал_план_Жукова_даты_-_не_надо1"/>
      <sheetName val="матер_1"/>
      <sheetName val="КП_Прим_(3)1"/>
      <sheetName val="кп_(3)1"/>
      <sheetName val="фонтан_разбитый21"/>
      <sheetName val="Баланс_(Ф1)1"/>
      <sheetName val="Смета_3_Гидролог1"/>
      <sheetName val="Записка_СЦБ1"/>
      <sheetName val="РС_1"/>
      <sheetName val="Раб_АУ1"/>
      <sheetName val="Source_lists1"/>
      <sheetName val="Общая_часть1"/>
      <sheetName val="Табл_52"/>
      <sheetName val="Табл_22"/>
      <sheetName val="См_№3_ОПР1"/>
      <sheetName val="см_№6_АВЗУ_и_ГПЗУ1"/>
      <sheetName val="Input_Assumptions1"/>
      <sheetName val="см_№1_1_Геодезические_работы_1"/>
      <sheetName val="см_№1_4_Экология_1"/>
      <sheetName val="АСУ_ТП_1_этап_ПД1"/>
      <sheetName val="Расчет_курса1"/>
      <sheetName val="ДДС_(Форма_№3)1"/>
      <sheetName val="Курс_доллара1"/>
      <sheetName val="Календарь_новый1"/>
      <sheetName val="Смета_№_1_ИИ_линия1"/>
      <sheetName val="Дополнительные_параметры1"/>
      <sheetName val="Свод_объем1"/>
      <sheetName val="Дог_цена1"/>
      <sheetName val="выборка_на22_июня1"/>
      <sheetName val="3труба_(П)1"/>
      <sheetName val="Объемы_работ_по_ПВ1"/>
      <sheetName val="Таблица_51"/>
      <sheetName val="Таблица_31"/>
      <sheetName val="1_401_21"/>
      <sheetName val="PO_Data1"/>
      <sheetName val="р_Нева2"/>
      <sheetName val="р_Молога2"/>
      <sheetName val="18_рек_Ю-Х2"/>
      <sheetName val="нпс_Палкино2"/>
      <sheetName val="Россия_-_Китай2"/>
      <sheetName val="КМ_210-2382"/>
      <sheetName val="БТС-2_км_405-4592"/>
      <sheetName val="БТС-2_км_405-4532"/>
      <sheetName val="БТС-2_км_313-3522"/>
      <sheetName val="БТС-2_км326-3522"/>
      <sheetName val="Улейма_И2"/>
      <sheetName val="Белая_УБКА2"/>
      <sheetName val="км_72-75р_Левоннька2"/>
      <sheetName val="киенгоп-н_Челны_км_104-2062"/>
      <sheetName val="ВЛ_Урдома2"/>
      <sheetName val="Вл_Микунь_Урдома2"/>
      <sheetName val="ВЛ_Синдор-Микунь2"/>
      <sheetName val="Тон_Чермасан2"/>
      <sheetName val="Трасса_км_16-1472"/>
      <sheetName val="трасса_0-762"/>
      <sheetName val="Колва_782"/>
      <sheetName val="Гидрология__р_Колва_км_382"/>
      <sheetName val="ПСП_2"/>
      <sheetName val="Новая_сводка_(до_бюджета)_(2)3"/>
      <sheetName val="Что_пришло3"/>
      <sheetName val="влад-таблица_(2)3"/>
      <sheetName val="Новая_сводка_(до_бюджета)3"/>
      <sheetName val="Новая_сводка3"/>
      <sheetName val="Общие_расходы3"/>
      <sheetName val="Новая_сводка_(по_бюджету)3"/>
      <sheetName val="Íîâàÿ_ñâîäêà_(äî_áþäæåòà)_(2)3"/>
      <sheetName val="×òî_ïðèøëî3"/>
      <sheetName val="âëàä-òàáëèöà_(2)3"/>
      <sheetName val="Íîâàÿ_ñâîäêà_(äî_áþäæåòà)3"/>
      <sheetName val="Íîâàÿ_ñâîäêà3"/>
      <sheetName val="Îáùèå_ðàñõîäû3"/>
      <sheetName val="Íîâàÿ_ñâîäêà_(ïî_áþäæåòó)3"/>
      <sheetName val="6_10_13"/>
      <sheetName val="6_7_3_ТН3"/>
      <sheetName val="6_13"/>
      <sheetName val="6_52-свод2"/>
      <sheetName val="Сводная_1"/>
      <sheetName val="7_ТХ_Сети_(кор)1"/>
      <sheetName val="Tier_3112081"/>
      <sheetName val="Акт_выбора1"/>
      <sheetName val="См_№7_Эл_1"/>
      <sheetName val="См_№8_Пож_1"/>
      <sheetName val="См_№3_ВиК1"/>
      <sheetName val="Сметы_за_сопровождение1"/>
      <sheetName val="ЕТС_(ф)"/>
      <sheetName val="геология_4"/>
      <sheetName val="6_144"/>
      <sheetName val="6_3_14"/>
      <sheetName val="6_204"/>
      <sheetName val="6_4_14"/>
      <sheetName val="6_11_1__сторонние4"/>
      <sheetName val="8_14_КР_(списание)ОПСТИКР4"/>
      <sheetName val="Данные_для_расчёта_сметы3"/>
      <sheetName val="6_14_КР3"/>
      <sheetName val="Текущие_цены3"/>
      <sheetName val="отчет_эл_эн__20003"/>
      <sheetName val="к_84-к_833"/>
      <sheetName val="свод_23"/>
      <sheetName val="Зап-3-_СЦБ3"/>
      <sheetName val="Пример_расчета3"/>
      <sheetName val="СметаСводная_Рыб3"/>
      <sheetName val="Коэфф1_3"/>
      <sheetName val="6_32"/>
      <sheetName val="6_72"/>
      <sheetName val="6_3_1_32"/>
      <sheetName val="Смета2_проект__раб_3"/>
      <sheetName val="Смета_13"/>
      <sheetName val="Production_and_Spend2"/>
      <sheetName val="Прайс_лист3"/>
      <sheetName val="См_1_наруж_водопровод3"/>
      <sheetName val="Разработка_проекта3"/>
      <sheetName val="КП_НовоКов3"/>
      <sheetName val="СметаСводная_1_оч3"/>
      <sheetName val="свод_(2)2"/>
      <sheetName val="Калплан_ОИ2_Макм_крестики2"/>
      <sheetName val="Св__смета2"/>
      <sheetName val="РБС_ИЗМ12"/>
      <sheetName val="Таблица_22"/>
      <sheetName val="ст_ГТМ2"/>
      <sheetName val="кп_ГК2"/>
      <sheetName val="Справочные_данные2"/>
      <sheetName val="суб_подряд3"/>
      <sheetName val="ПСБ_-_ОЭ3"/>
      <sheetName val="смета_СИД2"/>
      <sheetName val="ресурсная_вед_2"/>
      <sheetName val="КП_к_ГК2"/>
      <sheetName val="изыскания_22"/>
      <sheetName val="Калплан_Кра2"/>
      <sheetName val="6_11_новый2"/>
      <sheetName val="См_3_АСУ1"/>
      <sheetName val="Полигон_-_ИЭИ_1"/>
      <sheetName val="Смета_ТЗ_АСУ-161"/>
      <sheetName val="База_Геодезия1"/>
      <sheetName val="База_Геология1"/>
      <sheetName val="База_Геофизика1"/>
      <sheetName val="4_1_11"/>
      <sheetName val="исп_1_1_11"/>
      <sheetName val="База_Гидро1"/>
      <sheetName val="4_2_11"/>
      <sheetName val="исп_1_1_21"/>
      <sheetName val="Исп__смета_этап_1_1,_1_21"/>
      <sheetName val="КБК_ДПК"/>
      <sheetName val="ТЗ_АСУ-1"/>
      <sheetName val="лч_и_кам"/>
      <sheetName val="ИД_СМР"/>
      <sheetName val="Вспом_"/>
      <sheetName val="2_Геология"/>
      <sheetName val="Объем_работ"/>
      <sheetName val="Виды_работ_АСО"/>
      <sheetName val="таблица_руко_1"/>
      <sheetName val="ФОТ_для_смет"/>
      <sheetName val="таблица_руко_"/>
      <sheetName val="Исх__данные"/>
      <sheetName val="Main_list"/>
      <sheetName val="ПД-2_2"/>
      <sheetName val="1_14"/>
      <sheetName val="1_7"/>
      <sheetName val="Промер_глуб"/>
      <sheetName val="Смета _4ПР ЭХЗ"/>
      <sheetName val="ЖД 3.1"/>
      <sheetName val="УСР"/>
      <sheetName val="Объемы"/>
      <sheetName val="СметаСводная п54"/>
      <sheetName val="СметаСводная пуш"/>
      <sheetName val="1-1"/>
      <sheetName val="1-2"/>
      <sheetName val="1-4"/>
      <sheetName val="изм2-1"/>
      <sheetName val="2-2"/>
      <sheetName val="2-3"/>
      <sheetName val="изм7-1"/>
      <sheetName val="изм9-1"/>
      <sheetName val="см 5 ОДД "/>
      <sheetName val="Коэффициенты"/>
      <sheetName val="Акт-Смета_30"/>
      <sheetName val="Смета 2 эл.монтаж"/>
      <sheetName val="Смета 1 общестроит"/>
      <sheetName val="ДЦ"/>
      <sheetName val=" Оборудование  end"/>
      <sheetName val="автоматизация РД"/>
      <sheetName val="РабПр"/>
      <sheetName val="Восстановл_Лис礊め_x0005_"/>
      <sheetName val="Акт выполненных работ 46"/>
      <sheetName val="SMW_Служебная"/>
      <sheetName val="См_2 Шатурс сети  проект работы"/>
      <sheetName val="W28"/>
      <sheetName val="Ref"/>
      <sheetName val="выборка "/>
      <sheetName val="выборка раб"/>
      <sheetName val="7"/>
      <sheetName val="Прочее"/>
      <sheetName val="ЛЧ Р"/>
      <sheetName val="GLOBAL"/>
      <sheetName val="темп"/>
      <sheetName val="Форма 2.1"/>
      <sheetName val="СВ"/>
      <sheetName val="2.1"/>
      <sheetName val="ИНСТРУКЦИЯ"/>
      <sheetName val="См_2_Шатурс_сети__проект_работы"/>
      <sheetName val="исключ_ЭХЗ"/>
      <sheetName val="Форма 9"/>
      <sheetName val="Форма 10"/>
      <sheetName val="Настройки"/>
      <sheetName val="СмРучБур"/>
      <sheetName val="Локальная смета 6-3-2"/>
      <sheetName val="Производство электроэнергии"/>
      <sheetName val="Т11"/>
      <sheetName val="Т12"/>
      <sheetName val="Т7"/>
      <sheetName val="1.1"/>
      <sheetName val="1.2-1"/>
      <sheetName val="1.2-2"/>
      <sheetName val="1.2-3"/>
      <sheetName val="1.2-4"/>
      <sheetName val="1.2-5"/>
      <sheetName val="1.3.1"/>
      <sheetName val="1.3.2"/>
      <sheetName val="1.3.3"/>
      <sheetName val="1.4.1.1"/>
      <sheetName val="1.4.1.2"/>
      <sheetName val="1.4.1.3"/>
      <sheetName val="1.4.1.5"/>
      <sheetName val="1.5"/>
      <sheetName val="№2.1"/>
      <sheetName val="№2.2-1"/>
      <sheetName val="№2.2-2"/>
      <sheetName val="№2.2-3 "/>
      <sheetName val="2.2-5 "/>
      <sheetName val="№2.3.1"/>
      <sheetName val="№2.3.2"/>
      <sheetName val="2.3.3"/>
      <sheetName val="2.4.1.1"/>
      <sheetName val="2.4.1.3"/>
      <sheetName val="№3.1"/>
      <sheetName val="№3.2-1"/>
      <sheetName val="№3.2-2"/>
      <sheetName val="№3.2-3"/>
      <sheetName val="3.2-5 "/>
      <sheetName val="3.3.1"/>
      <sheetName val="3.3.2"/>
      <sheetName val="3.3.3"/>
      <sheetName val="3.4.1.3"/>
      <sheetName val="2.6"/>
      <sheetName val="2.7"/>
      <sheetName val="4.1"/>
      <sheetName val="4.2"/>
      <sheetName val="4.3"/>
      <sheetName val="4.4"/>
      <sheetName val="4.5"/>
      <sheetName val="4.6"/>
      <sheetName val="4.7"/>
      <sheetName val="4.9"/>
      <sheetName val="4.10"/>
      <sheetName val="4.10 (3)"/>
      <sheetName val="4.10 (2)"/>
      <sheetName val="4.11"/>
      <sheetName val="4.12"/>
      <sheetName val="4.13"/>
      <sheetName val="4.14"/>
      <sheetName val="4.15"/>
      <sheetName val="4.16"/>
      <sheetName val="4.17"/>
      <sheetName val="4.18"/>
      <sheetName val="4.19"/>
      <sheetName val="5.1"/>
      <sheetName val="5.2"/>
      <sheetName val="5.3"/>
      <sheetName val="5.4"/>
      <sheetName val="5.5"/>
      <sheetName val="5.6"/>
      <sheetName val="5.7"/>
      <sheetName val="5.8"/>
      <sheetName val="Настройка"/>
      <sheetName val="База ВОП"/>
      <sheetName val="База ПИР"/>
      <sheetName val="2.2"/>
      <sheetName val="2.3"/>
      <sheetName val="2.3.2"/>
      <sheetName val="2.4"/>
      <sheetName val="2.5"/>
      <sheetName val=" Ком"/>
      <sheetName val="2.3.лаб"/>
      <sheetName val="3.1земля"/>
      <sheetName val="6.1-7.1"/>
      <sheetName val="рекульт"/>
      <sheetName val="ГО и ЧС"/>
      <sheetName val="ДПБ"/>
      <sheetName val="№3"/>
      <sheetName val="№1 СИД"/>
      <sheetName val="№2 Ком дьяк"/>
      <sheetName val="№3.2"/>
      <sheetName val="№3.3"/>
      <sheetName val="СВ смета"/>
      <sheetName val="№3.4"/>
      <sheetName val="№4 ПДЛУ и ЗУ"/>
      <sheetName val="№5 ППиМТ"/>
      <sheetName val="№6.1 ТГВ"/>
      <sheetName val="№6.2 ЭХЗ"/>
      <sheetName val="№6.3 ЭС (согл )"/>
      <sheetName val="№6.4 КИП"/>
      <sheetName val="№6.5 Согл (КИП) "/>
      <sheetName val="№6.6 МЕО "/>
      <sheetName val="№6.7 ПожБ (ПД)"/>
      <sheetName val="№6.8 Пром без (ПД)"/>
      <sheetName val="№6.9 эк аспект"/>
      <sheetName val="№6.10 ОВОС"/>
      <sheetName val="№6.11 отвод"/>
      <sheetName val="№6.12 рекул"/>
      <sheetName val="№6.13 отход"/>
      <sheetName val="№6.14 выброс"/>
      <sheetName val="№6.15 ИБ (ПД)"/>
      <sheetName val="№6.16 ИБ (РД)"/>
      <sheetName val="Список_объектов"/>
      <sheetName val="РС"/>
      <sheetName val="проектные роли"/>
      <sheetName val="Смета180"/>
      <sheetName val="ДКСС от МПС"/>
      <sheetName val="SENSITIVITY"/>
      <sheetName val="таблица_руко "/>
      <sheetName val="эл_химз_5"/>
      <sheetName val="геология_5"/>
      <sheetName val="6_145"/>
      <sheetName val="6_3_15"/>
      <sheetName val="6_205"/>
      <sheetName val="6_4_15"/>
      <sheetName val="6_11_1__сторонние5"/>
      <sheetName val="8_14_КР_(списание)ОПСТИКР5"/>
      <sheetName val="Данные_для_расчёта_сметы4"/>
      <sheetName val="6_14_КР4"/>
      <sheetName val="Пример_расчета4"/>
      <sheetName val="свод_24"/>
      <sheetName val="Зап-3-_СЦБ4"/>
      <sheetName val="СметаСводная_Рыб4"/>
      <sheetName val="13_13"/>
      <sheetName val="Текущие_цены4"/>
      <sheetName val="отчет_эл_эн__20004"/>
      <sheetName val="к_84-к_834"/>
      <sheetName val="Коэфф1_4"/>
      <sheetName val="6_33"/>
      <sheetName val="6_73"/>
      <sheetName val="6_3_1_33"/>
      <sheetName val="КП_(2)3"/>
      <sheetName val="свод_33"/>
      <sheetName val="Смета2_проект__раб_4"/>
      <sheetName val="Смета_14"/>
      <sheetName val="СМЕТА_проект3"/>
      <sheetName val="Production_and_Spend3"/>
      <sheetName val="Прайс_лист4"/>
      <sheetName val="1_33"/>
      <sheetName val="К_рын3"/>
      <sheetName val="Сводная_смета3"/>
      <sheetName val="См_1_наруж_водопровод4"/>
      <sheetName val="Разработка_проекта4"/>
      <sheetName val="КП_НовоКов4"/>
      <sheetName val="СметаСводная_1_оч4"/>
      <sheetName val="Переменные_и_константы3"/>
      <sheetName val="свод_(2)3"/>
      <sheetName val="Калплан_ОИ2_Макм_крестики3"/>
      <sheetName val="СметаСводная_павильон3"/>
      <sheetName val="Св__смета3"/>
      <sheetName val="РБС_ИЗМ13"/>
      <sheetName val="СметаСводная_снег3"/>
      <sheetName val="Лист_опроса3"/>
      <sheetName val="Исполнение__освоение_по_закупк3"/>
      <sheetName val="Исполнение_для_Ускова3"/>
      <sheetName val="Выборка_по_отсыпкам3"/>
      <sheetName val="ИП__отсыпки_3"/>
      <sheetName val="ИП__отсыпки_ФОТ_диз_т_3"/>
      <sheetName val="ИП__отсыпки___выборка_3"/>
      <sheetName val="Исполнение_по_оборуд_3"/>
      <sheetName val="Исполнение_по_оборуд___2_3"/>
      <sheetName val="Исполнение_сжато3"/>
      <sheetName val="Форма_для_бурения3"/>
      <sheetName val="Форма_для_КС3"/>
      <sheetName val="Форма_для_ГР3"/>
      <sheetName val="Смета_1свод3"/>
      <sheetName val="таблица_руководству3"/>
      <sheetName val="Суточная_добыча_за_неделю3"/>
      <sheetName val="Прибыль_опл3"/>
      <sheetName val="№5_СУБ_Инж_защ3"/>
      <sheetName val="HP_и_оргтехника3"/>
      <sheetName val="Таблица_23"/>
      <sheetName val="Таблица_4_АСУТП3"/>
      <sheetName val="ст_ГТМ3"/>
      <sheetName val="ПДР_ООО_&quot;Юкос_ФБЦ&quot;3"/>
      <sheetName val="исходные_данные3"/>
      <sheetName val="расчетные_таблицы3"/>
      <sheetName val="Амур_ДОН3"/>
      <sheetName val="кп_ГК3"/>
      <sheetName val="Справочные_данные3"/>
      <sheetName val="Б_Сатка3"/>
      <sheetName val="справ_4"/>
      <sheetName val="Перечень_ИУ3"/>
      <sheetName val="3_1_ТХ3"/>
      <sheetName val="СметаСводная_Колпино3"/>
      <sheetName val="3_53"/>
      <sheetName val="суб_подряд4"/>
      <sheetName val="ПСБ_-_ОЭ4"/>
      <sheetName val="Смета_23"/>
      <sheetName val="Ачинский_НПЗ3"/>
      <sheetName val="См3_СЦБ-зап3"/>
      <sheetName val="Хаттон_90_90_Femco3"/>
      <sheetName val="свод_общ3"/>
      <sheetName val="Смета_5_2__Кусты25,29,31,653"/>
      <sheetName val="смета_СИД3"/>
      <sheetName val="ресурсная_вед_3"/>
      <sheetName val="р_Волхов3"/>
      <sheetName val="КП_к_ГК3"/>
      <sheetName val="изыскания_23"/>
      <sheetName val="Калплан_Кра3"/>
      <sheetName val="6_11_новый3"/>
      <sheetName val="Opex_personnel_(Term_facs)3"/>
      <sheetName val="Капитальные_затраты3"/>
      <sheetName val="Пояснение_2"/>
      <sheetName val="3_13"/>
      <sheetName val="Коммерческие_расходы3"/>
      <sheetName val="смета_2_проект__работы2"/>
      <sheetName val="СС_замеч_с_ответами3"/>
      <sheetName val="УП__20043"/>
      <sheetName val="в_работу3"/>
      <sheetName val="3_23"/>
      <sheetName val="3_33"/>
      <sheetName val="Р2_13"/>
      <sheetName val="Р2_23"/>
      <sheetName val="Удельные(проф_)3"/>
      <sheetName val="Константы_и_результаты3"/>
      <sheetName val="расчет_№33"/>
      <sheetName val="20_Кредиты_краткосрочные3"/>
      <sheetName val="Перечень_Заказчиков3"/>
      <sheetName val="2_2_3"/>
      <sheetName val="СтрЗапасов_(2)2"/>
      <sheetName val="PwC_Copies_from_old_models_--&gt;2"/>
      <sheetName val="Сравнение_ДПН_факт_06-072"/>
      <sheetName val="НМ_расчеты2"/>
      <sheetName val="КП_к_снег_Рыбинская3"/>
      <sheetName val="Коэф_КВ2"/>
      <sheetName val="Смета_терзем2"/>
      <sheetName val="Кал_план_Жукова_даты_-_не_надо2"/>
      <sheetName val="матер_2"/>
      <sheetName val="КП_Прим_(3)2"/>
      <sheetName val="кп_(3)2"/>
      <sheetName val="фонтан_разбитый22"/>
      <sheetName val="Баланс_(Ф1)2"/>
      <sheetName val="Смета_3_Гидролог2"/>
      <sheetName val="Записка_СЦБ2"/>
      <sheetName val="РС_2"/>
      <sheetName val="Source_lists2"/>
      <sheetName val="Общая_часть2"/>
      <sheetName val="Табл_53"/>
      <sheetName val="Табл_23"/>
      <sheetName val="См_№3_ОПР2"/>
      <sheetName val="см_№6_АВЗУ_и_ГПЗУ2"/>
      <sheetName val="Input_Assumptions2"/>
      <sheetName val="см_№1_1_Геодезические_работы_2"/>
      <sheetName val="см_№1_4_Экология_2"/>
      <sheetName val="АСУ_ТП_1_этап_ПД2"/>
      <sheetName val="Расчет_курса2"/>
      <sheetName val="Курс_доллара2"/>
      <sheetName val="Календарь_новый2"/>
      <sheetName val="Смета_№_1_ИИ_линия2"/>
      <sheetName val="Дополнительные_параметры2"/>
      <sheetName val="Свод_объем2"/>
      <sheetName val="Дог_цена2"/>
      <sheetName val="выборка_на22_июня2"/>
      <sheetName val="3труба_(П)2"/>
      <sheetName val="Объемы_работ_по_ПВ2"/>
      <sheetName val="Таблица_52"/>
      <sheetName val="Таблица_32"/>
      <sheetName val="1_401_22"/>
      <sheetName val="PO_Data2"/>
      <sheetName val="Раб_АУ2"/>
      <sheetName val="р_Нева3"/>
      <sheetName val="р_Молога3"/>
      <sheetName val="18_рек_Ю-Х3"/>
      <sheetName val="нпс_Палкино3"/>
      <sheetName val="Россия_-_Китай3"/>
      <sheetName val="КМ_210-2383"/>
      <sheetName val="БТС-2_км_405-4593"/>
      <sheetName val="БТС-2_км_405-4533"/>
      <sheetName val="БТС-2_км_313-3523"/>
      <sheetName val="БТС-2_км326-3523"/>
      <sheetName val="Улейма_И3"/>
      <sheetName val="Белая_УБКА3"/>
      <sheetName val="км_72-75р_Левоннька3"/>
      <sheetName val="киенгоп-н_Челны_км_104-2063"/>
      <sheetName val="ВЛ_Урдома3"/>
      <sheetName val="Вл_Микунь_Урдома3"/>
      <sheetName val="ВЛ_Синдор-Микунь3"/>
      <sheetName val="Тон_Чермасан3"/>
      <sheetName val="Трасса_км_16-1473"/>
      <sheetName val="трасса_0-763"/>
      <sheetName val="Колва_783"/>
      <sheetName val="Гидрология__р_Колва_км_383"/>
      <sheetName val="ПСП_3"/>
      <sheetName val="Новая_сводка_(до_бюджета)_(2)4"/>
      <sheetName val="Что_пришло4"/>
      <sheetName val="влад-таблица_(2)4"/>
      <sheetName val="Новая_сводка_(до_бюджета)4"/>
      <sheetName val="Новая_сводка4"/>
      <sheetName val="Общие_расходы4"/>
      <sheetName val="Новая_сводка_(по_бюджету)4"/>
      <sheetName val="Íîâàÿ_ñâîäêà_(äî_áþäæåòà)_(2)4"/>
      <sheetName val="×òî_ïðèøëî4"/>
      <sheetName val="âëàä-òàáëèöà_(2)4"/>
      <sheetName val="Íîâàÿ_ñâîäêà_(äî_áþäæåòà)4"/>
      <sheetName val="Íîâàÿ_ñâîäêà4"/>
      <sheetName val="Îáùèå_ðàñõîäû4"/>
      <sheetName val="Íîâàÿ_ñâîäêà_(ïî_áþäæåòó)4"/>
      <sheetName val="6_10_14"/>
      <sheetName val="6_7_3_ТН4"/>
      <sheetName val="6_15"/>
      <sheetName val="6_52-свод3"/>
      <sheetName val="ДДС_(Форма_№3)2"/>
      <sheetName val="Сводная_2"/>
      <sheetName val="7_ТХ_Сети_(кор)2"/>
      <sheetName val="Tier_3112082"/>
      <sheetName val="Акт_выбора2"/>
      <sheetName val="См_№7_Эл_2"/>
      <sheetName val="См_№8_Пож_2"/>
      <sheetName val="См_№3_ВиК2"/>
      <sheetName val="Сметы_за_сопровождение2"/>
      <sheetName val="См_3_АСУ2"/>
      <sheetName val="Полигон_-_ИЭИ_2"/>
      <sheetName val="Смета_ТЗ_АСУ-162"/>
      <sheetName val="База_Геодезия2"/>
      <sheetName val="База_Геология2"/>
      <sheetName val="База_Геофизика2"/>
      <sheetName val="4_1_12"/>
      <sheetName val="исп_1_1_12"/>
      <sheetName val="База_Гидро2"/>
      <sheetName val="4_2_12"/>
      <sheetName val="исп_1_1_22"/>
      <sheetName val="Исп__смета_этап_1_1,_1_22"/>
      <sheetName val="ТЗ_АСУ-11"/>
      <sheetName val="лч_и_кам1"/>
      <sheetName val="ИД_СМР1"/>
      <sheetName val="Вспом_1"/>
      <sheetName val="Бл_электр_1"/>
      <sheetName val="2_Геология1"/>
      <sheetName val="Объем_работ1"/>
      <sheetName val="Виды_работ_АСО1"/>
      <sheetName val="ФОТ_для_смет1"/>
      <sheetName val="КБК_ДПК1"/>
      <sheetName val="ЕТС_(ф)1"/>
      <sheetName val="Исх__данные1"/>
      <sheetName val="Main_list1"/>
      <sheetName val="ПД-2_21"/>
      <sheetName val="1_141"/>
      <sheetName val="1_71"/>
      <sheetName val="13_14"/>
      <sheetName val="таблица_руко_2"/>
      <sheetName val="эл_химз_6"/>
      <sheetName val="геология_6"/>
      <sheetName val="6_146"/>
      <sheetName val="6_3_16"/>
      <sheetName val="6_206"/>
      <sheetName val="6_4_16"/>
      <sheetName val="6_11_1__сторонние6"/>
      <sheetName val="8_14_КР_(списание)ОПСТИКР6"/>
      <sheetName val="Данные_для_расчёта_сметы5"/>
      <sheetName val="6_14_КР5"/>
      <sheetName val="Текущие_цены5"/>
      <sheetName val="отчет_эл_эн__20005"/>
      <sheetName val="к_84-к_835"/>
      <sheetName val="свод_25"/>
      <sheetName val="Зап-3-_СЦБ5"/>
      <sheetName val="Пример_расчета5"/>
      <sheetName val="СметаСводная_Рыб5"/>
      <sheetName val="Коэфф1_5"/>
      <sheetName val="6_34"/>
      <sheetName val="6_74"/>
      <sheetName val="6_3_1_34"/>
      <sheetName val="КП_(2)4"/>
      <sheetName val="свод_34"/>
      <sheetName val="Смета2_проект__раб_5"/>
      <sheetName val="Смета_15"/>
      <sheetName val="СМЕТА_проект4"/>
      <sheetName val="Production_and_Spend4"/>
      <sheetName val="Прайс_лист5"/>
      <sheetName val="1_34"/>
      <sheetName val="К_рын4"/>
      <sheetName val="Сводная_смета4"/>
      <sheetName val="См_1_наруж_водопровод5"/>
      <sheetName val="Разработка_проекта5"/>
      <sheetName val="КП_НовоКов5"/>
      <sheetName val="СметаСводная_1_оч5"/>
      <sheetName val="Переменные_и_константы4"/>
      <sheetName val="свод_(2)4"/>
      <sheetName val="Калплан_ОИ2_Макм_крестики4"/>
      <sheetName val="СметаСводная_павильон4"/>
      <sheetName val="Св__смета4"/>
      <sheetName val="РБС_ИЗМ14"/>
      <sheetName val="СметаСводная_снег4"/>
      <sheetName val="Лист_опроса4"/>
      <sheetName val="Исполнение__освоение_по_закупк4"/>
      <sheetName val="Исполнение_для_Ускова4"/>
      <sheetName val="Выборка_по_отсыпкам4"/>
      <sheetName val="ИП__отсыпки_4"/>
      <sheetName val="ИП__отсыпки_ФОТ_диз_т_4"/>
      <sheetName val="ИП__отсыпки___выборка_4"/>
      <sheetName val="Исполнение_по_оборуд_4"/>
      <sheetName val="Исполнение_по_оборуд___2_4"/>
      <sheetName val="Исполнение_сжато4"/>
      <sheetName val="Форма_для_бурения4"/>
      <sheetName val="Форма_для_КС4"/>
      <sheetName val="Форма_для_ГР4"/>
      <sheetName val="Смета_1свод4"/>
      <sheetName val="таблица_руководству4"/>
      <sheetName val="Суточная_добыча_за_неделю4"/>
      <sheetName val="Прибыль_опл4"/>
      <sheetName val="№5_СУБ_Инж_защ4"/>
      <sheetName val="HP_и_оргтехника4"/>
      <sheetName val="Таблица_24"/>
      <sheetName val="Таблица_4_АСУТП4"/>
      <sheetName val="ст_ГТМ4"/>
      <sheetName val="ПДР_ООО_&quot;Юкос_ФБЦ&quot;4"/>
      <sheetName val="исходные_данные4"/>
      <sheetName val="расчетные_таблицы4"/>
      <sheetName val="Амур_ДОН4"/>
      <sheetName val="кп_ГК4"/>
      <sheetName val="Справочные_данные4"/>
      <sheetName val="Б_Сатка4"/>
      <sheetName val="справ_5"/>
      <sheetName val="Перечень_ИУ4"/>
      <sheetName val="3_1_ТХ4"/>
      <sheetName val="СметаСводная_Колпино4"/>
      <sheetName val="3_54"/>
      <sheetName val="суб_подряд5"/>
      <sheetName val="ПСБ_-_ОЭ5"/>
      <sheetName val="Смета_24"/>
      <sheetName val="Ачинский_НПЗ4"/>
      <sheetName val="См3_СЦБ-зап4"/>
      <sheetName val="Хаттон_90_90_Femco4"/>
      <sheetName val="свод_общ4"/>
      <sheetName val="Смета_5_2__Кусты25,29,31,654"/>
      <sheetName val="смета_СИД4"/>
      <sheetName val="ресурсная_вед_4"/>
      <sheetName val="р_Волхов4"/>
      <sheetName val="КП_к_ГК4"/>
      <sheetName val="изыскания_24"/>
      <sheetName val="Калплан_Кра4"/>
      <sheetName val="6_11_новый4"/>
      <sheetName val="Opex_personnel_(Term_facs)4"/>
      <sheetName val="Капитальные_затраты4"/>
      <sheetName val="Пояснение_3"/>
      <sheetName val="3_14"/>
      <sheetName val="Коммерческие_расходы4"/>
      <sheetName val="смета_2_проект__работы3"/>
      <sheetName val="СС_замеч_с_ответами4"/>
      <sheetName val="УП__20044"/>
      <sheetName val="в_работу4"/>
      <sheetName val="3_24"/>
      <sheetName val="3_34"/>
      <sheetName val="Р2_14"/>
      <sheetName val="Р2_24"/>
      <sheetName val="Удельные(проф_)4"/>
      <sheetName val="Константы_и_результаты4"/>
      <sheetName val="расчет_№34"/>
      <sheetName val="20_Кредиты_краткосрочные4"/>
      <sheetName val="Перечень_Заказчиков4"/>
      <sheetName val="2_2_4"/>
      <sheetName val="СтрЗапасов_(2)3"/>
      <sheetName val="PwC_Copies_from_old_models_--&gt;3"/>
      <sheetName val="Сравнение_ДПН_факт_06-073"/>
      <sheetName val="НМ_расчеты3"/>
      <sheetName val="КП_к_снег_Рыбинская4"/>
      <sheetName val="Коэф_КВ3"/>
      <sheetName val="Смета_терзем3"/>
      <sheetName val="Кал_план_Жукова_даты_-_не_надо3"/>
      <sheetName val="матер_3"/>
      <sheetName val="КП_Прим_(3)3"/>
      <sheetName val="кп_(3)3"/>
      <sheetName val="фонтан_разбитый23"/>
      <sheetName val="Баланс_(Ф1)3"/>
      <sheetName val="Смета_3_Гидролог3"/>
      <sheetName val="Записка_СЦБ3"/>
      <sheetName val="РС_3"/>
      <sheetName val="Source_lists3"/>
      <sheetName val="Общая_часть3"/>
      <sheetName val="Табл_54"/>
      <sheetName val="Табл_24"/>
      <sheetName val="См_№3_ОПР3"/>
      <sheetName val="см_№6_АВЗУ_и_ГПЗУ3"/>
      <sheetName val="Input_Assumptions3"/>
      <sheetName val="см_№1_1_Геодезические_работы_3"/>
      <sheetName val="см_№1_4_Экология_3"/>
      <sheetName val="АСУ_ТП_1_этап_ПД3"/>
      <sheetName val="Расчет_курса3"/>
      <sheetName val="Курс_доллара3"/>
      <sheetName val="Календарь_новый3"/>
      <sheetName val="Смета_№_1_ИИ_линия3"/>
      <sheetName val="Дополнительные_параметры3"/>
      <sheetName val="Свод_объем3"/>
      <sheetName val="Дог_цена3"/>
      <sheetName val="выборка_на22_июня3"/>
      <sheetName val="3труба_(П)3"/>
      <sheetName val="Объемы_работ_по_ПВ3"/>
      <sheetName val="Таблица_53"/>
      <sheetName val="Таблица_33"/>
      <sheetName val="1_401_23"/>
      <sheetName val="PO_Data3"/>
      <sheetName val="Раб_АУ3"/>
      <sheetName val="р_Нева4"/>
      <sheetName val="р_Молога4"/>
      <sheetName val="18_рек_Ю-Х4"/>
      <sheetName val="нпс_Палкино4"/>
      <sheetName val="Россия_-_Китай4"/>
      <sheetName val="КМ_210-2384"/>
      <sheetName val="БТС-2_км_405-4594"/>
      <sheetName val="БТС-2_км_405-4534"/>
      <sheetName val="БТС-2_км_313-3524"/>
      <sheetName val="БТС-2_км326-3524"/>
      <sheetName val="Улейма_И4"/>
      <sheetName val="Белая_УБКА4"/>
      <sheetName val="км_72-75р_Левоннька4"/>
      <sheetName val="киенгоп-н_Челны_км_104-2064"/>
      <sheetName val="ВЛ_Урдома4"/>
      <sheetName val="Вл_Микунь_Урдома4"/>
      <sheetName val="ВЛ_Синдор-Микунь4"/>
      <sheetName val="Тон_Чермасан4"/>
      <sheetName val="Трасса_км_16-1474"/>
      <sheetName val="трасса_0-764"/>
      <sheetName val="Колва_784"/>
      <sheetName val="Гидрология__р_Колва_км_384"/>
      <sheetName val="ПСП_4"/>
      <sheetName val="Новая_сводка_(до_бюджета)_(2)5"/>
      <sheetName val="Что_пришло5"/>
      <sheetName val="влад-таблица_(2)5"/>
      <sheetName val="Новая_сводка_(до_бюджета)5"/>
      <sheetName val="Новая_сводка5"/>
      <sheetName val="Общие_расходы5"/>
      <sheetName val="Новая_сводка_(по_бюджету)5"/>
      <sheetName val="Íîâàÿ_ñâîäêà_(äî_áþäæåòà)_(2)5"/>
      <sheetName val="×òî_ïðèøëî5"/>
      <sheetName val="âëàä-òàáëèöà_(2)5"/>
      <sheetName val="Íîâàÿ_ñâîäêà_(äî_áþäæåòà)5"/>
      <sheetName val="Íîâàÿ_ñâîäêà5"/>
      <sheetName val="Îáùèå_ðàñõîäû5"/>
      <sheetName val="Íîâàÿ_ñâîäêà_(ïî_áþäæåòó)5"/>
      <sheetName val="6_10_15"/>
      <sheetName val="6_7_3_ТН5"/>
      <sheetName val="6_16"/>
      <sheetName val="6_52-свод4"/>
      <sheetName val="ДДС_(Форма_№3)3"/>
      <sheetName val="Сводная_3"/>
      <sheetName val="7_ТХ_Сети_(кор)3"/>
      <sheetName val="Tier_3112083"/>
      <sheetName val="Акт_выбора3"/>
      <sheetName val="См_№7_Эл_3"/>
      <sheetName val="См_№8_Пож_3"/>
      <sheetName val="См_№3_ВиК3"/>
      <sheetName val="Сметы_за_сопровождение3"/>
      <sheetName val="См_3_АСУ3"/>
      <sheetName val="Полигон_-_ИЭИ_3"/>
      <sheetName val="Смета_ТЗ_АСУ-163"/>
      <sheetName val="База_Геодезия3"/>
      <sheetName val="База_Геология3"/>
      <sheetName val="База_Геофизика3"/>
      <sheetName val="4_1_13"/>
      <sheetName val="исп_1_1_13"/>
      <sheetName val="База_Гидро3"/>
      <sheetName val="4_2_13"/>
      <sheetName val="исп_1_1_23"/>
      <sheetName val="Исп__смета_этап_1_1,_1_23"/>
      <sheetName val="ТЗ_АСУ-12"/>
      <sheetName val="лч_и_кам2"/>
      <sheetName val="ИД_СМР2"/>
      <sheetName val="Вспом_2"/>
      <sheetName val="Бл_электр_2"/>
      <sheetName val="2_Геология2"/>
      <sheetName val="Объем_работ2"/>
      <sheetName val="Виды_работ_АСО2"/>
      <sheetName val="ФОТ_для_смет2"/>
      <sheetName val="КБК_ДПК2"/>
      <sheetName val="ЕТС_(ф)2"/>
      <sheetName val="Исх__данные2"/>
      <sheetName val="Main_list2"/>
      <sheetName val="ПД-2_22"/>
      <sheetName val="1_142"/>
      <sheetName val="1_72"/>
      <sheetName val="Промер_глуб1"/>
      <sheetName val="кап_ремонт"/>
      <sheetName val="СВ_2"/>
      <sheetName val="1_2_"/>
      <sheetName val="РАСПРЕД_ПО_ПРОЦЕСС"/>
      <sheetName val="Приложение_2"/>
      <sheetName val="Исх_"/>
      <sheetName val="Ограничения_шаблон"/>
      <sheetName val="Причины_отклонений"/>
      <sheetName val="Статус_работы"/>
      <sheetName val="Уровень_графика"/>
      <sheetName val="Расчет_№1_1"/>
      <sheetName val="Расчет_№2_1"/>
      <sheetName val="ИД_ПНР"/>
      <sheetName val="Технический_лист"/>
      <sheetName val="анализ_2003_2004исполнение_МТО"/>
      <sheetName val="Индексы"/>
      <sheetName val="см_5_ОДД_"/>
      <sheetName val="сммашбур"/>
      <sheetName val="ОбмОбслЗемОд"/>
      <sheetName val="Поставка"/>
      <sheetName val="Расчет работы"/>
      <sheetName val="ПС_110_кВ_(доп)"/>
      <sheetName val="3_Сл_-структура_затрат"/>
      <sheetName val="исключ_ЭХЗ1"/>
      <sheetName val="3_Сл_-структура_затрат1"/>
      <sheetName val="ПС_110_кВ_(доп)1"/>
      <sheetName val="См_2_Шатурс_сети__проект_работ1"/>
      <sheetName val="аванс_по_ОС"/>
      <sheetName val="Авансы_выданные"/>
      <sheetName val="Кред__задолж_"/>
      <sheetName val="PLиюль04"/>
      <sheetName val="PL СКР"/>
      <sheetName val="Акты"/>
      <sheetName val="ЛС_БИ"/>
      <sheetName val="обслед 1"/>
      <sheetName val="Смета__4ПР_ЭХЗ"/>
      <sheetName val="ЖД_3_1"/>
      <sheetName val="11Землеустр"/>
      <sheetName val="сводная_(2)"/>
      <sheetName val="автоматизация_РД"/>
      <sheetName val="Восстановл_Лис礊め"/>
      <sheetName val="Свод2006"/>
      <sheetName val="1 кв"/>
      <sheetName val="Акт_выполненных_работ_46"/>
      <sheetName val="Смета_7"/>
      <sheetName val="ВПР"/>
      <sheetName val="Проект"/>
      <sheetName val="основа"/>
      <sheetName val="АД"/>
      <sheetName val="зимП"/>
      <sheetName val="Накоп.Итог"/>
      <sheetName val="09-01"/>
      <sheetName val="09-02"/>
      <sheetName val="09-03"/>
      <sheetName val="09-04"/>
      <sheetName val="09-05"/>
      <sheetName val="телемехан"/>
      <sheetName val="Характеристические ФО"/>
      <sheetName val="Спец И"/>
      <sheetName val="Спец_И"/>
      <sheetName val="КП "/>
      <sheetName val="1.1 эт1"/>
      <sheetName val="1.1.1 эт2"/>
      <sheetName val="1.1.2 эт3"/>
      <sheetName val="1.1.0 обн"/>
      <sheetName val="1.2 ИГЛИ1"/>
      <sheetName val="1.2.1 ИГЛИ2"/>
      <sheetName val="1.2.2 ИГЛИ3"/>
      <sheetName val="1.3 ГФ 1"/>
      <sheetName val="1.3.1 ГФ 2"/>
      <sheetName val="1.3.2 гф3"/>
      <sheetName val="1.4 "/>
      <sheetName val="экол 1.5. 1 эт"/>
      <sheetName val="экол 1.5.1 (эт2)"/>
      <sheetName val="экол 1.5.2"/>
      <sheetName val="экол 1.6"/>
      <sheetName val="1.6.1"/>
      <sheetName val="экол 1.6.2"/>
      <sheetName val="2 ИП 1эт (ПД)"/>
      <sheetName val="2.1 ИП РД"/>
      <sheetName val="2.3 ИП 3 эт ПД"/>
      <sheetName val="2.4 ИП  РД"/>
      <sheetName val="3 Дор ПД 1 эт"/>
      <sheetName val="3.1 Дор РД"/>
      <sheetName val="4 ПД"/>
      <sheetName val="4.1 РД"/>
      <sheetName val="5"/>
      <sheetName val="7.2 "/>
      <sheetName val="7.3"/>
      <sheetName val="8ГОиЧС"/>
      <sheetName val="9 АСУТП"/>
      <sheetName val="9.1 АСТУЭ"/>
      <sheetName val="10 МБП"/>
      <sheetName val="10.2 2 эт"/>
      <sheetName val="10.3 3 эт"/>
      <sheetName val="11 ЭЭ 1 этап"/>
      <sheetName val="11.2 ЭЭ"/>
      <sheetName val="11.3 ЭЭ 3 этап"/>
      <sheetName val="12 ТБЭ 1этап"/>
      <sheetName val="12.2 ТБЭ 2 этап"/>
      <sheetName val="12.3 ТБЭ 3 этап"/>
      <sheetName val="13 ЗУ "/>
      <sheetName val="14 ППТиМТ"/>
      <sheetName val="15 ООС"/>
      <sheetName val="15.2"/>
      <sheetName val="15.3"/>
      <sheetName val="16 ТСГ ПД "/>
      <sheetName val="16.2 "/>
      <sheetName val="16.3 "/>
      <sheetName val="17 ТСГ РД "/>
      <sheetName val="18 ГТМ ПД"/>
      <sheetName val="18.1 ГТМ РД"/>
      <sheetName val="18.2"/>
      <sheetName val="20"/>
      <sheetName val="21.2 СЗЗ "/>
      <sheetName val="22 РХР"/>
      <sheetName val="22.2РХР"/>
      <sheetName val="22.3РХР"/>
      <sheetName val="23АРХ"/>
      <sheetName val="ком.арх."/>
      <sheetName val="24"/>
      <sheetName val="24.3"/>
      <sheetName val="25"/>
      <sheetName val="25.1"/>
      <sheetName val="26.1"/>
      <sheetName val="26.2"/>
      <sheetName val="26.3"/>
      <sheetName val="26.4"/>
      <sheetName val="27 ГГЭ"/>
      <sheetName val="27.2 ГГЭ 2 эт"/>
      <sheetName val="27.3 ГГЭ 3 эт"/>
      <sheetName val="28 ГЭЭ"/>
      <sheetName val="28.2"/>
      <sheetName val="28.3"/>
      <sheetName val="29 ПТА"/>
      <sheetName val="31.1"/>
      <sheetName val="31.2"/>
      <sheetName val="32.1"/>
      <sheetName val="32.2"/>
      <sheetName val="ком 1"/>
      <sheetName val="ком 2"/>
      <sheetName val="ком 3"/>
      <sheetName val="33 НВЛ"/>
      <sheetName val="33.1 ВОР"/>
      <sheetName val="34"/>
      <sheetName val="35"/>
      <sheetName val="37.1"/>
      <sheetName val="38"/>
      <sheetName val="Drop-down"/>
      <sheetName val="31.08.2004"/>
      <sheetName val="Курс $"/>
      <sheetName val="труд"/>
      <sheetName val="Settings"/>
      <sheetName val="9 глава"/>
      <sheetName val="Восстановл_Л_x0000__x0000__x0000__x0000__x0000_"/>
      <sheetName val="Восстановл_Л_x0000__x0000_Ԁ_x0000_ "/>
      <sheetName val="Восстановл_Л_x0000__x0000_Ԁ_x0000_"/>
      <sheetName val="Восстановл_Л_x0000__x0000_Ԁ_x0000_退"/>
      <sheetName val="Восстановл_Л_x0000__x0000_Ԁ_x0000_쀀"/>
      <sheetName val="Восстановл_Л_x0000__x0000_Ԁ_x0000_倀"/>
      <sheetName val="_Свод"/>
      <sheetName val="Договорная_цена"/>
      <sheetName val="Смета_2_эл_монтаж"/>
      <sheetName val="Смета_1_общестроит"/>
      <sheetName val="№2Гидромет_"/>
      <sheetName val="№2Геолог_с_п_"/>
      <sheetName val="№3Экологи_(2этап)"/>
      <sheetName val="Прил_5_СС"/>
      <sheetName val="расчет_вязкости"/>
      <sheetName val="Сравнение_с_Finder_-_ДНС-5"/>
      <sheetName val="_Оборудование__end"/>
      <sheetName val="РАСПРЕД_ПО_ПРОЦЕСС1"/>
      <sheetName val="Исх_1"/>
      <sheetName val="ИД_ПНР1"/>
      <sheetName val="см_5_ОДД_1"/>
      <sheetName val="РАСПРЕД_ПО_ПРОЦЕСС2"/>
      <sheetName val="Исх_2"/>
      <sheetName val="ИД_ПНР2"/>
      <sheetName val="см_5_ОДД_2"/>
      <sheetName val="таблица_руко_3"/>
      <sheetName val="aeaa-oaaeeoa"/>
      <sheetName val="Iiaay naiaea (ai a?a?aoa) (2)"/>
      <sheetName val="?oi i?eoei"/>
      <sheetName val="aeaa-oaaeeoa (2)"/>
      <sheetName val="Iiaay naiaea (ai a?a?aoa)"/>
      <sheetName val="Naiaea"/>
      <sheetName val="Iiaay naiaea"/>
      <sheetName val="A?-o"/>
      <sheetName val="Ia?aoInoaoee"/>
      <sheetName val="Iauea ?anoiau"/>
      <sheetName val="Iiaay naiaea (ii a?a?aoo)"/>
      <sheetName val="Iiaay_naiaea_(ai_a?a?aoa)_(2)"/>
      <sheetName val="?oi_i?eoei"/>
      <sheetName val="aeaa-oaaeeoa_(2)"/>
      <sheetName val="Iiaay_naiaea_(ai_a?a?aoa)"/>
      <sheetName val="Iiaay_naiaea"/>
      <sheetName val="Iauea_?anoiau"/>
      <sheetName val="Iiaay_naiaea_(ii_a?a?aoo)"/>
      <sheetName val="Iiaay_naiaea_(ai_a?a?aoa)_(2)1"/>
      <sheetName val="?oi_i?eoei1"/>
      <sheetName val="aeaa-oaaeeoa_(2)1"/>
      <sheetName val="Iiaay_naiaea_(ai_a?a?aoa)1"/>
      <sheetName val="Iiaay_naiaea1"/>
      <sheetName val="Iauea_?anoiau1"/>
      <sheetName val="Iiaay_naiaea_(ii_a?a?aoo)1"/>
      <sheetName val="?????????????????"/>
      <sheetName val="СС1"/>
      <sheetName val="материалы Портовая"/>
      <sheetName val="13_15"/>
      <sheetName val="Пояснение_4"/>
      <sheetName val="смета_2_проект__работы4"/>
      <sheetName val="СтрЗапасов_(2)4"/>
      <sheetName val="PwC_Copies_from_old_models_--&gt;4"/>
      <sheetName val="Сравнение_ДПН_факт_06-074"/>
      <sheetName val="НМ_расчеты4"/>
      <sheetName val="Коэф_КВ4"/>
      <sheetName val="Смета_терзем4"/>
      <sheetName val="Кал_план_Жукова_даты_-_не_надо4"/>
      <sheetName val="матер_4"/>
      <sheetName val="КП_Прим_(3)4"/>
      <sheetName val="кп_(3)4"/>
      <sheetName val="фонтан_разбитый24"/>
      <sheetName val="Баланс_(Ф1)4"/>
      <sheetName val="Смета_3_Гидролог4"/>
      <sheetName val="Записка_СЦБ4"/>
      <sheetName val="РС_4"/>
      <sheetName val="Бл_электр_3"/>
      <sheetName val="лч_и_кам3"/>
      <sheetName val="ТЗ_АСУ-13"/>
      <sheetName val="ИД_СМР3"/>
      <sheetName val="Вспом_3"/>
      <sheetName val="2_Геология3"/>
      <sheetName val="Объем_работ3"/>
      <sheetName val="Виды_работ_АСО3"/>
      <sheetName val="ФОТ_для_смет3"/>
      <sheetName val="КБК_ДПК3"/>
      <sheetName val="ЕТС_(ф)3"/>
      <sheetName val="таблица_руко_4"/>
      <sheetName val="Пр2 Р. стоимости"/>
      <sheetName val="СМ          "/>
      <sheetName val="таблица_руко       "/>
      <sheetName val="таблица_руко  _x0009_    "/>
      <sheetName val="Прил 6.57"/>
      <sheetName val="Хаттон_90_礊め_x0005__x0000__x0000__x0000__x0000_"/>
      <sheetName val="Хаттон_90_礊め"/>
      <sheetName val="СВ_21"/>
      <sheetName val="Смета__4ПР_ЭХЗ1"/>
      <sheetName val="СВ_22"/>
      <sheetName val="Смета__4ПР_ЭХЗ2"/>
      <sheetName val="Таблица"/>
      <sheetName val="Акт_выполненных_работ_461"/>
      <sheetName val="Смета_71"/>
      <sheetName val="Акт_выполненных_работ_462"/>
      <sheetName val="Смета_72"/>
      <sheetName val="таблица_руко_5"/>
      <sheetName val="Восстановл_Л_x0000__x0000_Ԁ_x0000_耀"/>
      <sheetName val="rankout"/>
      <sheetName val="Восстановл_Л"/>
      <sheetName val="ОП쌅"/>
      <sheetName val="ОП쌉"/>
      <sheetName val="АРХ гл.1"/>
      <sheetName val="выборка_"/>
      <sheetName val="сводная_(2)1"/>
      <sheetName val="автоматизация_РД1"/>
      <sheetName val="выборка_1"/>
      <sheetName val="Обложка"/>
      <sheetName val="Содержание тома"/>
      <sheetName val="01-01-01 "/>
      <sheetName val="02-01-01.1 "/>
      <sheetName val="02-01-01.2"/>
      <sheetName val="02-01-02.1"/>
      <sheetName val="02-01-02.2"/>
      <sheetName val="02-01-03.1 "/>
      <sheetName val="02-01-03.2 "/>
      <sheetName val="02-01-04  "/>
      <sheetName val="01-01-05"/>
      <sheetName val="02-01-06.1 "/>
      <sheetName val="02-01-06.2 "/>
      <sheetName val="02-01-07 "/>
      <sheetName val="02-01-08 "/>
      <sheetName val="02-01-09 "/>
      <sheetName val="02-01-10.1"/>
      <sheetName val="02-01-10.2"/>
      <sheetName val="02-01-11 "/>
      <sheetName val="02-01-12 "/>
      <sheetName val="02-01-13 "/>
      <sheetName val="02-01-15 "/>
      <sheetName val="02-01-16 "/>
      <sheetName val="02-01-17.1"/>
      <sheetName val="02-01-17.2 "/>
      <sheetName val="02-01-18.1."/>
      <sheetName val="02-01-18.2"/>
      <sheetName val="02-01-19.1 "/>
      <sheetName val="02-01-19.2 "/>
      <sheetName val="02-01-20"/>
      <sheetName val="02-01-21.1"/>
      <sheetName val="02-01-22 "/>
      <sheetName val="02-01-23"/>
      <sheetName val="02-01-21.2"/>
      <sheetName val="02-01-24"/>
      <sheetName val="09-01-02"/>
      <sheetName val="02-01-25"/>
      <sheetName val="02-01-26 "/>
      <sheetName val="02-01-27"/>
      <sheetName val="02-01-28."/>
      <sheetName val="02-01-29."/>
      <sheetName val="02-01-30"/>
      <sheetName val="02-01-31 "/>
      <sheetName val="02-01-32 "/>
      <sheetName val="02-01-33"/>
      <sheetName val="02-01-34."/>
      <sheetName val="02-01-35"/>
      <sheetName val="02-01-36"/>
      <sheetName val="04-01-01 "/>
      <sheetName val="07-01-01 "/>
      <sheetName val="09-01-01 "/>
      <sheetName val="09-01-03"/>
      <sheetName val="09-01-04"/>
      <sheetName val="09-01-05"/>
      <sheetName val="09-01-06"/>
      <sheetName val="09-01-07"/>
      <sheetName val="09-01-08"/>
      <sheetName val="02-01-34"/>
      <sheetName val="02-01-33 (2)"/>
      <sheetName val="02-01-32"/>
      <sheetName val="02-01-28"/>
      <sheetName val="02-01-26"/>
      <sheetName val="02-01-01.1"/>
      <sheetName val="02-01-03.2"/>
      <sheetName val="02-01-04 "/>
      <sheetName val="02-01-06.1"/>
      <sheetName val="02-01-06.2"/>
      <sheetName val="02-01-18.1"/>
      <sheetName val="02-01-23 "/>
      <sheetName val="Ф"/>
      <sheetName val="Объём"/>
      <sheetName val="К.С.М."/>
      <sheetName val="Макро"/>
      <sheetName val="Тр."/>
      <sheetName val="Сводка пог.м "/>
      <sheetName val="по объекту"/>
      <sheetName val="Выборка Заказчик"/>
      <sheetName val="Ханты"/>
      <sheetName val="эл_химз_7"/>
      <sheetName val="геология_7"/>
      <sheetName val="6_147"/>
      <sheetName val="6_3_17"/>
      <sheetName val="6_207"/>
      <sheetName val="6_4_17"/>
      <sheetName val="6_11_1__сторонние7"/>
      <sheetName val="8_14_КР_(списание)ОПСТИКР7"/>
      <sheetName val="6_14_КР6"/>
      <sheetName val="Данные_для_расчёта_сметы6"/>
      <sheetName val="Текущие_цены6"/>
      <sheetName val="свод_26"/>
      <sheetName val="к_84-к_836"/>
      <sheetName val="отчет_эл_эн__20006"/>
      <sheetName val="Зап-3-_СЦБ6"/>
      <sheetName val="Пример_расчета6"/>
      <sheetName val="СметаСводная_Рыб6"/>
      <sheetName val="Коэфф1_6"/>
      <sheetName val="КП_(2)5"/>
      <sheetName val="6_35"/>
      <sheetName val="6_75"/>
      <sheetName val="6_3_1_35"/>
      <sheetName val="свод_35"/>
      <sheetName val="Смета2_проект__раб_6"/>
      <sheetName val="Смета_16"/>
      <sheetName val="СМЕТА_проект5"/>
      <sheetName val="Production_and_Spend5"/>
      <sheetName val="Прайс_лист6"/>
      <sheetName val="1_35"/>
      <sheetName val="К_рын5"/>
      <sheetName val="Сводная_смета5"/>
      <sheetName val="См_1_наруж_водопровод6"/>
      <sheetName val="Разработка_проекта6"/>
      <sheetName val="КП_НовоКов6"/>
      <sheetName val="СметаСводная_1_оч6"/>
      <sheetName val="Переменные_и_константы5"/>
      <sheetName val="свод_(2)5"/>
      <sheetName val="Калплан_ОИ2_Макм_крестики5"/>
      <sheetName val="СметаСводная_павильон5"/>
      <sheetName val="Св__смета5"/>
      <sheetName val="РБС_ИЗМ15"/>
      <sheetName val="СметаСводная_снег5"/>
      <sheetName val="Лист_опроса5"/>
      <sheetName val="Исполнение__освоение_по_закупк5"/>
      <sheetName val="Исполнение_для_Ускова5"/>
      <sheetName val="Выборка_по_отсыпкам5"/>
      <sheetName val="ИП__отсыпки_5"/>
      <sheetName val="ИП__отсыпки_ФОТ_диз_т_5"/>
      <sheetName val="ИП__отсыпки___выборка_5"/>
      <sheetName val="Исполнение_по_оборуд_5"/>
      <sheetName val="Исполнение_по_оборуд___2_5"/>
      <sheetName val="Исполнение_сжато5"/>
      <sheetName val="Форма_для_бурения5"/>
      <sheetName val="Форма_для_КС5"/>
      <sheetName val="Форма_для_ГР5"/>
      <sheetName val="Смета_1свод5"/>
      <sheetName val="таблица_руководству5"/>
      <sheetName val="Суточная_добыча_за_неделю5"/>
      <sheetName val="Прибыль_опл5"/>
      <sheetName val="№5_СУБ_Инж_защ5"/>
      <sheetName val="HP_и_оргтехника5"/>
      <sheetName val="Таблица_25"/>
      <sheetName val="Таблица_4_АСУТП5"/>
      <sheetName val="ст_ГТМ5"/>
      <sheetName val="ПДР_ООО_&quot;Юкос_ФБЦ&quot;5"/>
      <sheetName val="исходные_данные5"/>
      <sheetName val="расчетные_таблицы5"/>
      <sheetName val="Амур_ДОН5"/>
      <sheetName val="кп_ГК5"/>
      <sheetName val="Справочные_данные5"/>
      <sheetName val="Б_Сатка5"/>
      <sheetName val="справ_6"/>
      <sheetName val="Перечень_ИУ5"/>
      <sheetName val="3_1_ТХ5"/>
      <sheetName val="СметаСводная_Колпино5"/>
      <sheetName val="3_55"/>
      <sheetName val="суб_подряд6"/>
      <sheetName val="ПСБ_-_ОЭ6"/>
      <sheetName val="Смета_25"/>
      <sheetName val="Ачинский_НПЗ5"/>
      <sheetName val="См3_СЦБ-зап5"/>
      <sheetName val="Хаттон_90_90_Femco5"/>
      <sheetName val="свод_общ5"/>
      <sheetName val="Смета_5_2__Кусты25,29,31,655"/>
      <sheetName val="смета_СИД5"/>
      <sheetName val="ресурсная_вед_5"/>
      <sheetName val="р_Волхов5"/>
      <sheetName val="КП_к_ГК5"/>
      <sheetName val="изыскания_25"/>
      <sheetName val="Калплан_Кра5"/>
      <sheetName val="6_11_новый5"/>
      <sheetName val="Opex_personnel_(Term_facs)5"/>
      <sheetName val="Капитальные_затраты5"/>
      <sheetName val="3_15"/>
      <sheetName val="Коммерческие_расходы5"/>
      <sheetName val="СС_замеч_с_ответами5"/>
      <sheetName val="УП__20045"/>
      <sheetName val="в_работу5"/>
      <sheetName val="3_25"/>
      <sheetName val="3_35"/>
      <sheetName val="Р2_15"/>
      <sheetName val="Р2_25"/>
      <sheetName val="Удельные(проф_)5"/>
      <sheetName val="Константы_и_результаты5"/>
      <sheetName val="расчет_№35"/>
      <sheetName val="20_Кредиты_краткосрочные5"/>
      <sheetName val="Перечень_Заказчиков5"/>
      <sheetName val="2_2_5"/>
      <sheetName val="КП_к_снег_Рыбинская5"/>
      <sheetName val="Общая_часть4"/>
      <sheetName val="Табл_55"/>
      <sheetName val="Табл_25"/>
      <sheetName val="См_№3_ОПР4"/>
      <sheetName val="см_№6_АВЗУ_и_ГПЗУ4"/>
      <sheetName val="Input_Assumptions4"/>
      <sheetName val="см_№1_1_Геодезические_работы_4"/>
      <sheetName val="см_№1_4_Экология_4"/>
      <sheetName val="АСУ_ТП_1_этап_ПД4"/>
      <sheetName val="Расчет_курса4"/>
      <sheetName val="Source_lists4"/>
      <sheetName val="Курс_доллара4"/>
      <sheetName val="Календарь_новый4"/>
      <sheetName val="Смета_№_1_ИИ_линия4"/>
      <sheetName val="Дополнительные_параметры4"/>
      <sheetName val="Свод_объем4"/>
      <sheetName val="Дог_цена4"/>
      <sheetName val="выборка_на22_июня4"/>
      <sheetName val="3труба_(П)4"/>
      <sheetName val="Объемы_работ_по_ПВ4"/>
      <sheetName val="Таблица_54"/>
      <sheetName val="Таблица_34"/>
      <sheetName val="1_401_24"/>
      <sheetName val="PO_Data4"/>
      <sheetName val="Раб_АУ4"/>
      <sheetName val="р_Нева5"/>
      <sheetName val="р_Молога5"/>
      <sheetName val="18_рек_Ю-Х5"/>
      <sheetName val="нпс_Палкино5"/>
      <sheetName val="Россия_-_Китай5"/>
      <sheetName val="КМ_210-2385"/>
      <sheetName val="БТС-2_км_405-4595"/>
      <sheetName val="БТС-2_км_405-4535"/>
      <sheetName val="БТС-2_км_313-3525"/>
      <sheetName val="БТС-2_км326-3525"/>
      <sheetName val="Улейма_И5"/>
      <sheetName val="Белая_УБКА5"/>
      <sheetName val="км_72-75р_Левоннька5"/>
      <sheetName val="киенгоп-н_Челны_км_104-2065"/>
      <sheetName val="ВЛ_Урдома5"/>
      <sheetName val="Вл_Микунь_Урдома5"/>
      <sheetName val="ВЛ_Синдор-Микунь5"/>
      <sheetName val="Тон_Чермасан5"/>
      <sheetName val="Трасса_км_16-1475"/>
      <sheetName val="трасса_0-765"/>
      <sheetName val="Колва_785"/>
      <sheetName val="Гидрология__р_Колва_км_385"/>
      <sheetName val="ПСП_5"/>
      <sheetName val="Новая_сводка_(до_бюджета)_(2)6"/>
      <sheetName val="Что_пришло6"/>
      <sheetName val="влад-таблица_(2)6"/>
      <sheetName val="Новая_сводка_(до_бюджета)6"/>
      <sheetName val="Новая_сводка6"/>
      <sheetName val="Общие_расходы6"/>
      <sheetName val="Новая_сводка_(по_бюджету)6"/>
      <sheetName val="Íîâàÿ_ñâîäêà_(äî_áþäæåòà)_(2)6"/>
      <sheetName val="×òî_ïðèøëî6"/>
      <sheetName val="âëàä-òàáëèöà_(2)6"/>
      <sheetName val="Íîâàÿ_ñâîäêà_(äî_áþäæåòà)6"/>
      <sheetName val="Íîâàÿ_ñâîäêà6"/>
      <sheetName val="Îáùèå_ðàñõîäû6"/>
      <sheetName val="Íîâàÿ_ñâîäêà_(ïî_áþäæåòó)6"/>
      <sheetName val="6_10_16"/>
      <sheetName val="6_7_3_ТН6"/>
      <sheetName val="6_17"/>
      <sheetName val="6_52-свод5"/>
      <sheetName val="ДДС_(Форма_№3)4"/>
      <sheetName val="Сводная_4"/>
      <sheetName val="7_ТХ_Сети_(кор)4"/>
      <sheetName val="Tier_3112084"/>
      <sheetName val="Акт_выбора4"/>
      <sheetName val="См_№7_Эл_4"/>
      <sheetName val="См_№8_Пож_4"/>
      <sheetName val="См_№3_ВиК4"/>
      <sheetName val="Сметы_за_сопровождение4"/>
      <sheetName val="Промер_глуб2"/>
      <sheetName val="исключ_ЭХЗ2"/>
      <sheetName val="ПД-2_1"/>
      <sheetName val="эл_химз_8"/>
      <sheetName val="геология_8"/>
      <sheetName val="6_148"/>
      <sheetName val="6_3_18"/>
      <sheetName val="6_208"/>
      <sheetName val="6_4_18"/>
      <sheetName val="6_11_1__сторонние8"/>
      <sheetName val="8_14_КР_(списание)ОПСТИКР8"/>
      <sheetName val="Данные_для_расчёта_сметы7"/>
      <sheetName val="6_14_КР7"/>
      <sheetName val="Текущие_цены7"/>
      <sheetName val="отчет_эл_эн__20007"/>
      <sheetName val="к_84-к_837"/>
      <sheetName val="свод_27"/>
      <sheetName val="Зап-3-_СЦБ7"/>
      <sheetName val="Пример_расчета7"/>
      <sheetName val="СметаСводная_Рыб7"/>
      <sheetName val="13_16"/>
      <sheetName val="Коэфф1_7"/>
      <sheetName val="КП_(2)6"/>
      <sheetName val="6_36"/>
      <sheetName val="6_76"/>
      <sheetName val="6_3_1_36"/>
      <sheetName val="свод_36"/>
      <sheetName val="Opex_personnel_(Term_facs)6"/>
      <sheetName val="Смета2_проект__раб_7"/>
      <sheetName val="Смета_17"/>
      <sheetName val="СМЕТА_проект6"/>
      <sheetName val="Production_and_Spend6"/>
      <sheetName val="Прайс_лист7"/>
      <sheetName val="1_36"/>
      <sheetName val="К_рын6"/>
      <sheetName val="Сводная_смета6"/>
      <sheetName val="См_1_наруж_водопровод7"/>
      <sheetName val="Разработка_проекта7"/>
      <sheetName val="КП_НовоКов7"/>
      <sheetName val="СметаСводная_1_оч7"/>
      <sheetName val="Переменные_и_константы6"/>
      <sheetName val="свод_(2)6"/>
      <sheetName val="Калплан_ОИ2_Макм_крестики6"/>
      <sheetName val="СметаСводная_павильон6"/>
      <sheetName val="Св__смета6"/>
      <sheetName val="РБС_ИЗМ16"/>
      <sheetName val="СметаСводная_снег6"/>
      <sheetName val="Лист_опроса6"/>
      <sheetName val="Исполнение__освоение_по_закупк6"/>
      <sheetName val="Исполнение_для_Ускова6"/>
      <sheetName val="Выборка_по_отсыпкам6"/>
      <sheetName val="ИП__отсыпки_6"/>
      <sheetName val="ИП__отсыпки_ФОТ_диз_т_6"/>
      <sheetName val="ИП__отсыпки___выборка_6"/>
      <sheetName val="Исполнение_по_оборуд_6"/>
      <sheetName val="Исполнение_по_оборуд___2_6"/>
      <sheetName val="Исполнение_сжато6"/>
      <sheetName val="Форма_для_бурения6"/>
      <sheetName val="Форма_для_КС6"/>
      <sheetName val="Форма_для_ГР6"/>
      <sheetName val="Смета_1свод6"/>
      <sheetName val="таблица_руководству6"/>
      <sheetName val="Суточная_добыча_за_неделю6"/>
      <sheetName val="Прибыль_опл6"/>
      <sheetName val="№5_СУБ_Инж_защ6"/>
      <sheetName val="HP_и_оргтехника6"/>
      <sheetName val="Таблица_26"/>
      <sheetName val="Таблица_4_АСУТП6"/>
      <sheetName val="ст_ГТМ6"/>
      <sheetName val="ПДР_ООО_&quot;Юкос_ФБЦ&quot;6"/>
      <sheetName val="исходные_данные6"/>
      <sheetName val="расчетные_таблицы6"/>
      <sheetName val="Амур_ДОН6"/>
      <sheetName val="кп_ГК6"/>
      <sheetName val="Справочные_данные6"/>
      <sheetName val="Б_Сатка6"/>
      <sheetName val="справ_7"/>
      <sheetName val="Перечень_ИУ6"/>
      <sheetName val="3_1_ТХ6"/>
      <sheetName val="СметаСводная_Колпино6"/>
      <sheetName val="3_56"/>
      <sheetName val="суб_подряд7"/>
      <sheetName val="ПСБ_-_ОЭ7"/>
      <sheetName val="Смета_26"/>
      <sheetName val="Ачинский_НПЗ6"/>
      <sheetName val="См3_СЦБ-зап6"/>
      <sheetName val="Хаттон_90_90_Femco6"/>
      <sheetName val="свод_общ6"/>
      <sheetName val="Смета_5_2__Кусты25,29,31,656"/>
      <sheetName val="смета_СИД6"/>
      <sheetName val="ресурсная_вед_6"/>
      <sheetName val="р_Волхов6"/>
      <sheetName val="КП_к_ГК6"/>
      <sheetName val="изыскания_26"/>
      <sheetName val="Калплан_Кра6"/>
      <sheetName val="6_11_новый6"/>
      <sheetName val="Капитальные_затраты6"/>
      <sheetName val="Пояснение_5"/>
      <sheetName val="3_16"/>
      <sheetName val="Коммерческие_расходы6"/>
      <sheetName val="смета_2_проект__работы5"/>
      <sheetName val="СС_замеч_с_ответами6"/>
      <sheetName val="УП__20046"/>
      <sheetName val="в_работу6"/>
      <sheetName val="3_26"/>
      <sheetName val="3_36"/>
      <sheetName val="Р2_16"/>
      <sheetName val="Р2_26"/>
      <sheetName val="Удельные(проф_)6"/>
      <sheetName val="Константы_и_результаты6"/>
      <sheetName val="расчет_№36"/>
      <sheetName val="20_Кредиты_краткосрочные6"/>
      <sheetName val="Перечень_Заказчиков6"/>
      <sheetName val="2_2_6"/>
      <sheetName val="СтрЗапасов_(2)5"/>
      <sheetName val="PwC_Copies_from_old_models_--&gt;5"/>
      <sheetName val="Сравнение_ДПН_факт_06-075"/>
      <sheetName val="НМ_расчеты5"/>
      <sheetName val="КП_к_снег_Рыбинская6"/>
      <sheetName val="Коэф_КВ5"/>
      <sheetName val="Смета_терзем5"/>
      <sheetName val="Кал_план_Жукова_даты_-_не_надо5"/>
      <sheetName val="матер_5"/>
      <sheetName val="КП_Прим_(3)5"/>
      <sheetName val="кп_(3)5"/>
      <sheetName val="фонтан_разбитый25"/>
      <sheetName val="Баланс_(Ф1)5"/>
      <sheetName val="Смета_3_Гидролог5"/>
      <sheetName val="Записка_СЦБ5"/>
      <sheetName val="РС_5"/>
      <sheetName val="Общая_часть5"/>
      <sheetName val="Табл_56"/>
      <sheetName val="Табл_26"/>
      <sheetName val="См_№3_ОПР5"/>
      <sheetName val="см_№6_АВЗУ_и_ГПЗУ5"/>
      <sheetName val="Input_Assumptions5"/>
      <sheetName val="см_№1_1_Геодезические_работы_5"/>
      <sheetName val="см_№1_4_Экология_5"/>
      <sheetName val="АСУ_ТП_1_этап_ПД5"/>
      <sheetName val="Расчет_курса5"/>
      <sheetName val="Source_lists5"/>
      <sheetName val="Курс_доллара5"/>
      <sheetName val="Календарь_новый5"/>
      <sheetName val="Смета_№_1_ИИ_линия5"/>
      <sheetName val="Дополнительные_параметры5"/>
      <sheetName val="Свод_объем5"/>
      <sheetName val="Дог_цена5"/>
      <sheetName val="выборка_на22_июня5"/>
      <sheetName val="3труба_(П)5"/>
      <sheetName val="Объемы_работ_по_ПВ5"/>
      <sheetName val="Таблица_55"/>
      <sheetName val="Таблица_35"/>
      <sheetName val="1_401_25"/>
      <sheetName val="PO_Data5"/>
      <sheetName val="Раб_АУ5"/>
      <sheetName val="р_Нева6"/>
      <sheetName val="р_Молога6"/>
      <sheetName val="18_рек_Ю-Х6"/>
      <sheetName val="нпс_Палкино6"/>
      <sheetName val="Россия_-_Китай6"/>
      <sheetName val="КМ_210-2386"/>
      <sheetName val="БТС-2_км_405-4596"/>
      <sheetName val="БТС-2_км_405-4536"/>
      <sheetName val="БТС-2_км_313-3526"/>
      <sheetName val="БТС-2_км326-3526"/>
      <sheetName val="Улейма_И6"/>
      <sheetName val="Белая_УБКА6"/>
      <sheetName val="км_72-75р_Левоннька6"/>
      <sheetName val="киенгоп-н_Челны_км_104-2066"/>
      <sheetName val="ВЛ_Урдома6"/>
      <sheetName val="Вл_Микунь_Урдома6"/>
      <sheetName val="ВЛ_Синдор-Микунь6"/>
      <sheetName val="Тон_Чермасан6"/>
      <sheetName val="Трасса_км_16-1476"/>
      <sheetName val="трасса_0-766"/>
      <sheetName val="Колва_786"/>
      <sheetName val="Гидрология__р_Колва_км_386"/>
      <sheetName val="ПСП_6"/>
      <sheetName val="Новая_сводка_(до_бюджета)_(2)7"/>
      <sheetName val="Что_пришло7"/>
      <sheetName val="влад-таблица_(2)7"/>
      <sheetName val="Новая_сводка_(до_бюджета)7"/>
      <sheetName val="Новая_сводка7"/>
      <sheetName val="Общие_расходы7"/>
      <sheetName val="Новая_сводка_(по_бюджету)7"/>
      <sheetName val="Íîâàÿ_ñâîäêà_(äî_áþäæåòà)_(2)7"/>
      <sheetName val="×òî_ïðèøëî7"/>
      <sheetName val="âëàä-òàáëèöà_(2)7"/>
      <sheetName val="Íîâàÿ_ñâîäêà_(äî_áþäæåòà)7"/>
      <sheetName val="Íîâàÿ_ñâîäêà7"/>
      <sheetName val="Îáùèå_ðàñõîäû7"/>
      <sheetName val="Íîâàÿ_ñâîäêà_(ïî_áþäæåòó)7"/>
      <sheetName val="6_10_17"/>
      <sheetName val="6_7_3_ТН7"/>
      <sheetName val="6_18"/>
      <sheetName val="6_52-свод6"/>
      <sheetName val="ДДС_(Форма_№3)5"/>
      <sheetName val="Сводная_5"/>
      <sheetName val="7_ТХ_Сети_(кор)5"/>
      <sheetName val="Tier_3112085"/>
      <sheetName val="Акт_выбора5"/>
      <sheetName val="См_№7_Эл_5"/>
      <sheetName val="См_№8_Пож_5"/>
      <sheetName val="См_№3_ВиК5"/>
      <sheetName val="Сметы_за_сопровождение5"/>
      <sheetName val="См_3_АСУ4"/>
      <sheetName val="Полигон_-_ИЭИ_4"/>
      <sheetName val="Смета_ТЗ_АСУ-164"/>
      <sheetName val="База_Геодезия4"/>
      <sheetName val="База_Геология4"/>
      <sheetName val="База_Геофизика4"/>
      <sheetName val="4_1_14"/>
      <sheetName val="исп_1_1_14"/>
      <sheetName val="База_Гидро4"/>
      <sheetName val="4_2_14"/>
      <sheetName val="исп_1_1_24"/>
      <sheetName val="Исп__смета_этап_1_1,_1_24"/>
      <sheetName val="Промер_глуб3"/>
      <sheetName val="Main_list3"/>
      <sheetName val="ПД-2_23"/>
      <sheetName val="1_143"/>
      <sheetName val="1_73"/>
      <sheetName val="Исх__данные3"/>
      <sheetName val="эл_химз_10"/>
      <sheetName val="геология_10"/>
      <sheetName val="6_1410"/>
      <sheetName val="6_3_110"/>
      <sheetName val="6_2010"/>
      <sheetName val="6_4_110"/>
      <sheetName val="6_11_1__сторонние10"/>
      <sheetName val="8_14_КР_(списание)ОПСТИКР10"/>
      <sheetName val="6_14_КР9"/>
      <sheetName val="Данные_для_расчёта_сметы9"/>
      <sheetName val="Текущие_цены9"/>
      <sheetName val="свод_29"/>
      <sheetName val="к_84-к_839"/>
      <sheetName val="отчет_эл_эн__20009"/>
      <sheetName val="Зап-3-_СЦБ9"/>
      <sheetName val="Пример_расчета9"/>
      <sheetName val="СметаСводная_Рыб9"/>
      <sheetName val="13_18"/>
      <sheetName val="Коэфф1_9"/>
      <sheetName val="КП_(2)8"/>
      <sheetName val="6_38"/>
      <sheetName val="6_78"/>
      <sheetName val="6_3_1_38"/>
      <sheetName val="свод_38"/>
      <sheetName val="Смета2_проект__раб_9"/>
      <sheetName val="Смета_19"/>
      <sheetName val="СМЕТА_проект8"/>
      <sheetName val="Production_and_Spend8"/>
      <sheetName val="Прайс_лист9"/>
      <sheetName val="1_38"/>
      <sheetName val="К_рын8"/>
      <sheetName val="Сводная_смета8"/>
      <sheetName val="См_1_наруж_водопровод9"/>
      <sheetName val="Разработка_проекта9"/>
      <sheetName val="КП_НовоКов9"/>
      <sheetName val="СметаСводная_1_оч9"/>
      <sheetName val="Переменные_и_константы8"/>
      <sheetName val="свод_(2)8"/>
      <sheetName val="Калплан_ОИ2_Макм_крестики8"/>
      <sheetName val="СметаСводная_павильон8"/>
      <sheetName val="Св__смета8"/>
      <sheetName val="РБС_ИЗМ18"/>
      <sheetName val="СметаСводная_снег8"/>
      <sheetName val="Лист_опроса8"/>
      <sheetName val="Исполнение__освоение_по_закупк8"/>
      <sheetName val="Исполнение_для_Ускова8"/>
      <sheetName val="Выборка_по_отсыпкам8"/>
      <sheetName val="ИП__отсыпки_8"/>
      <sheetName val="ИП__отсыпки_ФОТ_диз_т_8"/>
      <sheetName val="ИП__отсыпки___выборка_8"/>
      <sheetName val="Исполнение_по_оборуд_8"/>
      <sheetName val="Исполнение_по_оборуд___2_8"/>
      <sheetName val="Исполнение_сжато8"/>
      <sheetName val="Форма_для_бурения8"/>
      <sheetName val="Форма_для_КС8"/>
      <sheetName val="Форма_для_ГР8"/>
      <sheetName val="Смета_1свод8"/>
      <sheetName val="таблица_руководству8"/>
      <sheetName val="Суточная_добыча_за_неделю8"/>
      <sheetName val="Прибыль_опл8"/>
      <sheetName val="№5_СУБ_Инж_защ8"/>
      <sheetName val="HP_и_оргтехника8"/>
      <sheetName val="Таблица_28"/>
      <sheetName val="Таблица_4_АСУТП8"/>
      <sheetName val="ст_ГТМ8"/>
      <sheetName val="ПДР_ООО_&quot;Юкос_ФБЦ&quot;8"/>
      <sheetName val="исходные_данные8"/>
      <sheetName val="расчетные_таблицы8"/>
      <sheetName val="Амур_ДОН8"/>
      <sheetName val="кп_ГК8"/>
      <sheetName val="Справочные_данные8"/>
      <sheetName val="Б_Сатка8"/>
      <sheetName val="справ_9"/>
      <sheetName val="Перечень_ИУ8"/>
      <sheetName val="3_1_ТХ8"/>
      <sheetName val="СметаСводная_Колпино8"/>
      <sheetName val="3_58"/>
      <sheetName val="суб_подряд9"/>
      <sheetName val="ПСБ_-_ОЭ9"/>
      <sheetName val="Смета_28"/>
      <sheetName val="Ачинский_НПЗ8"/>
      <sheetName val="См3_СЦБ-зап8"/>
      <sheetName val="Хаттон_90_90_Femco8"/>
      <sheetName val="свод_общ8"/>
      <sheetName val="Смета_5_2__Кусты25,29,31,658"/>
      <sheetName val="смета_СИД8"/>
      <sheetName val="ресурсная_вед_8"/>
      <sheetName val="р_Волхов8"/>
      <sheetName val="КП_к_ГК8"/>
      <sheetName val="изыскания_28"/>
      <sheetName val="Калплан_Кра8"/>
      <sheetName val="6_11_новый8"/>
      <sheetName val="Opex_personnel_(Term_facs)8"/>
      <sheetName val="Капитальные_затраты8"/>
      <sheetName val="Пояснение_7"/>
      <sheetName val="3_18"/>
      <sheetName val="Коммерческие_расходы8"/>
      <sheetName val="смета_2_проект__работы7"/>
      <sheetName val="СС_замеч_с_ответами8"/>
      <sheetName val="УП__20048"/>
      <sheetName val="в_работу8"/>
      <sheetName val="3_28"/>
      <sheetName val="3_38"/>
      <sheetName val="Р2_18"/>
      <sheetName val="Р2_28"/>
      <sheetName val="Удельные(проф_)8"/>
      <sheetName val="Константы_и_результаты8"/>
      <sheetName val="расчет_№38"/>
      <sheetName val="20_Кредиты_краткосрочные8"/>
      <sheetName val="Перечень_Заказчиков8"/>
      <sheetName val="2_2_8"/>
      <sheetName val="СтрЗапасов_(2)7"/>
      <sheetName val="PwC_Copies_from_old_models_--&gt;7"/>
      <sheetName val="Сравнение_ДПН_факт_06-077"/>
      <sheetName val="НМ_расчеты7"/>
      <sheetName val="КП_к_снег_Рыбинская8"/>
      <sheetName val="Коэф_КВ7"/>
      <sheetName val="Смета_терзем7"/>
      <sheetName val="Кал_план_Жукова_даты_-_не_надо7"/>
      <sheetName val="матер_7"/>
      <sheetName val="КП_Прим_(3)7"/>
      <sheetName val="кп_(3)7"/>
      <sheetName val="фонтан_разбитый27"/>
      <sheetName val="Баланс_(Ф1)7"/>
      <sheetName val="Смета_3_Гидролог7"/>
      <sheetName val="Записка_СЦБ7"/>
      <sheetName val="РС_7"/>
      <sheetName val="Общая_часть7"/>
      <sheetName val="Табл_58"/>
      <sheetName val="Табл_28"/>
      <sheetName val="См_№3_ОПР7"/>
      <sheetName val="см_№6_АВЗУ_и_ГПЗУ7"/>
      <sheetName val="Input_Assumptions7"/>
      <sheetName val="см_№1_1_Геодезические_работы_7"/>
      <sheetName val="см_№1_4_Экология_7"/>
      <sheetName val="АСУ_ТП_1_этап_ПД7"/>
      <sheetName val="Расчет_курса7"/>
      <sheetName val="Source_lists7"/>
      <sheetName val="Курс_доллара7"/>
      <sheetName val="Календарь_новый7"/>
      <sheetName val="Смета_№_1_ИИ_линия7"/>
      <sheetName val="Дополнительные_параметры7"/>
      <sheetName val="Свод_объем7"/>
      <sheetName val="Дог_цена7"/>
      <sheetName val="выборка_на22_июня7"/>
      <sheetName val="3труба_(П)7"/>
      <sheetName val="Объемы_работ_по_ПВ7"/>
      <sheetName val="Таблица_57"/>
      <sheetName val="Таблица_37"/>
      <sheetName val="1_401_27"/>
      <sheetName val="PO_Data7"/>
      <sheetName val="Раб_АУ7"/>
      <sheetName val="р_Нева8"/>
      <sheetName val="р_Молога8"/>
      <sheetName val="18_рек_Ю-Х8"/>
      <sheetName val="нпс_Палкино8"/>
      <sheetName val="Россия_-_Китай8"/>
      <sheetName val="КМ_210-2388"/>
      <sheetName val="БТС-2_км_405-4598"/>
      <sheetName val="БТС-2_км_405-4538"/>
      <sheetName val="БТС-2_км_313-3528"/>
      <sheetName val="БТС-2_км326-3528"/>
      <sheetName val="Улейма_И8"/>
      <sheetName val="Белая_УБКА8"/>
      <sheetName val="км_72-75р_Левоннька8"/>
      <sheetName val="киенгоп-н_Челны_км_104-2068"/>
      <sheetName val="ВЛ_Урдома8"/>
      <sheetName val="Вл_Микунь_Урдома8"/>
      <sheetName val="ВЛ_Синдор-Микунь8"/>
      <sheetName val="Тон_Чермасан8"/>
      <sheetName val="Трасса_км_16-1478"/>
      <sheetName val="трасса_0-768"/>
      <sheetName val="Колва_788"/>
      <sheetName val="Гидрология__р_Колва_км_388"/>
      <sheetName val="ПСП_8"/>
      <sheetName val="Новая_сводка_(до_бюджета)_(2)9"/>
      <sheetName val="Что_пришло9"/>
      <sheetName val="влад-таблица_(2)9"/>
      <sheetName val="Новая_сводка_(до_бюджета)9"/>
      <sheetName val="Новая_сводка9"/>
      <sheetName val="Общие_расходы9"/>
      <sheetName val="Новая_сводка_(по_бюджету)9"/>
      <sheetName val="Íîâàÿ_ñâîäêà_(äî_áþäæåòà)_(2)9"/>
      <sheetName val="×òî_ïðèøëî9"/>
      <sheetName val="âëàä-òàáëèöà_(2)9"/>
      <sheetName val="Íîâàÿ_ñâîäêà_(äî_áþäæåòà)9"/>
      <sheetName val="Íîâàÿ_ñâîäêà9"/>
      <sheetName val="Îáùèå_ðàñõîäû9"/>
      <sheetName val="Íîâàÿ_ñâîäêà_(ïî_áþäæåòó)9"/>
      <sheetName val="6_10_19"/>
      <sheetName val="6_7_3_ТН9"/>
      <sheetName val="6_110"/>
      <sheetName val="6_52-свод8"/>
      <sheetName val="ДДС_(Форма_№3)7"/>
      <sheetName val="Сводная_7"/>
      <sheetName val="7_ТХ_Сети_(кор)7"/>
      <sheetName val="Tier_3112087"/>
      <sheetName val="Акт_выбора7"/>
      <sheetName val="См_№7_Эл_7"/>
      <sheetName val="См_№8_Пож_7"/>
      <sheetName val="См_№3_ВиК7"/>
      <sheetName val="Сметы_за_сопровождение7"/>
      <sheetName val="См_3_АСУ6"/>
      <sheetName val="Полигон_-_ИЭИ_6"/>
      <sheetName val="Смета_ТЗ_АСУ-166"/>
      <sheetName val="База_Геодезия6"/>
      <sheetName val="База_Геология6"/>
      <sheetName val="База_Геофизика6"/>
      <sheetName val="4_1_16"/>
      <sheetName val="исп_1_1_16"/>
      <sheetName val="База_Гидро6"/>
      <sheetName val="4_2_16"/>
      <sheetName val="исп_1_1_26"/>
      <sheetName val="Исп__смета_этап_1_1,_1_26"/>
      <sheetName val="Бл_электр_5"/>
      <sheetName val="лч_и_кам5"/>
      <sheetName val="Промер_глуб5"/>
      <sheetName val="КБК_ДПК5"/>
      <sheetName val="ТЗ_АСУ-15"/>
      <sheetName val="2_Геология5"/>
      <sheetName val="Объем_работ5"/>
      <sheetName val="Виды_работ_АСО5"/>
      <sheetName val="таблица_руко_6"/>
      <sheetName val="ИД_СМР5"/>
      <sheetName val="ФОТ_для_смет5"/>
      <sheetName val="Вспом_5"/>
      <sheetName val="ЕТС_(ф)5"/>
      <sheetName val="Main_list5"/>
      <sheetName val="ПД-2_25"/>
      <sheetName val="1_145"/>
      <sheetName val="1_75"/>
      <sheetName val="Исх__данные5"/>
      <sheetName val="исключ_ЭХЗ4"/>
      <sheetName val="эл_химз_9"/>
      <sheetName val="геология_9"/>
      <sheetName val="6_149"/>
      <sheetName val="6_3_19"/>
      <sheetName val="6_209"/>
      <sheetName val="6_4_19"/>
      <sheetName val="6_11_1__сторонние9"/>
      <sheetName val="8_14_КР_(списание)ОПСТИКР9"/>
      <sheetName val="6_14_КР8"/>
      <sheetName val="Данные_для_расчёта_сметы8"/>
      <sheetName val="Текущие_цены8"/>
      <sheetName val="свод_28"/>
      <sheetName val="к_84-к_838"/>
      <sheetName val="отчет_эл_эн__20008"/>
      <sheetName val="Зап-3-_СЦБ8"/>
      <sheetName val="Пример_расчета8"/>
      <sheetName val="СметаСводная_Рыб8"/>
      <sheetName val="13_17"/>
      <sheetName val="Коэфф1_8"/>
      <sheetName val="КП_(2)7"/>
      <sheetName val="6_37"/>
      <sheetName val="6_77"/>
      <sheetName val="6_3_1_37"/>
      <sheetName val="свод_37"/>
      <sheetName val="Смета2_проект__раб_8"/>
      <sheetName val="Смета_18"/>
      <sheetName val="СМЕТА_проект7"/>
      <sheetName val="Production_and_Spend7"/>
      <sheetName val="Прайс_лист8"/>
      <sheetName val="1_37"/>
      <sheetName val="К_рын7"/>
      <sheetName val="Сводная_смета7"/>
      <sheetName val="См_1_наруж_водопровод8"/>
      <sheetName val="Разработка_проекта8"/>
      <sheetName val="КП_НовоКов8"/>
      <sheetName val="СметаСводная_1_оч8"/>
      <sheetName val="Переменные_и_константы7"/>
      <sheetName val="свод_(2)7"/>
      <sheetName val="Калплан_ОИ2_Макм_крестики7"/>
      <sheetName val="СметаСводная_павильон7"/>
      <sheetName val="Св__смета7"/>
      <sheetName val="РБС_ИЗМ17"/>
      <sheetName val="СметаСводная_снег7"/>
      <sheetName val="Лист_опроса7"/>
      <sheetName val="Исполнение__освоение_по_закупк7"/>
      <sheetName val="Исполнение_для_Ускова7"/>
      <sheetName val="Выборка_по_отсыпкам7"/>
      <sheetName val="ИП__отсыпки_7"/>
      <sheetName val="ИП__отсыпки_ФОТ_диз_т_7"/>
      <sheetName val="ИП__отсыпки___выборка_7"/>
      <sheetName val="Исполнение_по_оборуд_7"/>
      <sheetName val="Исполнение_по_оборуд___2_7"/>
      <sheetName val="Исполнение_сжато7"/>
      <sheetName val="Форма_для_бурения7"/>
      <sheetName val="Форма_для_КС7"/>
      <sheetName val="Форма_для_ГР7"/>
      <sheetName val="Смета_1свод7"/>
      <sheetName val="таблица_руководству7"/>
      <sheetName val="Суточная_добыча_за_неделю7"/>
      <sheetName val="Прибыль_опл7"/>
      <sheetName val="№5_СУБ_Инж_защ7"/>
      <sheetName val="HP_и_оргтехника7"/>
      <sheetName val="Таблица_27"/>
      <sheetName val="Таблица_4_АСУТП7"/>
      <sheetName val="ст_ГТМ7"/>
      <sheetName val="ПДР_ООО_&quot;Юкос_ФБЦ&quot;7"/>
      <sheetName val="исходные_данные7"/>
      <sheetName val="расчетные_таблицы7"/>
      <sheetName val="Амур_ДОН7"/>
      <sheetName val="кп_ГК7"/>
      <sheetName val="Справочные_данные7"/>
      <sheetName val="Б_Сатка7"/>
      <sheetName val="справ_8"/>
      <sheetName val="Перечень_ИУ7"/>
      <sheetName val="3_1_ТХ7"/>
      <sheetName val="СметаСводная_Колпино7"/>
      <sheetName val="3_57"/>
      <sheetName val="суб_подряд8"/>
      <sheetName val="ПСБ_-_ОЭ8"/>
      <sheetName val="Смета_27"/>
      <sheetName val="Ачинский_НПЗ7"/>
      <sheetName val="См3_СЦБ-зап7"/>
      <sheetName val="Хаттон_90_90_Femco7"/>
      <sheetName val="свод_общ7"/>
      <sheetName val="Смета_5_2__Кусты25,29,31,657"/>
      <sheetName val="смета_СИД7"/>
      <sheetName val="ресурсная_вед_7"/>
      <sheetName val="р_Волхов7"/>
      <sheetName val="КП_к_ГК7"/>
      <sheetName val="изыскания_27"/>
      <sheetName val="Калплан_Кра7"/>
      <sheetName val="6_11_новый7"/>
      <sheetName val="Opex_personnel_(Term_facs)7"/>
      <sheetName val="Капитальные_затраты7"/>
      <sheetName val="Пояснение_6"/>
      <sheetName val="3_17"/>
      <sheetName val="Коммерческие_расходы7"/>
      <sheetName val="смета_2_проект__работы6"/>
      <sheetName val="СС_замеч_с_ответами7"/>
      <sheetName val="УП__20047"/>
      <sheetName val="в_работу7"/>
      <sheetName val="3_27"/>
      <sheetName val="3_37"/>
      <sheetName val="Р2_17"/>
      <sheetName val="Р2_27"/>
      <sheetName val="Удельные(проф_)7"/>
      <sheetName val="Константы_и_результаты7"/>
      <sheetName val="расчет_№37"/>
      <sheetName val="20_Кредиты_краткосрочные7"/>
      <sheetName val="Перечень_Заказчиков7"/>
      <sheetName val="2_2_7"/>
      <sheetName val="СтрЗапасов_(2)6"/>
      <sheetName val="PwC_Copies_from_old_models_--&gt;6"/>
      <sheetName val="Сравнение_ДПН_факт_06-076"/>
      <sheetName val="НМ_расчеты6"/>
      <sheetName val="КП_к_снег_Рыбинская7"/>
      <sheetName val="Коэф_КВ6"/>
      <sheetName val="Смета_терзем6"/>
      <sheetName val="Кал_план_Жукова_даты_-_не_надо6"/>
      <sheetName val="матер_6"/>
      <sheetName val="КП_Прим_(3)6"/>
      <sheetName val="кп_(3)6"/>
      <sheetName val="фонтан_разбитый26"/>
      <sheetName val="Баланс_(Ф1)6"/>
      <sheetName val="Смета_3_Гидролог6"/>
      <sheetName val="Записка_СЦБ6"/>
      <sheetName val="РС_6"/>
      <sheetName val="Общая_часть6"/>
      <sheetName val="Табл_57"/>
      <sheetName val="Табл_27"/>
      <sheetName val="См_№3_ОПР6"/>
      <sheetName val="см_№6_АВЗУ_и_ГПЗУ6"/>
      <sheetName val="Input_Assumptions6"/>
      <sheetName val="см_№1_1_Геодезические_работы_6"/>
      <sheetName val="см_№1_4_Экология_6"/>
      <sheetName val="АСУ_ТП_1_этап_ПД6"/>
      <sheetName val="Расчет_курса6"/>
      <sheetName val="Source_lists6"/>
      <sheetName val="Курс_доллара6"/>
      <sheetName val="Календарь_новый6"/>
      <sheetName val="Смета_№_1_ИИ_линия6"/>
      <sheetName val="Дополнительные_параметры6"/>
      <sheetName val="Свод_объем6"/>
      <sheetName val="Дог_цена6"/>
      <sheetName val="выборка_на22_июня6"/>
      <sheetName val="3труба_(П)6"/>
      <sheetName val="Объемы_работ_по_ПВ6"/>
      <sheetName val="Таблица_56"/>
      <sheetName val="Таблица_36"/>
      <sheetName val="1_401_26"/>
      <sheetName val="PO_Data6"/>
      <sheetName val="Раб_АУ6"/>
      <sheetName val="р_Нева7"/>
      <sheetName val="р_Молога7"/>
      <sheetName val="18_рек_Ю-Х7"/>
      <sheetName val="нпс_Палкино7"/>
      <sheetName val="Россия_-_Китай7"/>
      <sheetName val="КМ_210-2387"/>
      <sheetName val="БТС-2_км_405-4597"/>
      <sheetName val="БТС-2_км_405-4537"/>
      <sheetName val="БТС-2_км_313-3527"/>
      <sheetName val="БТС-2_км326-3527"/>
      <sheetName val="Улейма_И7"/>
      <sheetName val="Белая_УБКА7"/>
      <sheetName val="км_72-75р_Левоннька7"/>
      <sheetName val="киенгоп-н_Челны_км_104-2067"/>
      <sheetName val="ВЛ_Урдома7"/>
      <sheetName val="Вл_Микунь_Урдома7"/>
      <sheetName val="ВЛ_Синдор-Микунь7"/>
      <sheetName val="Тон_Чермасан7"/>
      <sheetName val="Трасса_км_16-1477"/>
      <sheetName val="трасса_0-767"/>
      <sheetName val="Колва_787"/>
      <sheetName val="Гидрология__р_Колва_км_387"/>
      <sheetName val="ПСП_7"/>
      <sheetName val="Новая_сводка_(до_бюджета)_(2)8"/>
      <sheetName val="Что_пришло8"/>
      <sheetName val="влад-таблица_(2)8"/>
      <sheetName val="Новая_сводка_(до_бюджета)8"/>
      <sheetName val="Новая_сводка8"/>
      <sheetName val="Общие_расходы8"/>
      <sheetName val="Новая_сводка_(по_бюджету)8"/>
      <sheetName val="Íîâàÿ_ñâîäêà_(äî_áþäæåòà)_(2)8"/>
      <sheetName val="×òî_ïðèøëî8"/>
      <sheetName val="âëàä-òàáëèöà_(2)8"/>
      <sheetName val="Íîâàÿ_ñâîäêà_(äî_áþäæåòà)8"/>
      <sheetName val="Íîâàÿ_ñâîäêà8"/>
      <sheetName val="Îáùèå_ðàñõîäû8"/>
      <sheetName val="Íîâàÿ_ñâîäêà_(ïî_áþäæåòó)8"/>
      <sheetName val="6_10_18"/>
      <sheetName val="6_7_3_ТН8"/>
      <sheetName val="6_19"/>
      <sheetName val="6_52-свод7"/>
      <sheetName val="ДДС_(Форма_№3)6"/>
      <sheetName val="Сводная_6"/>
      <sheetName val="7_ТХ_Сети_(кор)6"/>
      <sheetName val="Tier_3112086"/>
      <sheetName val="Акт_выбора6"/>
      <sheetName val="См_№7_Эл_6"/>
      <sheetName val="См_№8_Пож_6"/>
      <sheetName val="См_№3_ВиК6"/>
      <sheetName val="Сметы_за_сопровождение6"/>
      <sheetName val="См_3_АСУ5"/>
      <sheetName val="Полигон_-_ИЭИ_5"/>
      <sheetName val="Смета_ТЗ_АСУ-165"/>
      <sheetName val="База_Геодезия5"/>
      <sheetName val="База_Геология5"/>
      <sheetName val="База_Геофизика5"/>
      <sheetName val="4_1_15"/>
      <sheetName val="исп_1_1_15"/>
      <sheetName val="База_Гидро5"/>
      <sheetName val="4_2_15"/>
      <sheetName val="исп_1_1_25"/>
      <sheetName val="Исп__смета_этап_1_1,_1_25"/>
      <sheetName val="Бл_электр_4"/>
      <sheetName val="лч_и_кам4"/>
      <sheetName val="Промер_глуб4"/>
      <sheetName val="КБК_ДПК4"/>
      <sheetName val="ТЗ_АСУ-14"/>
      <sheetName val="2_Геология4"/>
      <sheetName val="Объем_работ4"/>
      <sheetName val="Виды_работ_АСО4"/>
      <sheetName val="ИД_СМР4"/>
      <sheetName val="ФОТ_для_смет4"/>
      <sheetName val="Вспом_4"/>
      <sheetName val="ЕТС_(ф)4"/>
      <sheetName val="Main_list4"/>
      <sheetName val="ПД-2_24"/>
      <sheetName val="1_144"/>
      <sheetName val="1_74"/>
      <sheetName val="Исх__данные4"/>
      <sheetName val="исключ_ЭХЗ3"/>
      <sheetName val="Хаттон_90_礊め_x0005_"/>
      <sheetName val="Расчет_№1_11"/>
      <sheetName val="Расчет_№2_11"/>
      <sheetName val="кап_ремонт1"/>
      <sheetName val="1_2_1"/>
      <sheetName val="Приложение_21"/>
      <sheetName val="Ограничения_шаблон1"/>
      <sheetName val="Причины_отклонений1"/>
      <sheetName val="Статус_работы1"/>
      <sheetName val="Уровень_графика1"/>
      <sheetName val="Технический_лист1"/>
      <sheetName val="анализ_2003_2004исполнение_МТО1"/>
      <sheetName val="Iiaay_naiaea_(ai_a?a?aoa)_(2)2"/>
      <sheetName val="?oi_i?eoei2"/>
      <sheetName val="aeaa-oaaeeoa_(2)2"/>
      <sheetName val="Iiaay_naiaea_(ai_a?a?aoa)2"/>
      <sheetName val="Iiaay_naiaea2"/>
      <sheetName val="Iauea_?anoiau2"/>
      <sheetName val="Iiaay_naiaea_(ii_a?a?aoo)2"/>
      <sheetName val="СметаСводная_п54"/>
      <sheetName val="СметаСводная_пуш"/>
      <sheetName val="выборка_раб"/>
      <sheetName val="ЛЧ_Р"/>
      <sheetName val="Форма_2_1"/>
      <sheetName val="2_1"/>
      <sheetName val="СМ__________"/>
      <sheetName val="таблица_руко_______"/>
      <sheetName val="таблица_руко_______1"/>
      <sheetName val="Пр2_Р__стоимости"/>
      <sheetName val="Прил_6_57"/>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sheetData sheetId="395"/>
      <sheetData sheetId="396"/>
      <sheetData sheetId="397" refreshError="1"/>
      <sheetData sheetId="398"/>
      <sheetData sheetId="399"/>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sheetData sheetId="1065" refreshError="1"/>
      <sheetData sheetId="1066" refreshError="1"/>
      <sheetData sheetId="1067" refreshError="1"/>
      <sheetData sheetId="1068" refreshError="1"/>
      <sheetData sheetId="1069" refreshError="1"/>
      <sheetData sheetId="1070">
        <row r="1">
          <cell r="B1">
            <v>0</v>
          </cell>
        </row>
      </sheetData>
      <sheetData sheetId="1071" refreshError="1"/>
      <sheetData sheetId="1072">
        <row r="1">
          <cell r="B1">
            <v>0</v>
          </cell>
        </row>
      </sheetData>
      <sheetData sheetId="1073" refreshError="1"/>
      <sheetData sheetId="1074" refreshError="1"/>
      <sheetData sheetId="1075" refreshError="1"/>
      <sheetData sheetId="1076" refreshError="1"/>
      <sheetData sheetId="1077" refreshError="1"/>
      <sheetData sheetId="1078" refreshError="1"/>
      <sheetData sheetId="1079" refreshError="1"/>
      <sheetData sheetId="1080">
        <row r="1">
          <cell r="B1">
            <v>0</v>
          </cell>
        </row>
      </sheetData>
      <sheetData sheetId="1081">
        <row r="1">
          <cell r="B1">
            <v>0</v>
          </cell>
        </row>
      </sheetData>
      <sheetData sheetId="1082">
        <row r="1">
          <cell r="B1">
            <v>0</v>
          </cell>
        </row>
      </sheetData>
      <sheetData sheetId="1083">
        <row r="1">
          <cell r="B1">
            <v>0</v>
          </cell>
        </row>
      </sheetData>
      <sheetData sheetId="1084">
        <row r="1">
          <cell r="B1">
            <v>0</v>
          </cell>
        </row>
      </sheetData>
      <sheetData sheetId="1085">
        <row r="1">
          <cell r="B1">
            <v>0</v>
          </cell>
        </row>
      </sheetData>
      <sheetData sheetId="1086">
        <row r="1">
          <cell r="B1">
            <v>0</v>
          </cell>
        </row>
      </sheetData>
      <sheetData sheetId="1087">
        <row r="1">
          <cell r="B1">
            <v>0</v>
          </cell>
        </row>
      </sheetData>
      <sheetData sheetId="1088">
        <row r="1">
          <cell r="B1">
            <v>0</v>
          </cell>
        </row>
      </sheetData>
      <sheetData sheetId="1089">
        <row r="1">
          <cell r="B1">
            <v>0</v>
          </cell>
        </row>
      </sheetData>
      <sheetData sheetId="1090">
        <row r="1">
          <cell r="B1">
            <v>0</v>
          </cell>
        </row>
      </sheetData>
      <sheetData sheetId="1091">
        <row r="1">
          <cell r="B1">
            <v>0</v>
          </cell>
        </row>
      </sheetData>
      <sheetData sheetId="1092">
        <row r="1">
          <cell r="B1">
            <v>0</v>
          </cell>
        </row>
      </sheetData>
      <sheetData sheetId="1093">
        <row r="1">
          <cell r="B1">
            <v>0</v>
          </cell>
        </row>
      </sheetData>
      <sheetData sheetId="1094">
        <row r="1">
          <cell r="B1">
            <v>0</v>
          </cell>
        </row>
      </sheetData>
      <sheetData sheetId="1095">
        <row r="1">
          <cell r="B1">
            <v>0</v>
          </cell>
        </row>
      </sheetData>
      <sheetData sheetId="1096">
        <row r="1">
          <cell r="B1">
            <v>0</v>
          </cell>
        </row>
      </sheetData>
      <sheetData sheetId="1097">
        <row r="1">
          <cell r="B1">
            <v>0</v>
          </cell>
        </row>
      </sheetData>
      <sheetData sheetId="1098">
        <row r="1">
          <cell r="B1">
            <v>0</v>
          </cell>
        </row>
      </sheetData>
      <sheetData sheetId="1099">
        <row r="1">
          <cell r="B1">
            <v>0</v>
          </cell>
        </row>
      </sheetData>
      <sheetData sheetId="1100">
        <row r="1">
          <cell r="B1">
            <v>0</v>
          </cell>
        </row>
      </sheetData>
      <sheetData sheetId="1101">
        <row r="1">
          <cell r="B1">
            <v>0</v>
          </cell>
        </row>
      </sheetData>
      <sheetData sheetId="1102">
        <row r="1">
          <cell r="B1">
            <v>0</v>
          </cell>
        </row>
      </sheetData>
      <sheetData sheetId="1103">
        <row r="1">
          <cell r="B1">
            <v>0</v>
          </cell>
        </row>
      </sheetData>
      <sheetData sheetId="1104">
        <row r="1">
          <cell r="B1">
            <v>0</v>
          </cell>
        </row>
      </sheetData>
      <sheetData sheetId="1105">
        <row r="1">
          <cell r="B1">
            <v>0</v>
          </cell>
        </row>
      </sheetData>
      <sheetData sheetId="1106">
        <row r="1">
          <cell r="B1">
            <v>0</v>
          </cell>
        </row>
      </sheetData>
      <sheetData sheetId="1107">
        <row r="1">
          <cell r="B1">
            <v>0</v>
          </cell>
        </row>
      </sheetData>
      <sheetData sheetId="1108">
        <row r="1">
          <cell r="B1">
            <v>0</v>
          </cell>
        </row>
      </sheetData>
      <sheetData sheetId="1109">
        <row r="1">
          <cell r="B1">
            <v>0</v>
          </cell>
        </row>
      </sheetData>
      <sheetData sheetId="1110">
        <row r="1">
          <cell r="B1">
            <v>0</v>
          </cell>
        </row>
      </sheetData>
      <sheetData sheetId="1111">
        <row r="1">
          <cell r="B1">
            <v>0</v>
          </cell>
        </row>
      </sheetData>
      <sheetData sheetId="1112">
        <row r="1">
          <cell r="B1">
            <v>0</v>
          </cell>
        </row>
      </sheetData>
      <sheetData sheetId="1113">
        <row r="1">
          <cell r="B1">
            <v>0</v>
          </cell>
        </row>
      </sheetData>
      <sheetData sheetId="1114">
        <row r="1">
          <cell r="B1">
            <v>0</v>
          </cell>
        </row>
      </sheetData>
      <sheetData sheetId="1115">
        <row r="1">
          <cell r="B1">
            <v>0</v>
          </cell>
        </row>
      </sheetData>
      <sheetData sheetId="1116">
        <row r="1">
          <cell r="B1">
            <v>0</v>
          </cell>
        </row>
      </sheetData>
      <sheetData sheetId="1117">
        <row r="1">
          <cell r="B1">
            <v>0</v>
          </cell>
        </row>
      </sheetData>
      <sheetData sheetId="1118">
        <row r="1">
          <cell r="B1">
            <v>0</v>
          </cell>
        </row>
      </sheetData>
      <sheetData sheetId="1119">
        <row r="1">
          <cell r="B1">
            <v>0</v>
          </cell>
        </row>
      </sheetData>
      <sheetData sheetId="1120">
        <row r="1">
          <cell r="B1">
            <v>0</v>
          </cell>
        </row>
      </sheetData>
      <sheetData sheetId="1121">
        <row r="1">
          <cell r="B1">
            <v>0</v>
          </cell>
        </row>
      </sheetData>
      <sheetData sheetId="1122">
        <row r="1">
          <cell r="B1">
            <v>0</v>
          </cell>
        </row>
      </sheetData>
      <sheetData sheetId="1123">
        <row r="1">
          <cell r="B1">
            <v>0</v>
          </cell>
        </row>
      </sheetData>
      <sheetData sheetId="1124">
        <row r="1">
          <cell r="B1">
            <v>0</v>
          </cell>
        </row>
      </sheetData>
      <sheetData sheetId="1125">
        <row r="1">
          <cell r="B1">
            <v>0</v>
          </cell>
        </row>
      </sheetData>
      <sheetData sheetId="1126">
        <row r="1">
          <cell r="B1">
            <v>0</v>
          </cell>
        </row>
      </sheetData>
      <sheetData sheetId="1127">
        <row r="1">
          <cell r="B1">
            <v>0</v>
          </cell>
        </row>
      </sheetData>
      <sheetData sheetId="1128">
        <row r="1">
          <cell r="B1">
            <v>0</v>
          </cell>
        </row>
      </sheetData>
      <sheetData sheetId="1129">
        <row r="1">
          <cell r="B1">
            <v>0</v>
          </cell>
        </row>
      </sheetData>
      <sheetData sheetId="1130">
        <row r="1">
          <cell r="B1">
            <v>0</v>
          </cell>
        </row>
      </sheetData>
      <sheetData sheetId="1131">
        <row r="1">
          <cell r="B1">
            <v>0</v>
          </cell>
        </row>
      </sheetData>
      <sheetData sheetId="1132">
        <row r="1">
          <cell r="B1">
            <v>0</v>
          </cell>
        </row>
      </sheetData>
      <sheetData sheetId="1133">
        <row r="1">
          <cell r="B1">
            <v>0</v>
          </cell>
        </row>
      </sheetData>
      <sheetData sheetId="1134">
        <row r="1">
          <cell r="B1">
            <v>0</v>
          </cell>
        </row>
      </sheetData>
      <sheetData sheetId="1135">
        <row r="1">
          <cell r="B1">
            <v>0</v>
          </cell>
        </row>
      </sheetData>
      <sheetData sheetId="1136">
        <row r="1">
          <cell r="B1">
            <v>0</v>
          </cell>
        </row>
      </sheetData>
      <sheetData sheetId="1137">
        <row r="1">
          <cell r="B1">
            <v>0</v>
          </cell>
        </row>
      </sheetData>
      <sheetData sheetId="1138">
        <row r="1">
          <cell r="B1">
            <v>0</v>
          </cell>
        </row>
      </sheetData>
      <sheetData sheetId="1139">
        <row r="1">
          <cell r="B1">
            <v>0</v>
          </cell>
        </row>
      </sheetData>
      <sheetData sheetId="1140">
        <row r="1">
          <cell r="B1">
            <v>0</v>
          </cell>
        </row>
      </sheetData>
      <sheetData sheetId="1141">
        <row r="1">
          <cell r="B1">
            <v>0</v>
          </cell>
        </row>
      </sheetData>
      <sheetData sheetId="1142">
        <row r="1">
          <cell r="B1">
            <v>0</v>
          </cell>
        </row>
      </sheetData>
      <sheetData sheetId="1143">
        <row r="1">
          <cell r="B1">
            <v>0</v>
          </cell>
        </row>
      </sheetData>
      <sheetData sheetId="1144">
        <row r="1">
          <cell r="B1">
            <v>0</v>
          </cell>
        </row>
      </sheetData>
      <sheetData sheetId="1145">
        <row r="1">
          <cell r="B1">
            <v>0</v>
          </cell>
        </row>
      </sheetData>
      <sheetData sheetId="1146">
        <row r="1">
          <cell r="B1">
            <v>0</v>
          </cell>
        </row>
      </sheetData>
      <sheetData sheetId="1147">
        <row r="1">
          <cell r="B1">
            <v>0</v>
          </cell>
        </row>
      </sheetData>
      <sheetData sheetId="1148">
        <row r="1">
          <cell r="B1">
            <v>0</v>
          </cell>
        </row>
      </sheetData>
      <sheetData sheetId="1149">
        <row r="1">
          <cell r="B1">
            <v>0</v>
          </cell>
        </row>
      </sheetData>
      <sheetData sheetId="1150">
        <row r="1">
          <cell r="B1">
            <v>0</v>
          </cell>
        </row>
      </sheetData>
      <sheetData sheetId="1151">
        <row r="1">
          <cell r="B1">
            <v>0</v>
          </cell>
        </row>
      </sheetData>
      <sheetData sheetId="1152">
        <row r="1">
          <cell r="B1">
            <v>0</v>
          </cell>
        </row>
      </sheetData>
      <sheetData sheetId="1153">
        <row r="1">
          <cell r="B1">
            <v>0</v>
          </cell>
        </row>
      </sheetData>
      <sheetData sheetId="1154">
        <row r="1">
          <cell r="B1">
            <v>0</v>
          </cell>
        </row>
      </sheetData>
      <sheetData sheetId="1155">
        <row r="1">
          <cell r="B1">
            <v>0</v>
          </cell>
        </row>
      </sheetData>
      <sheetData sheetId="1156">
        <row r="1">
          <cell r="B1">
            <v>0</v>
          </cell>
        </row>
      </sheetData>
      <sheetData sheetId="1157">
        <row r="1">
          <cell r="B1">
            <v>0</v>
          </cell>
        </row>
      </sheetData>
      <sheetData sheetId="1158">
        <row r="1">
          <cell r="B1">
            <v>0</v>
          </cell>
        </row>
      </sheetData>
      <sheetData sheetId="1159">
        <row r="1">
          <cell r="B1">
            <v>0</v>
          </cell>
        </row>
      </sheetData>
      <sheetData sheetId="1160">
        <row r="1">
          <cell r="B1">
            <v>0</v>
          </cell>
        </row>
      </sheetData>
      <sheetData sheetId="1161">
        <row r="1">
          <cell r="B1">
            <v>0</v>
          </cell>
        </row>
      </sheetData>
      <sheetData sheetId="1162">
        <row r="1">
          <cell r="B1">
            <v>0</v>
          </cell>
        </row>
      </sheetData>
      <sheetData sheetId="1163">
        <row r="1">
          <cell r="B1">
            <v>0</v>
          </cell>
        </row>
      </sheetData>
      <sheetData sheetId="1164">
        <row r="1">
          <cell r="B1">
            <v>0</v>
          </cell>
        </row>
      </sheetData>
      <sheetData sheetId="1165">
        <row r="1">
          <cell r="B1">
            <v>0</v>
          </cell>
        </row>
      </sheetData>
      <sheetData sheetId="1166">
        <row r="1">
          <cell r="B1">
            <v>0</v>
          </cell>
        </row>
      </sheetData>
      <sheetData sheetId="1167">
        <row r="1">
          <cell r="B1">
            <v>0</v>
          </cell>
        </row>
      </sheetData>
      <sheetData sheetId="1168">
        <row r="1">
          <cell r="B1">
            <v>0</v>
          </cell>
        </row>
      </sheetData>
      <sheetData sheetId="1169">
        <row r="1">
          <cell r="B1">
            <v>0</v>
          </cell>
        </row>
      </sheetData>
      <sheetData sheetId="1170">
        <row r="1">
          <cell r="B1">
            <v>0</v>
          </cell>
        </row>
      </sheetData>
      <sheetData sheetId="1171">
        <row r="1">
          <cell r="B1">
            <v>0</v>
          </cell>
        </row>
      </sheetData>
      <sheetData sheetId="1172">
        <row r="1">
          <cell r="B1">
            <v>0</v>
          </cell>
        </row>
      </sheetData>
      <sheetData sheetId="1173">
        <row r="1">
          <cell r="B1">
            <v>0</v>
          </cell>
        </row>
      </sheetData>
      <sheetData sheetId="1174">
        <row r="1">
          <cell r="B1">
            <v>0</v>
          </cell>
        </row>
      </sheetData>
      <sheetData sheetId="1175">
        <row r="1">
          <cell r="B1">
            <v>0</v>
          </cell>
        </row>
      </sheetData>
      <sheetData sheetId="1176">
        <row r="1">
          <cell r="B1">
            <v>0</v>
          </cell>
        </row>
      </sheetData>
      <sheetData sheetId="1177">
        <row r="1">
          <cell r="B1">
            <v>0</v>
          </cell>
        </row>
      </sheetData>
      <sheetData sheetId="1178">
        <row r="1">
          <cell r="B1">
            <v>0</v>
          </cell>
        </row>
      </sheetData>
      <sheetData sheetId="1179">
        <row r="1">
          <cell r="B1">
            <v>0</v>
          </cell>
        </row>
      </sheetData>
      <sheetData sheetId="1180">
        <row r="1">
          <cell r="B1">
            <v>0</v>
          </cell>
        </row>
      </sheetData>
      <sheetData sheetId="1181">
        <row r="1">
          <cell r="B1">
            <v>0</v>
          </cell>
        </row>
      </sheetData>
      <sheetData sheetId="1182">
        <row r="1">
          <cell r="B1">
            <v>0</v>
          </cell>
        </row>
      </sheetData>
      <sheetData sheetId="1183">
        <row r="1">
          <cell r="B1">
            <v>0</v>
          </cell>
        </row>
      </sheetData>
      <sheetData sheetId="1184">
        <row r="1">
          <cell r="B1">
            <v>0</v>
          </cell>
        </row>
      </sheetData>
      <sheetData sheetId="1185">
        <row r="1">
          <cell r="B1">
            <v>0</v>
          </cell>
        </row>
      </sheetData>
      <sheetData sheetId="1186">
        <row r="1">
          <cell r="B1">
            <v>0</v>
          </cell>
        </row>
      </sheetData>
      <sheetData sheetId="1187">
        <row r="1">
          <cell r="B1">
            <v>0</v>
          </cell>
        </row>
      </sheetData>
      <sheetData sheetId="1188">
        <row r="1">
          <cell r="B1">
            <v>0</v>
          </cell>
        </row>
      </sheetData>
      <sheetData sheetId="1189">
        <row r="1">
          <cell r="B1">
            <v>0</v>
          </cell>
        </row>
      </sheetData>
      <sheetData sheetId="1190">
        <row r="1">
          <cell r="B1">
            <v>0</v>
          </cell>
        </row>
      </sheetData>
      <sheetData sheetId="1191">
        <row r="1">
          <cell r="B1">
            <v>0</v>
          </cell>
        </row>
      </sheetData>
      <sheetData sheetId="1192">
        <row r="1">
          <cell r="B1">
            <v>0</v>
          </cell>
        </row>
      </sheetData>
      <sheetData sheetId="1193">
        <row r="1">
          <cell r="B1">
            <v>0</v>
          </cell>
        </row>
      </sheetData>
      <sheetData sheetId="1194">
        <row r="1">
          <cell r="B1">
            <v>0</v>
          </cell>
        </row>
      </sheetData>
      <sheetData sheetId="1195">
        <row r="1">
          <cell r="B1">
            <v>0</v>
          </cell>
        </row>
      </sheetData>
      <sheetData sheetId="1196">
        <row r="1">
          <cell r="B1">
            <v>0</v>
          </cell>
        </row>
      </sheetData>
      <sheetData sheetId="1197">
        <row r="1">
          <cell r="B1">
            <v>0</v>
          </cell>
        </row>
      </sheetData>
      <sheetData sheetId="1198">
        <row r="1">
          <cell r="B1">
            <v>0</v>
          </cell>
        </row>
      </sheetData>
      <sheetData sheetId="1199">
        <row r="1">
          <cell r="B1">
            <v>0</v>
          </cell>
        </row>
      </sheetData>
      <sheetData sheetId="1200">
        <row r="1">
          <cell r="B1">
            <v>0</v>
          </cell>
        </row>
      </sheetData>
      <sheetData sheetId="1201">
        <row r="1">
          <cell r="B1">
            <v>0</v>
          </cell>
        </row>
      </sheetData>
      <sheetData sheetId="1202">
        <row r="1">
          <cell r="B1">
            <v>0</v>
          </cell>
        </row>
      </sheetData>
      <sheetData sheetId="1203">
        <row r="1">
          <cell r="B1">
            <v>0</v>
          </cell>
        </row>
      </sheetData>
      <sheetData sheetId="1204">
        <row r="1">
          <cell r="B1">
            <v>0</v>
          </cell>
        </row>
      </sheetData>
      <sheetData sheetId="1205">
        <row r="1">
          <cell r="B1">
            <v>0</v>
          </cell>
        </row>
      </sheetData>
      <sheetData sheetId="1206">
        <row r="1">
          <cell r="B1">
            <v>0</v>
          </cell>
        </row>
      </sheetData>
      <sheetData sheetId="1207">
        <row r="1">
          <cell r="B1">
            <v>0</v>
          </cell>
        </row>
      </sheetData>
      <sheetData sheetId="1208">
        <row r="1">
          <cell r="B1">
            <v>0</v>
          </cell>
        </row>
      </sheetData>
      <sheetData sheetId="1209">
        <row r="1">
          <cell r="B1">
            <v>0</v>
          </cell>
        </row>
      </sheetData>
      <sheetData sheetId="1210">
        <row r="1">
          <cell r="B1">
            <v>0</v>
          </cell>
        </row>
      </sheetData>
      <sheetData sheetId="1211">
        <row r="1">
          <cell r="B1">
            <v>0</v>
          </cell>
        </row>
      </sheetData>
      <sheetData sheetId="1212">
        <row r="1">
          <cell r="B1">
            <v>0</v>
          </cell>
        </row>
      </sheetData>
      <sheetData sheetId="1213">
        <row r="1">
          <cell r="B1">
            <v>0</v>
          </cell>
        </row>
      </sheetData>
      <sheetData sheetId="1214">
        <row r="1">
          <cell r="B1">
            <v>0</v>
          </cell>
        </row>
      </sheetData>
      <sheetData sheetId="1215">
        <row r="1">
          <cell r="B1">
            <v>0</v>
          </cell>
        </row>
      </sheetData>
      <sheetData sheetId="1216">
        <row r="1">
          <cell r="B1">
            <v>0</v>
          </cell>
        </row>
      </sheetData>
      <sheetData sheetId="1217">
        <row r="1">
          <cell r="B1">
            <v>0</v>
          </cell>
        </row>
      </sheetData>
      <sheetData sheetId="1218">
        <row r="1">
          <cell r="B1">
            <v>0</v>
          </cell>
        </row>
      </sheetData>
      <sheetData sheetId="1219">
        <row r="1">
          <cell r="B1">
            <v>0</v>
          </cell>
        </row>
      </sheetData>
      <sheetData sheetId="1220">
        <row r="1">
          <cell r="B1">
            <v>0</v>
          </cell>
        </row>
      </sheetData>
      <sheetData sheetId="1221">
        <row r="1">
          <cell r="B1">
            <v>0</v>
          </cell>
        </row>
      </sheetData>
      <sheetData sheetId="1222">
        <row r="1">
          <cell r="B1">
            <v>0</v>
          </cell>
        </row>
      </sheetData>
      <sheetData sheetId="1223">
        <row r="1">
          <cell r="B1">
            <v>0</v>
          </cell>
        </row>
      </sheetData>
      <sheetData sheetId="1224">
        <row r="1">
          <cell r="B1">
            <v>0</v>
          </cell>
        </row>
      </sheetData>
      <sheetData sheetId="1225">
        <row r="1">
          <cell r="B1">
            <v>0</v>
          </cell>
        </row>
      </sheetData>
      <sheetData sheetId="1226">
        <row r="1">
          <cell r="B1">
            <v>0</v>
          </cell>
        </row>
      </sheetData>
      <sheetData sheetId="1227">
        <row r="1">
          <cell r="B1">
            <v>0</v>
          </cell>
        </row>
      </sheetData>
      <sheetData sheetId="1228">
        <row r="1">
          <cell r="B1">
            <v>0</v>
          </cell>
        </row>
      </sheetData>
      <sheetData sheetId="1229">
        <row r="1">
          <cell r="B1">
            <v>0</v>
          </cell>
        </row>
      </sheetData>
      <sheetData sheetId="1230">
        <row r="1">
          <cell r="B1">
            <v>0</v>
          </cell>
        </row>
      </sheetData>
      <sheetData sheetId="1231">
        <row r="1">
          <cell r="B1">
            <v>0</v>
          </cell>
        </row>
      </sheetData>
      <sheetData sheetId="1232">
        <row r="1">
          <cell r="B1">
            <v>0</v>
          </cell>
        </row>
      </sheetData>
      <sheetData sheetId="1233">
        <row r="1">
          <cell r="B1">
            <v>0</v>
          </cell>
        </row>
      </sheetData>
      <sheetData sheetId="1234">
        <row r="1">
          <cell r="B1">
            <v>0</v>
          </cell>
        </row>
      </sheetData>
      <sheetData sheetId="1235">
        <row r="1">
          <cell r="B1">
            <v>0</v>
          </cell>
        </row>
      </sheetData>
      <sheetData sheetId="1236">
        <row r="1">
          <cell r="B1">
            <v>0</v>
          </cell>
        </row>
      </sheetData>
      <sheetData sheetId="1237">
        <row r="1">
          <cell r="B1">
            <v>0</v>
          </cell>
        </row>
      </sheetData>
      <sheetData sheetId="1238">
        <row r="1">
          <cell r="B1">
            <v>0</v>
          </cell>
        </row>
      </sheetData>
      <sheetData sheetId="1239">
        <row r="1">
          <cell r="B1">
            <v>0</v>
          </cell>
        </row>
      </sheetData>
      <sheetData sheetId="1240">
        <row r="1">
          <cell r="B1">
            <v>0</v>
          </cell>
        </row>
      </sheetData>
      <sheetData sheetId="1241">
        <row r="1">
          <cell r="B1">
            <v>0</v>
          </cell>
        </row>
      </sheetData>
      <sheetData sheetId="1242">
        <row r="1">
          <cell r="B1">
            <v>0</v>
          </cell>
        </row>
      </sheetData>
      <sheetData sheetId="1243">
        <row r="1">
          <cell r="B1">
            <v>0</v>
          </cell>
        </row>
      </sheetData>
      <sheetData sheetId="1244">
        <row r="1">
          <cell r="B1">
            <v>0</v>
          </cell>
        </row>
      </sheetData>
      <sheetData sheetId="1245">
        <row r="1">
          <cell r="B1">
            <v>0</v>
          </cell>
        </row>
      </sheetData>
      <sheetData sheetId="1246">
        <row r="1">
          <cell r="B1">
            <v>0</v>
          </cell>
        </row>
      </sheetData>
      <sheetData sheetId="1247">
        <row r="1">
          <cell r="B1">
            <v>0</v>
          </cell>
        </row>
      </sheetData>
      <sheetData sheetId="1248">
        <row r="1">
          <cell r="B1">
            <v>0</v>
          </cell>
        </row>
      </sheetData>
      <sheetData sheetId="1249">
        <row r="1">
          <cell r="B1">
            <v>0</v>
          </cell>
        </row>
      </sheetData>
      <sheetData sheetId="1250">
        <row r="1">
          <cell r="B1">
            <v>0</v>
          </cell>
        </row>
      </sheetData>
      <sheetData sheetId="1251">
        <row r="1">
          <cell r="B1">
            <v>0</v>
          </cell>
        </row>
      </sheetData>
      <sheetData sheetId="1252">
        <row r="1">
          <cell r="B1">
            <v>0</v>
          </cell>
        </row>
      </sheetData>
      <sheetData sheetId="1253">
        <row r="1">
          <cell r="B1">
            <v>0</v>
          </cell>
        </row>
      </sheetData>
      <sheetData sheetId="1254">
        <row r="1">
          <cell r="B1">
            <v>0</v>
          </cell>
        </row>
      </sheetData>
      <sheetData sheetId="1255">
        <row r="1">
          <cell r="B1">
            <v>0</v>
          </cell>
        </row>
      </sheetData>
      <sheetData sheetId="1256">
        <row r="1">
          <cell r="B1">
            <v>0</v>
          </cell>
        </row>
      </sheetData>
      <sheetData sheetId="1257">
        <row r="1">
          <cell r="B1">
            <v>0</v>
          </cell>
        </row>
      </sheetData>
      <sheetData sheetId="1258">
        <row r="1">
          <cell r="B1">
            <v>0</v>
          </cell>
        </row>
      </sheetData>
      <sheetData sheetId="1259">
        <row r="1">
          <cell r="B1">
            <v>0</v>
          </cell>
        </row>
      </sheetData>
      <sheetData sheetId="1260">
        <row r="1">
          <cell r="B1">
            <v>0</v>
          </cell>
        </row>
      </sheetData>
      <sheetData sheetId="1261">
        <row r="1">
          <cell r="B1">
            <v>0</v>
          </cell>
        </row>
      </sheetData>
      <sheetData sheetId="1262">
        <row r="1">
          <cell r="B1">
            <v>0</v>
          </cell>
        </row>
      </sheetData>
      <sheetData sheetId="1263">
        <row r="1">
          <cell r="B1">
            <v>0</v>
          </cell>
        </row>
      </sheetData>
      <sheetData sheetId="1264">
        <row r="1">
          <cell r="B1">
            <v>0</v>
          </cell>
        </row>
      </sheetData>
      <sheetData sheetId="1265">
        <row r="1">
          <cell r="B1">
            <v>0</v>
          </cell>
        </row>
      </sheetData>
      <sheetData sheetId="1266">
        <row r="1">
          <cell r="B1">
            <v>0</v>
          </cell>
        </row>
      </sheetData>
      <sheetData sheetId="1267">
        <row r="1">
          <cell r="B1">
            <v>0</v>
          </cell>
        </row>
      </sheetData>
      <sheetData sheetId="1268">
        <row r="1">
          <cell r="B1">
            <v>0</v>
          </cell>
        </row>
      </sheetData>
      <sheetData sheetId="1269">
        <row r="1">
          <cell r="B1">
            <v>0</v>
          </cell>
        </row>
      </sheetData>
      <sheetData sheetId="1270">
        <row r="1">
          <cell r="B1">
            <v>0</v>
          </cell>
        </row>
      </sheetData>
      <sheetData sheetId="1271">
        <row r="1">
          <cell r="B1">
            <v>0</v>
          </cell>
        </row>
      </sheetData>
      <sheetData sheetId="1272">
        <row r="1">
          <cell r="B1">
            <v>0</v>
          </cell>
        </row>
      </sheetData>
      <sheetData sheetId="1273">
        <row r="1">
          <cell r="B1">
            <v>0</v>
          </cell>
        </row>
      </sheetData>
      <sheetData sheetId="1274">
        <row r="1">
          <cell r="B1">
            <v>0</v>
          </cell>
        </row>
      </sheetData>
      <sheetData sheetId="1275">
        <row r="1">
          <cell r="B1">
            <v>0</v>
          </cell>
        </row>
      </sheetData>
      <sheetData sheetId="1276">
        <row r="1">
          <cell r="B1">
            <v>0</v>
          </cell>
        </row>
      </sheetData>
      <sheetData sheetId="1277">
        <row r="1">
          <cell r="B1">
            <v>0</v>
          </cell>
        </row>
      </sheetData>
      <sheetData sheetId="1278">
        <row r="1">
          <cell r="B1">
            <v>0</v>
          </cell>
        </row>
      </sheetData>
      <sheetData sheetId="1279">
        <row r="1">
          <cell r="B1">
            <v>0</v>
          </cell>
        </row>
      </sheetData>
      <sheetData sheetId="1280">
        <row r="1">
          <cell r="B1">
            <v>0</v>
          </cell>
        </row>
      </sheetData>
      <sheetData sheetId="1281">
        <row r="1">
          <cell r="B1">
            <v>0</v>
          </cell>
        </row>
      </sheetData>
      <sheetData sheetId="1282">
        <row r="1">
          <cell r="B1">
            <v>0</v>
          </cell>
        </row>
      </sheetData>
      <sheetData sheetId="1283">
        <row r="1">
          <cell r="B1">
            <v>0</v>
          </cell>
        </row>
      </sheetData>
      <sheetData sheetId="1284">
        <row r="1">
          <cell r="B1">
            <v>0</v>
          </cell>
        </row>
      </sheetData>
      <sheetData sheetId="1285">
        <row r="1">
          <cell r="B1">
            <v>0</v>
          </cell>
        </row>
      </sheetData>
      <sheetData sheetId="1286">
        <row r="1">
          <cell r="B1">
            <v>0</v>
          </cell>
        </row>
      </sheetData>
      <sheetData sheetId="1287">
        <row r="1">
          <cell r="B1">
            <v>0</v>
          </cell>
        </row>
      </sheetData>
      <sheetData sheetId="1288">
        <row r="1">
          <cell r="B1">
            <v>0</v>
          </cell>
        </row>
      </sheetData>
      <sheetData sheetId="1289">
        <row r="1">
          <cell r="B1">
            <v>0</v>
          </cell>
        </row>
      </sheetData>
      <sheetData sheetId="1290">
        <row r="1">
          <cell r="B1">
            <v>0</v>
          </cell>
        </row>
      </sheetData>
      <sheetData sheetId="1291">
        <row r="1">
          <cell r="B1">
            <v>0</v>
          </cell>
        </row>
      </sheetData>
      <sheetData sheetId="1292">
        <row r="1">
          <cell r="B1">
            <v>0</v>
          </cell>
        </row>
      </sheetData>
      <sheetData sheetId="1293">
        <row r="1">
          <cell r="B1">
            <v>0</v>
          </cell>
        </row>
      </sheetData>
      <sheetData sheetId="1294">
        <row r="1">
          <cell r="B1">
            <v>0</v>
          </cell>
        </row>
      </sheetData>
      <sheetData sheetId="1295">
        <row r="1">
          <cell r="B1">
            <v>0</v>
          </cell>
        </row>
      </sheetData>
      <sheetData sheetId="1296">
        <row r="1">
          <cell r="B1">
            <v>0</v>
          </cell>
        </row>
      </sheetData>
      <sheetData sheetId="1297">
        <row r="1">
          <cell r="B1">
            <v>0</v>
          </cell>
        </row>
      </sheetData>
      <sheetData sheetId="1298">
        <row r="1">
          <cell r="B1">
            <v>0</v>
          </cell>
        </row>
      </sheetData>
      <sheetData sheetId="1299">
        <row r="1">
          <cell r="B1">
            <v>0</v>
          </cell>
        </row>
      </sheetData>
      <sheetData sheetId="1300">
        <row r="1">
          <cell r="B1">
            <v>0</v>
          </cell>
        </row>
      </sheetData>
      <sheetData sheetId="1301">
        <row r="1">
          <cell r="B1">
            <v>0</v>
          </cell>
        </row>
      </sheetData>
      <sheetData sheetId="1302">
        <row r="1">
          <cell r="B1">
            <v>0</v>
          </cell>
        </row>
      </sheetData>
      <sheetData sheetId="1303">
        <row r="1">
          <cell r="B1">
            <v>0</v>
          </cell>
        </row>
      </sheetData>
      <sheetData sheetId="1304">
        <row r="1">
          <cell r="B1">
            <v>0</v>
          </cell>
        </row>
      </sheetData>
      <sheetData sheetId="1305">
        <row r="1">
          <cell r="B1">
            <v>0</v>
          </cell>
        </row>
      </sheetData>
      <sheetData sheetId="1306">
        <row r="1">
          <cell r="B1">
            <v>0</v>
          </cell>
        </row>
      </sheetData>
      <sheetData sheetId="1307">
        <row r="1">
          <cell r="B1">
            <v>0</v>
          </cell>
        </row>
      </sheetData>
      <sheetData sheetId="1308">
        <row r="1">
          <cell r="B1">
            <v>0</v>
          </cell>
        </row>
      </sheetData>
      <sheetData sheetId="1309">
        <row r="1">
          <cell r="B1">
            <v>0</v>
          </cell>
        </row>
      </sheetData>
      <sheetData sheetId="1310">
        <row r="1">
          <cell r="B1">
            <v>0</v>
          </cell>
        </row>
      </sheetData>
      <sheetData sheetId="1311">
        <row r="1">
          <cell r="B1">
            <v>0</v>
          </cell>
        </row>
      </sheetData>
      <sheetData sheetId="1312" refreshError="1"/>
      <sheetData sheetId="1313">
        <row r="1">
          <cell r="B1">
            <v>0</v>
          </cell>
        </row>
      </sheetData>
      <sheetData sheetId="1314">
        <row r="1">
          <cell r="B1">
            <v>0</v>
          </cell>
        </row>
      </sheetData>
      <sheetData sheetId="1315">
        <row r="1">
          <cell r="B1">
            <v>0</v>
          </cell>
        </row>
      </sheetData>
      <sheetData sheetId="1316" refreshError="1"/>
      <sheetData sheetId="1317" refreshError="1"/>
      <sheetData sheetId="1318" refreshError="1"/>
      <sheetData sheetId="1319" refreshError="1"/>
      <sheetData sheetId="1320" refreshError="1"/>
      <sheetData sheetId="1321">
        <row r="1">
          <cell r="B1">
            <v>0</v>
          </cell>
        </row>
      </sheetData>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ow r="1">
          <cell r="B1">
            <v>0</v>
          </cell>
        </row>
      </sheetData>
      <sheetData sheetId="1350"/>
      <sheetData sheetId="1351" refreshError="1"/>
      <sheetData sheetId="1352">
        <row r="1">
          <cell r="B1">
            <v>0</v>
          </cell>
        </row>
      </sheetData>
      <sheetData sheetId="1353"/>
      <sheetData sheetId="1354" refreshError="1"/>
      <sheetData sheetId="1355" refreshError="1"/>
      <sheetData sheetId="1356">
        <row r="1">
          <cell r="B1">
            <v>0</v>
          </cell>
        </row>
      </sheetData>
      <sheetData sheetId="1357" refreshError="1"/>
      <sheetData sheetId="1358" refreshError="1"/>
      <sheetData sheetId="1359" refreshError="1"/>
      <sheetData sheetId="1360" refreshError="1"/>
      <sheetData sheetId="1361" refreshError="1"/>
      <sheetData sheetId="1362" refreshError="1"/>
      <sheetData sheetId="1363"/>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ow r="1">
          <cell r="B1">
            <v>0</v>
          </cell>
        </row>
      </sheetData>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ow r="1">
          <cell r="B1">
            <v>0</v>
          </cell>
        </row>
      </sheetData>
      <sheetData sheetId="1410">
        <row r="1">
          <cell r="B1">
            <v>0</v>
          </cell>
        </row>
      </sheetData>
      <sheetData sheetId="1411" refreshError="1"/>
      <sheetData sheetId="1412">
        <row r="1">
          <cell r="B1">
            <v>0</v>
          </cell>
        </row>
      </sheetData>
      <sheetData sheetId="1413">
        <row r="1">
          <cell r="B1">
            <v>0</v>
          </cell>
        </row>
      </sheetData>
      <sheetData sheetId="1414">
        <row r="1">
          <cell r="B1">
            <v>0</v>
          </cell>
        </row>
      </sheetData>
      <sheetData sheetId="1415">
        <row r="1">
          <cell r="B1">
            <v>0</v>
          </cell>
        </row>
      </sheetData>
      <sheetData sheetId="1416">
        <row r="1">
          <cell r="B1">
            <v>0</v>
          </cell>
        </row>
      </sheetData>
      <sheetData sheetId="1417">
        <row r="1">
          <cell r="B1">
            <v>0</v>
          </cell>
        </row>
      </sheetData>
      <sheetData sheetId="1418">
        <row r="1">
          <cell r="B1">
            <v>0</v>
          </cell>
        </row>
      </sheetData>
      <sheetData sheetId="1419" refreshError="1"/>
      <sheetData sheetId="1420" refreshError="1"/>
      <sheetData sheetId="1421" refreshError="1"/>
      <sheetData sheetId="1422" refreshError="1"/>
      <sheetData sheetId="1423" refreshError="1"/>
      <sheetData sheetId="1424" refreshError="1"/>
      <sheetData sheetId="1425" refreshError="1"/>
      <sheetData sheetId="1426">
        <row r="1">
          <cell r="B1">
            <v>0</v>
          </cell>
        </row>
      </sheetData>
      <sheetData sheetId="1427">
        <row r="1">
          <cell r="B1">
            <v>0</v>
          </cell>
        </row>
      </sheetData>
      <sheetData sheetId="1428">
        <row r="1">
          <cell r="B1">
            <v>0</v>
          </cell>
        </row>
      </sheetData>
      <sheetData sheetId="1429">
        <row r="1">
          <cell r="B1">
            <v>0</v>
          </cell>
        </row>
      </sheetData>
      <sheetData sheetId="1430">
        <row r="1">
          <cell r="B1">
            <v>0</v>
          </cell>
        </row>
      </sheetData>
      <sheetData sheetId="1431">
        <row r="1">
          <cell r="B1">
            <v>0</v>
          </cell>
        </row>
      </sheetData>
      <sheetData sheetId="1432">
        <row r="1">
          <cell r="B1">
            <v>0</v>
          </cell>
        </row>
      </sheetData>
      <sheetData sheetId="1433">
        <row r="1">
          <cell r="B1">
            <v>0</v>
          </cell>
        </row>
      </sheetData>
      <sheetData sheetId="1434">
        <row r="1">
          <cell r="B1">
            <v>0</v>
          </cell>
        </row>
      </sheetData>
      <sheetData sheetId="1435">
        <row r="1">
          <cell r="B1">
            <v>0</v>
          </cell>
        </row>
      </sheetData>
      <sheetData sheetId="1436">
        <row r="1">
          <cell r="B1">
            <v>0</v>
          </cell>
        </row>
      </sheetData>
      <sheetData sheetId="1437">
        <row r="1">
          <cell r="B1">
            <v>0</v>
          </cell>
        </row>
      </sheetData>
      <sheetData sheetId="1438">
        <row r="1">
          <cell r="B1">
            <v>0</v>
          </cell>
        </row>
      </sheetData>
      <sheetData sheetId="1439">
        <row r="1">
          <cell r="B1">
            <v>0</v>
          </cell>
        </row>
      </sheetData>
      <sheetData sheetId="1440">
        <row r="1">
          <cell r="B1">
            <v>0</v>
          </cell>
        </row>
      </sheetData>
      <sheetData sheetId="1441" refreshError="1"/>
      <sheetData sheetId="1442">
        <row r="1">
          <cell r="B1">
            <v>0</v>
          </cell>
        </row>
      </sheetData>
      <sheetData sheetId="1443">
        <row r="1">
          <cell r="B1">
            <v>0</v>
          </cell>
        </row>
      </sheetData>
      <sheetData sheetId="1444">
        <row r="1">
          <cell r="B1">
            <v>0</v>
          </cell>
        </row>
      </sheetData>
      <sheetData sheetId="1445">
        <row r="1">
          <cell r="B1">
            <v>0</v>
          </cell>
        </row>
      </sheetData>
      <sheetData sheetId="1446">
        <row r="1">
          <cell r="B1">
            <v>0</v>
          </cell>
        </row>
      </sheetData>
      <sheetData sheetId="1447">
        <row r="1">
          <cell r="B1">
            <v>0</v>
          </cell>
        </row>
      </sheetData>
      <sheetData sheetId="1448"/>
      <sheetData sheetId="1449"/>
      <sheetData sheetId="1450">
        <row r="1">
          <cell r="B1">
            <v>0</v>
          </cell>
        </row>
      </sheetData>
      <sheetData sheetId="1451">
        <row r="1">
          <cell r="B1">
            <v>0</v>
          </cell>
        </row>
      </sheetData>
      <sheetData sheetId="1452">
        <row r="1">
          <cell r="B1">
            <v>0</v>
          </cell>
        </row>
      </sheetData>
      <sheetData sheetId="1453">
        <row r="1">
          <cell r="B1">
            <v>0</v>
          </cell>
        </row>
      </sheetData>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refreshError="1"/>
      <sheetData sheetId="1467" refreshError="1"/>
      <sheetData sheetId="1468" refreshError="1"/>
      <sheetData sheetId="1469" refreshError="1"/>
      <sheetData sheetId="1470" refreshError="1"/>
      <sheetData sheetId="1471" refreshError="1"/>
      <sheetData sheetId="1472" refreshError="1"/>
      <sheetData sheetId="1473">
        <row r="1">
          <cell r="B1">
            <v>0</v>
          </cell>
        </row>
      </sheetData>
      <sheetData sheetId="1474">
        <row r="1">
          <cell r="B1">
            <v>0</v>
          </cell>
        </row>
      </sheetData>
      <sheetData sheetId="1475">
        <row r="1">
          <cell r="B1">
            <v>0</v>
          </cell>
        </row>
      </sheetData>
      <sheetData sheetId="1476">
        <row r="1">
          <cell r="B1">
            <v>0</v>
          </cell>
        </row>
      </sheetData>
      <sheetData sheetId="1477">
        <row r="1">
          <cell r="B1">
            <v>0</v>
          </cell>
        </row>
      </sheetData>
      <sheetData sheetId="1478">
        <row r="1">
          <cell r="B1">
            <v>0</v>
          </cell>
        </row>
      </sheetData>
      <sheetData sheetId="1479">
        <row r="1">
          <cell r="B1">
            <v>0</v>
          </cell>
        </row>
      </sheetData>
      <sheetData sheetId="1480">
        <row r="1">
          <cell r="B1">
            <v>0</v>
          </cell>
        </row>
      </sheetData>
      <sheetData sheetId="1481">
        <row r="1">
          <cell r="B1">
            <v>0</v>
          </cell>
        </row>
      </sheetData>
      <sheetData sheetId="1482">
        <row r="1">
          <cell r="B1">
            <v>0</v>
          </cell>
        </row>
      </sheetData>
      <sheetData sheetId="1483">
        <row r="1">
          <cell r="B1">
            <v>0</v>
          </cell>
        </row>
      </sheetData>
      <sheetData sheetId="1484">
        <row r="1">
          <cell r="B1">
            <v>0</v>
          </cell>
        </row>
      </sheetData>
      <sheetData sheetId="1485">
        <row r="1">
          <cell r="B1">
            <v>0</v>
          </cell>
        </row>
      </sheetData>
      <sheetData sheetId="1486">
        <row r="1">
          <cell r="B1">
            <v>0</v>
          </cell>
        </row>
      </sheetData>
      <sheetData sheetId="1487">
        <row r="1">
          <cell r="B1">
            <v>0</v>
          </cell>
        </row>
      </sheetData>
      <sheetData sheetId="1488">
        <row r="1">
          <cell r="B1">
            <v>0</v>
          </cell>
        </row>
      </sheetData>
      <sheetData sheetId="1489">
        <row r="1">
          <cell r="B1">
            <v>0</v>
          </cell>
        </row>
      </sheetData>
      <sheetData sheetId="1490">
        <row r="1">
          <cell r="B1">
            <v>0</v>
          </cell>
        </row>
      </sheetData>
      <sheetData sheetId="1491">
        <row r="1">
          <cell r="B1">
            <v>0</v>
          </cell>
        </row>
      </sheetData>
      <sheetData sheetId="1492">
        <row r="1">
          <cell r="B1">
            <v>0</v>
          </cell>
        </row>
      </sheetData>
      <sheetData sheetId="1493">
        <row r="1">
          <cell r="B1">
            <v>0</v>
          </cell>
        </row>
      </sheetData>
      <sheetData sheetId="1494">
        <row r="1">
          <cell r="B1">
            <v>0</v>
          </cell>
        </row>
      </sheetData>
      <sheetData sheetId="1495">
        <row r="1">
          <cell r="B1">
            <v>0</v>
          </cell>
        </row>
      </sheetData>
      <sheetData sheetId="1496">
        <row r="1">
          <cell r="B1">
            <v>0</v>
          </cell>
        </row>
      </sheetData>
      <sheetData sheetId="1497">
        <row r="1">
          <cell r="B1">
            <v>0</v>
          </cell>
        </row>
      </sheetData>
      <sheetData sheetId="1498">
        <row r="1">
          <cell r="B1">
            <v>0</v>
          </cell>
        </row>
      </sheetData>
      <sheetData sheetId="1499">
        <row r="1">
          <cell r="B1">
            <v>0</v>
          </cell>
        </row>
      </sheetData>
      <sheetData sheetId="1500">
        <row r="1">
          <cell r="B1">
            <v>0</v>
          </cell>
        </row>
      </sheetData>
      <sheetData sheetId="1501">
        <row r="1">
          <cell r="B1">
            <v>0</v>
          </cell>
        </row>
      </sheetData>
      <sheetData sheetId="1502">
        <row r="1">
          <cell r="B1">
            <v>0</v>
          </cell>
        </row>
      </sheetData>
      <sheetData sheetId="1503">
        <row r="1">
          <cell r="B1">
            <v>0</v>
          </cell>
        </row>
      </sheetData>
      <sheetData sheetId="1504">
        <row r="1">
          <cell r="B1">
            <v>0</v>
          </cell>
        </row>
      </sheetData>
      <sheetData sheetId="1505">
        <row r="1">
          <cell r="B1">
            <v>0</v>
          </cell>
        </row>
      </sheetData>
      <sheetData sheetId="1506">
        <row r="1">
          <cell r="B1">
            <v>0</v>
          </cell>
        </row>
      </sheetData>
      <sheetData sheetId="1507">
        <row r="1">
          <cell r="B1">
            <v>0</v>
          </cell>
        </row>
      </sheetData>
      <sheetData sheetId="1508">
        <row r="1">
          <cell r="B1">
            <v>0</v>
          </cell>
        </row>
      </sheetData>
      <sheetData sheetId="1509">
        <row r="1">
          <cell r="B1">
            <v>0</v>
          </cell>
        </row>
      </sheetData>
      <sheetData sheetId="1510">
        <row r="1">
          <cell r="B1">
            <v>0</v>
          </cell>
        </row>
      </sheetData>
      <sheetData sheetId="1511">
        <row r="1">
          <cell r="B1">
            <v>0</v>
          </cell>
        </row>
      </sheetData>
      <sheetData sheetId="1512">
        <row r="1">
          <cell r="B1">
            <v>0</v>
          </cell>
        </row>
      </sheetData>
      <sheetData sheetId="1513">
        <row r="1">
          <cell r="B1">
            <v>0</v>
          </cell>
        </row>
      </sheetData>
      <sheetData sheetId="1514">
        <row r="1">
          <cell r="B1">
            <v>0</v>
          </cell>
        </row>
      </sheetData>
      <sheetData sheetId="1515">
        <row r="1">
          <cell r="B1">
            <v>0</v>
          </cell>
        </row>
      </sheetData>
      <sheetData sheetId="1516">
        <row r="1">
          <cell r="B1">
            <v>0</v>
          </cell>
        </row>
      </sheetData>
      <sheetData sheetId="1517">
        <row r="1">
          <cell r="B1">
            <v>0</v>
          </cell>
        </row>
      </sheetData>
      <sheetData sheetId="1518">
        <row r="1">
          <cell r="B1">
            <v>0</v>
          </cell>
        </row>
      </sheetData>
      <sheetData sheetId="1519">
        <row r="1">
          <cell r="B1">
            <v>0</v>
          </cell>
        </row>
      </sheetData>
      <sheetData sheetId="1520">
        <row r="1">
          <cell r="B1">
            <v>0</v>
          </cell>
        </row>
      </sheetData>
      <sheetData sheetId="1521">
        <row r="1">
          <cell r="B1">
            <v>0</v>
          </cell>
        </row>
      </sheetData>
      <sheetData sheetId="1522">
        <row r="1">
          <cell r="B1">
            <v>0</v>
          </cell>
        </row>
      </sheetData>
      <sheetData sheetId="1523">
        <row r="1">
          <cell r="B1">
            <v>0</v>
          </cell>
        </row>
      </sheetData>
      <sheetData sheetId="1524">
        <row r="1">
          <cell r="B1">
            <v>0</v>
          </cell>
        </row>
      </sheetData>
      <sheetData sheetId="1525">
        <row r="1">
          <cell r="B1">
            <v>0</v>
          </cell>
        </row>
      </sheetData>
      <sheetData sheetId="1526">
        <row r="1">
          <cell r="B1">
            <v>0</v>
          </cell>
        </row>
      </sheetData>
      <sheetData sheetId="1527">
        <row r="1">
          <cell r="B1">
            <v>0</v>
          </cell>
        </row>
      </sheetData>
      <sheetData sheetId="1528">
        <row r="1">
          <cell r="B1">
            <v>0</v>
          </cell>
        </row>
      </sheetData>
      <sheetData sheetId="1529">
        <row r="1">
          <cell r="B1">
            <v>0</v>
          </cell>
        </row>
      </sheetData>
      <sheetData sheetId="1530">
        <row r="1">
          <cell r="B1">
            <v>0</v>
          </cell>
        </row>
      </sheetData>
      <sheetData sheetId="1531">
        <row r="1">
          <cell r="B1">
            <v>0</v>
          </cell>
        </row>
      </sheetData>
      <sheetData sheetId="1532">
        <row r="1">
          <cell r="B1">
            <v>0</v>
          </cell>
        </row>
      </sheetData>
      <sheetData sheetId="1533">
        <row r="1">
          <cell r="B1">
            <v>0</v>
          </cell>
        </row>
      </sheetData>
      <sheetData sheetId="1534">
        <row r="1">
          <cell r="B1">
            <v>0</v>
          </cell>
        </row>
      </sheetData>
      <sheetData sheetId="1535">
        <row r="1">
          <cell r="B1">
            <v>0</v>
          </cell>
        </row>
      </sheetData>
      <sheetData sheetId="1536">
        <row r="1">
          <cell r="B1">
            <v>0</v>
          </cell>
        </row>
      </sheetData>
      <sheetData sheetId="1537">
        <row r="1">
          <cell r="B1">
            <v>0</v>
          </cell>
        </row>
      </sheetData>
      <sheetData sheetId="1538">
        <row r="1">
          <cell r="B1">
            <v>0</v>
          </cell>
        </row>
      </sheetData>
      <sheetData sheetId="1539">
        <row r="1">
          <cell r="B1">
            <v>0</v>
          </cell>
        </row>
      </sheetData>
      <sheetData sheetId="1540">
        <row r="1">
          <cell r="B1">
            <v>0</v>
          </cell>
        </row>
      </sheetData>
      <sheetData sheetId="1541">
        <row r="1">
          <cell r="B1">
            <v>0</v>
          </cell>
        </row>
      </sheetData>
      <sheetData sheetId="1542">
        <row r="1">
          <cell r="B1">
            <v>0</v>
          </cell>
        </row>
      </sheetData>
      <sheetData sheetId="1543">
        <row r="1">
          <cell r="B1">
            <v>0</v>
          </cell>
        </row>
      </sheetData>
      <sheetData sheetId="1544">
        <row r="1">
          <cell r="B1">
            <v>0</v>
          </cell>
        </row>
      </sheetData>
      <sheetData sheetId="1545">
        <row r="1">
          <cell r="B1">
            <v>0</v>
          </cell>
        </row>
      </sheetData>
      <sheetData sheetId="1546">
        <row r="1">
          <cell r="B1">
            <v>0</v>
          </cell>
        </row>
      </sheetData>
      <sheetData sheetId="1547">
        <row r="1">
          <cell r="B1">
            <v>0</v>
          </cell>
        </row>
      </sheetData>
      <sheetData sheetId="1548">
        <row r="1">
          <cell r="B1">
            <v>0</v>
          </cell>
        </row>
      </sheetData>
      <sheetData sheetId="1549">
        <row r="1">
          <cell r="B1">
            <v>0</v>
          </cell>
        </row>
      </sheetData>
      <sheetData sheetId="1550">
        <row r="1">
          <cell r="B1">
            <v>0</v>
          </cell>
        </row>
      </sheetData>
      <sheetData sheetId="1551">
        <row r="1">
          <cell r="B1">
            <v>0</v>
          </cell>
        </row>
      </sheetData>
      <sheetData sheetId="1552">
        <row r="1">
          <cell r="B1">
            <v>0</v>
          </cell>
        </row>
      </sheetData>
      <sheetData sheetId="1553">
        <row r="1">
          <cell r="B1">
            <v>0</v>
          </cell>
        </row>
      </sheetData>
      <sheetData sheetId="1554"/>
      <sheetData sheetId="1555">
        <row r="1">
          <cell r="B1">
            <v>0</v>
          </cell>
        </row>
      </sheetData>
      <sheetData sheetId="1556">
        <row r="1">
          <cell r="B1">
            <v>0</v>
          </cell>
        </row>
      </sheetData>
      <sheetData sheetId="1557"/>
      <sheetData sheetId="1558"/>
      <sheetData sheetId="1559"/>
      <sheetData sheetId="1560">
        <row r="1">
          <cell r="B1">
            <v>0</v>
          </cell>
        </row>
      </sheetData>
      <sheetData sheetId="1561"/>
      <sheetData sheetId="1562">
        <row r="1">
          <cell r="B1">
            <v>0</v>
          </cell>
        </row>
      </sheetData>
      <sheetData sheetId="1563"/>
      <sheetData sheetId="1564">
        <row r="1">
          <cell r="B1">
            <v>0</v>
          </cell>
        </row>
      </sheetData>
      <sheetData sheetId="1565"/>
      <sheetData sheetId="1566"/>
      <sheetData sheetId="1567">
        <row r="1">
          <cell r="B1">
            <v>0</v>
          </cell>
        </row>
      </sheetData>
      <sheetData sheetId="1568"/>
      <sheetData sheetId="1569"/>
      <sheetData sheetId="1570">
        <row r="1">
          <cell r="B1">
            <v>0</v>
          </cell>
        </row>
      </sheetData>
      <sheetData sheetId="1571"/>
      <sheetData sheetId="1572"/>
      <sheetData sheetId="1573"/>
      <sheetData sheetId="1574"/>
      <sheetData sheetId="1575"/>
      <sheetData sheetId="1576"/>
      <sheetData sheetId="1577">
        <row r="1">
          <cell r="B1">
            <v>0</v>
          </cell>
        </row>
      </sheetData>
      <sheetData sheetId="1578"/>
      <sheetData sheetId="1579">
        <row r="1">
          <cell r="B1">
            <v>0</v>
          </cell>
        </row>
      </sheetData>
      <sheetData sheetId="1580"/>
      <sheetData sheetId="1581">
        <row r="1">
          <cell r="B1">
            <v>0</v>
          </cell>
        </row>
      </sheetData>
      <sheetData sheetId="1582"/>
      <sheetData sheetId="1583">
        <row r="1">
          <cell r="B1">
            <v>0</v>
          </cell>
        </row>
      </sheetData>
      <sheetData sheetId="1584">
        <row r="1">
          <cell r="B1">
            <v>0</v>
          </cell>
        </row>
      </sheetData>
      <sheetData sheetId="1585">
        <row r="1">
          <cell r="B1">
            <v>0</v>
          </cell>
        </row>
      </sheetData>
      <sheetData sheetId="1586">
        <row r="1">
          <cell r="B1">
            <v>0</v>
          </cell>
        </row>
      </sheetData>
      <sheetData sheetId="1587">
        <row r="1">
          <cell r="B1">
            <v>0</v>
          </cell>
        </row>
      </sheetData>
      <sheetData sheetId="1588"/>
      <sheetData sheetId="1589">
        <row r="1">
          <cell r="B1">
            <v>0</v>
          </cell>
        </row>
      </sheetData>
      <sheetData sheetId="1590">
        <row r="1">
          <cell r="B1">
            <v>0</v>
          </cell>
        </row>
      </sheetData>
      <sheetData sheetId="1591">
        <row r="1">
          <cell r="B1">
            <v>0</v>
          </cell>
        </row>
      </sheetData>
      <sheetData sheetId="1592">
        <row r="1">
          <cell r="B1">
            <v>0</v>
          </cell>
        </row>
      </sheetData>
      <sheetData sheetId="1593">
        <row r="1">
          <cell r="B1">
            <v>0</v>
          </cell>
        </row>
      </sheetData>
      <sheetData sheetId="1594">
        <row r="1">
          <cell r="B1">
            <v>0</v>
          </cell>
        </row>
      </sheetData>
      <sheetData sheetId="1595">
        <row r="1">
          <cell r="B1">
            <v>0</v>
          </cell>
        </row>
      </sheetData>
      <sheetData sheetId="1596">
        <row r="1">
          <cell r="B1">
            <v>0</v>
          </cell>
        </row>
      </sheetData>
      <sheetData sheetId="1597">
        <row r="1">
          <cell r="B1">
            <v>0</v>
          </cell>
        </row>
      </sheetData>
      <sheetData sheetId="1598">
        <row r="1">
          <cell r="B1">
            <v>0</v>
          </cell>
        </row>
      </sheetData>
      <sheetData sheetId="1599">
        <row r="1">
          <cell r="B1">
            <v>0</v>
          </cell>
        </row>
      </sheetData>
      <sheetData sheetId="1600"/>
      <sheetData sheetId="1601"/>
      <sheetData sheetId="1602"/>
      <sheetData sheetId="1603"/>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ow r="1">
          <cell r="B1">
            <v>0</v>
          </cell>
        </row>
      </sheetData>
      <sheetData sheetId="1704"/>
      <sheetData sheetId="1705"/>
      <sheetData sheetId="1706">
        <row r="1">
          <cell r="B1">
            <v>0</v>
          </cell>
        </row>
      </sheetData>
      <sheetData sheetId="1707"/>
      <sheetData sheetId="1708"/>
      <sheetData sheetId="1709">
        <row r="1">
          <cell r="B1">
            <v>0</v>
          </cell>
        </row>
      </sheetData>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row r="1">
          <cell r="B1">
            <v>0</v>
          </cell>
        </row>
      </sheetData>
      <sheetData sheetId="1743">
        <row r="1">
          <cell r="B1">
            <v>0</v>
          </cell>
        </row>
      </sheetData>
      <sheetData sheetId="1744"/>
      <sheetData sheetId="1745"/>
      <sheetData sheetId="1746"/>
      <sheetData sheetId="1747">
        <row r="1">
          <cell r="B1">
            <v>0</v>
          </cell>
        </row>
      </sheetData>
      <sheetData sheetId="1748">
        <row r="1">
          <cell r="B1">
            <v>0</v>
          </cell>
        </row>
      </sheetData>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row r="1">
          <cell r="B1">
            <v>0</v>
          </cell>
        </row>
      </sheetData>
      <sheetData sheetId="1783"/>
      <sheetData sheetId="1784"/>
      <sheetData sheetId="1785"/>
      <sheetData sheetId="1786">
        <row r="1">
          <cell r="B1">
            <v>0</v>
          </cell>
        </row>
      </sheetData>
      <sheetData sheetId="1787"/>
      <sheetData sheetId="1788"/>
      <sheetData sheetId="1789"/>
      <sheetData sheetId="1790"/>
      <sheetData sheetId="1791">
        <row r="1">
          <cell r="B1">
            <v>0</v>
          </cell>
        </row>
      </sheetData>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row r="1">
          <cell r="B1">
            <v>0</v>
          </cell>
        </row>
      </sheetData>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row r="1">
          <cell r="B1">
            <v>0</v>
          </cell>
        </row>
      </sheetData>
      <sheetData sheetId="1846"/>
      <sheetData sheetId="1847">
        <row r="1">
          <cell r="B1">
            <v>0</v>
          </cell>
        </row>
      </sheetData>
      <sheetData sheetId="1848"/>
      <sheetData sheetId="1849">
        <row r="1">
          <cell r="B1">
            <v>0</v>
          </cell>
        </row>
      </sheetData>
      <sheetData sheetId="1850"/>
      <sheetData sheetId="1851">
        <row r="1">
          <cell r="B1">
            <v>0</v>
          </cell>
        </row>
      </sheetData>
      <sheetData sheetId="1852"/>
      <sheetData sheetId="1853"/>
      <sheetData sheetId="1854"/>
      <sheetData sheetId="1855"/>
      <sheetData sheetId="1856"/>
      <sheetData sheetId="1857"/>
      <sheetData sheetId="1858"/>
      <sheetData sheetId="1859"/>
      <sheetData sheetId="1860"/>
      <sheetData sheetId="1861"/>
      <sheetData sheetId="1862"/>
      <sheetData sheetId="1863">
        <row r="1">
          <cell r="B1">
            <v>0</v>
          </cell>
        </row>
      </sheetData>
      <sheetData sheetId="1864">
        <row r="1">
          <cell r="B1">
            <v>0</v>
          </cell>
        </row>
      </sheetData>
      <sheetData sheetId="1865">
        <row r="1">
          <cell r="B1">
            <v>0</v>
          </cell>
        </row>
      </sheetData>
      <sheetData sheetId="1866">
        <row r="1">
          <cell r="B1">
            <v>0</v>
          </cell>
        </row>
      </sheetData>
      <sheetData sheetId="1867">
        <row r="1">
          <cell r="B1">
            <v>0</v>
          </cell>
        </row>
      </sheetData>
      <sheetData sheetId="1868">
        <row r="1">
          <cell r="B1">
            <v>0</v>
          </cell>
        </row>
      </sheetData>
      <sheetData sheetId="1869">
        <row r="1">
          <cell r="B1">
            <v>0</v>
          </cell>
        </row>
      </sheetData>
      <sheetData sheetId="1870">
        <row r="1">
          <cell r="B1">
            <v>0</v>
          </cell>
        </row>
      </sheetData>
      <sheetData sheetId="1871">
        <row r="1">
          <cell r="B1">
            <v>0</v>
          </cell>
        </row>
      </sheetData>
      <sheetData sheetId="1872">
        <row r="1">
          <cell r="B1">
            <v>0</v>
          </cell>
        </row>
      </sheetData>
      <sheetData sheetId="1873">
        <row r="1">
          <cell r="B1">
            <v>0</v>
          </cell>
        </row>
      </sheetData>
      <sheetData sheetId="1874">
        <row r="1">
          <cell r="B1">
            <v>0</v>
          </cell>
        </row>
      </sheetData>
      <sheetData sheetId="1875">
        <row r="1">
          <cell r="B1">
            <v>0</v>
          </cell>
        </row>
      </sheetData>
      <sheetData sheetId="1876">
        <row r="1">
          <cell r="B1">
            <v>0</v>
          </cell>
        </row>
      </sheetData>
      <sheetData sheetId="1877">
        <row r="1">
          <cell r="B1">
            <v>0</v>
          </cell>
        </row>
      </sheetData>
      <sheetData sheetId="1878"/>
      <sheetData sheetId="1879">
        <row r="1">
          <cell r="B1">
            <v>0</v>
          </cell>
        </row>
      </sheetData>
      <sheetData sheetId="1880"/>
      <sheetData sheetId="1881">
        <row r="1">
          <cell r="B1">
            <v>0</v>
          </cell>
        </row>
      </sheetData>
      <sheetData sheetId="1882"/>
      <sheetData sheetId="1883">
        <row r="1">
          <cell r="B1">
            <v>0</v>
          </cell>
        </row>
      </sheetData>
      <sheetData sheetId="1884"/>
      <sheetData sheetId="1885">
        <row r="1">
          <cell r="B1">
            <v>0</v>
          </cell>
        </row>
      </sheetData>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row r="1">
          <cell r="B1">
            <v>0</v>
          </cell>
        </row>
      </sheetData>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row r="1">
          <cell r="B1">
            <v>0</v>
          </cell>
        </row>
      </sheetData>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row r="1">
          <cell r="B1">
            <v>0</v>
          </cell>
        </row>
      </sheetData>
      <sheetData sheetId="1950" refreshError="1"/>
      <sheetData sheetId="1951"/>
      <sheetData sheetId="1952" refreshError="1"/>
      <sheetData sheetId="1953" refreshError="1"/>
      <sheetData sheetId="1954" refreshError="1"/>
      <sheetData sheetId="1955" refreshError="1"/>
      <sheetData sheetId="1956" refreshError="1"/>
      <sheetData sheetId="1957" refreshError="1"/>
      <sheetData sheetId="1958"/>
      <sheetData sheetId="1959"/>
      <sheetData sheetId="1960"/>
      <sheetData sheetId="196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ow r="1">
          <cell r="B1">
            <v>0</v>
          </cell>
        </row>
      </sheetData>
      <sheetData sheetId="1971"/>
      <sheetData sheetId="1972" refreshError="1"/>
      <sheetData sheetId="1973"/>
      <sheetData sheetId="1974"/>
      <sheetData sheetId="1975"/>
      <sheetData sheetId="1976" refreshError="1"/>
      <sheetData sheetId="1977" refreshError="1"/>
      <sheetData sheetId="1978"/>
      <sheetData sheetId="1979"/>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sheetData sheetId="1995">
        <row r="1">
          <cell r="A1">
            <v>0</v>
          </cell>
        </row>
      </sheetData>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refreshError="1"/>
      <sheetData sheetId="2084" refreshError="1"/>
      <sheetData sheetId="2085" refreshError="1"/>
      <sheetData sheetId="2086" refreshError="1"/>
      <sheetData sheetId="2087" refreshError="1"/>
      <sheetData sheetId="2088" refreshError="1"/>
      <sheetData sheetId="2089">
        <row r="1">
          <cell r="B1">
            <v>0</v>
          </cell>
        </row>
      </sheetData>
      <sheetData sheetId="2090">
        <row r="1">
          <cell r="B1">
            <v>0</v>
          </cell>
        </row>
      </sheetData>
      <sheetData sheetId="2091">
        <row r="1">
          <cell r="B1">
            <v>0</v>
          </cell>
        </row>
      </sheetData>
      <sheetData sheetId="2092">
        <row r="1">
          <cell r="B1">
            <v>0</v>
          </cell>
        </row>
      </sheetData>
      <sheetData sheetId="2093">
        <row r="1">
          <cell r="B1">
            <v>0</v>
          </cell>
        </row>
      </sheetData>
      <sheetData sheetId="2094">
        <row r="1">
          <cell r="B1">
            <v>0</v>
          </cell>
        </row>
      </sheetData>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sheetData sheetId="2107"/>
      <sheetData sheetId="2108"/>
      <sheetData sheetId="2109"/>
      <sheetData sheetId="2110"/>
      <sheetData sheetId="2111"/>
      <sheetData sheetId="2112"/>
      <sheetData sheetId="2113">
        <row r="1">
          <cell r="B1">
            <v>0</v>
          </cell>
        </row>
      </sheetData>
      <sheetData sheetId="2114"/>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refreshError="1"/>
      <sheetData sheetId="2174">
        <row r="1">
          <cell r="B1">
            <v>0</v>
          </cell>
        </row>
      </sheetData>
      <sheetData sheetId="2175">
        <row r="1">
          <cell r="B1">
            <v>0</v>
          </cell>
        </row>
      </sheetData>
      <sheetData sheetId="2176">
        <row r="1">
          <cell r="B1">
            <v>0</v>
          </cell>
        </row>
      </sheetData>
      <sheetData sheetId="2177" refreshError="1"/>
      <sheetData sheetId="2178" refreshError="1"/>
      <sheetData sheetId="2179"/>
      <sheetData sheetId="2180"/>
      <sheetData sheetId="2181"/>
      <sheetData sheetId="2182"/>
      <sheetData sheetId="2183"/>
      <sheetData sheetId="2184" refreshError="1"/>
      <sheetData sheetId="2185"/>
      <sheetData sheetId="2186"/>
      <sheetData sheetId="2187"/>
      <sheetData sheetId="2188"/>
      <sheetData sheetId="2189">
        <row r="1">
          <cell r="B1">
            <v>0</v>
          </cell>
        </row>
      </sheetData>
      <sheetData sheetId="2190">
        <row r="1">
          <cell r="B1">
            <v>0</v>
          </cell>
        </row>
      </sheetData>
      <sheetData sheetId="2191" refreshError="1"/>
      <sheetData sheetId="2192">
        <row r="1">
          <cell r="B1">
            <v>0</v>
          </cell>
        </row>
      </sheetData>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refreshError="1"/>
      <sheetData sheetId="2270" refreshError="1"/>
      <sheetData sheetId="2271" refreshError="1"/>
      <sheetData sheetId="2272"/>
      <sheetData sheetId="2273" refreshError="1"/>
      <sheetData sheetId="2274" refreshError="1"/>
      <sheetData sheetId="2275" refreshError="1"/>
      <sheetData sheetId="2276" refreshError="1"/>
      <sheetData sheetId="2277" refreshError="1"/>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sheetData sheetId="3173"/>
      <sheetData sheetId="3174"/>
      <sheetData sheetId="3175"/>
      <sheetData sheetId="3176"/>
      <sheetData sheetId="3177"/>
      <sheetData sheetId="3178"/>
      <sheetData sheetId="317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ал.план Жукова мес"/>
      <sheetName val="Кал.план Жукова даты - не надо"/>
      <sheetName val="СметаСводная 1 оч"/>
      <sheetName val="Смета1 Чеснович"/>
      <sheetName val="Смета2 геология"/>
      <sheetName val="См3 кадастр"/>
      <sheetName val="Смета4 Зем"/>
      <sheetName val="См5 дороги"/>
      <sheetName val="6 Кр.линии"/>
      <sheetName val="См7 мост"/>
      <sheetName val="Сети8 1 оч"/>
      <sheetName val="Смета9 регламент с 0,335"/>
      <sheetName val="Смета10 ООС"/>
      <sheetName val="смета11 конк докум"/>
      <sheetName val="См12  ГО и ЧС"/>
      <sheetName val="шкаф"/>
      <sheetName val="Вспомогательный"/>
      <sheetName val="коэфф1."/>
      <sheetName val="прайс лист"/>
      <sheetName val="топография"/>
      <sheetName val="лист1"/>
      <sheetName val="обновление"/>
    </sheetNames>
    <sheetDataSet>
      <sheetData sheetId="0" refreshError="1"/>
      <sheetData sheetId="1" refreshError="1"/>
      <sheetData sheetId="2">
        <row r="6">
          <cell r="D6" t="str">
            <v>"Реконструкция транспортной развязки на пр. Маршала Жукова через ж.д. пути в Угольную гавань". 1-ая очередь. Реконструкция Портовой ул. с выходом на дорогу в Угольную гавань и строительство ул. Морской Пехоты с мостом через р. Красненькая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чёт1"/>
      <sheetName val="Сводная смета"/>
      <sheetName val="Смета 3"/>
      <sheetName val="Смета 4"/>
      <sheetName val="Смета 5"/>
      <sheetName val="Смета 6"/>
      <sheetName val="Смета 7"/>
      <sheetName val="Смета 8"/>
      <sheetName val="Смета9"/>
      <sheetName val="Смета 10"/>
      <sheetName val="Смета 11"/>
      <sheetName val="Смета 12"/>
      <sheetName val="Смета 13"/>
      <sheetName val="Смета 14"/>
      <sheetName val="Смета 15 "/>
      <sheetName val="Смета 16"/>
      <sheetName val="Смета 17"/>
      <sheetName val="Смета 18"/>
      <sheetName val="Смета 19"/>
      <sheetName val="Смета 20"/>
      <sheetName val="Смета 21"/>
      <sheetName val="Смета 22"/>
      <sheetName val="Kplan"/>
      <sheetName val="Коэффициенты"/>
      <sheetName val="СВОДКА развязка 1"/>
      <sheetName val="исх_данные"/>
      <sheetName val="топография"/>
      <sheetName val="геолог"/>
    </sheetNames>
    <sheetDataSet>
      <sheetData sheetId="0" refreshError="1"/>
      <sheetData sheetId="1" refreshError="1"/>
      <sheetData sheetId="2" refreshError="1"/>
      <sheetData sheetId="3" refreshError="1"/>
      <sheetData sheetId="4" refreshError="1"/>
      <sheetData sheetId="5" refreshError="1"/>
      <sheetData sheetId="6">
        <row r="1">
          <cell r="F1">
            <v>0.83155992578849702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чет договорной цены"/>
      <sheetName val="Сводная смета"/>
      <sheetName val="Смета 1"/>
      <sheetName val="Смета 2"/>
      <sheetName val="Смета 3"/>
      <sheetName val="Смета 4"/>
      <sheetName val="Смета 5"/>
      <sheetName val="Смета 6"/>
      <sheetName val="Смета 7"/>
      <sheetName val="Смета 8"/>
      <sheetName val="Смета 9"/>
      <sheetName val="Смета 10"/>
      <sheetName val="Смета 11"/>
      <sheetName val="Смета 12"/>
      <sheetName val="Смета 13"/>
      <sheetName val="Смета 14"/>
      <sheetName val="Смета 15"/>
      <sheetName val="Смета 16"/>
      <sheetName val="Вспомогательные подсчеты"/>
      <sheetName val="Расчет (ССР)"/>
      <sheetName val="табл.1,4;17-НО"/>
      <sheetName val="СметаСводная п54"/>
      <sheetName val="свод"/>
      <sheetName val="Курс доллара"/>
      <sheetName val="сохранить"/>
      <sheetName val="свод 2"/>
      <sheetName val="КП Лен-Зина"/>
      <sheetName val="93-110"/>
      <sheetName val="топография"/>
      <sheetName val="сводная"/>
      <sheetName val="Данные"/>
      <sheetName val="Лист опроса"/>
      <sheetName val="Дог_рас"/>
      <sheetName val="КП_СС"/>
      <sheetName val="Ф2П"/>
      <sheetName val="ф3п"/>
      <sheetName val="Вспомогательный"/>
      <sheetName val="СметаСводная се"/>
      <sheetName val="6"/>
      <sheetName val="Расчет_договорной_цены"/>
      <sheetName val="Сводная_смета"/>
      <sheetName val="Смета_1"/>
      <sheetName val="Смета_2"/>
      <sheetName val="Смета_3"/>
      <sheetName val="Смета_4"/>
      <sheetName val="Смета_5"/>
      <sheetName val="Смета_6"/>
      <sheetName val="Смета_7"/>
      <sheetName val="Смета_8"/>
      <sheetName val="Смета_9"/>
      <sheetName val="Смета_10"/>
      <sheetName val="Смета_11"/>
      <sheetName val="Смета_12"/>
      <sheetName val="Смета_13"/>
      <sheetName val="Смета_14"/>
      <sheetName val="Смета_15"/>
      <sheetName val="Смета_16"/>
      <sheetName val="Вспомогательные_подсчеты"/>
      <sheetName val="Расчет_(ССР)"/>
      <sheetName val="табл_1,4;17-НО"/>
      <sheetName val="СметаСводная_п54"/>
      <sheetName val="СметаСводная пуш"/>
      <sheetName val="АД (Р)"/>
      <sheetName val="АД"/>
      <sheetName val="СметаСводная павильон"/>
      <sheetName val="информация"/>
      <sheetName val="свод1"/>
      <sheetName val="ТабР"/>
      <sheetName val="исх-данные"/>
      <sheetName val="шаблон"/>
      <sheetName val="СЦПР-90-38"/>
      <sheetName val="Smeta-tonnel"/>
      <sheetName val="Смета180"/>
      <sheetName val="СметаСводная Рыб"/>
      <sheetName val="сводная (2)"/>
      <sheetName val="СметаСводная снег"/>
      <sheetName val="СВОДКА"/>
      <sheetName val="сводный"/>
      <sheetName val="Лист6"/>
      <sheetName val="Ресурсы"/>
      <sheetName val="Объекты"/>
      <sheetName val="СметаСводная 1 оч"/>
      <sheetName val="смета"/>
      <sheetName val="ПРОГНОЗ_1"/>
      <sheetName val="СметаСводная"/>
      <sheetName val="зим "/>
      <sheetName val="зим Б"/>
      <sheetName val="см3(подходы)"/>
      <sheetName val="база"/>
      <sheetName val="Коэффициенты"/>
      <sheetName val="см8"/>
      <sheetName val="Расклад "/>
      <sheetName val="Смета сводная (список)"/>
      <sheetName val="распределение"/>
      <sheetName val="подписано смр "/>
      <sheetName val="12"/>
      <sheetName val="Курс_доллара"/>
      <sheetName val="КП_Лен-Зина"/>
      <sheetName val="Расчет_договорной_цены1"/>
      <sheetName val="Сводная_смета1"/>
      <sheetName val="Смета_17"/>
      <sheetName val="Смета_21"/>
      <sheetName val="Смета_31"/>
      <sheetName val="Смета_41"/>
      <sheetName val="Смета_51"/>
      <sheetName val="Смета_61"/>
      <sheetName val="Смета_71"/>
      <sheetName val="Смета_81"/>
      <sheetName val="Смета_91"/>
      <sheetName val="Смета_101"/>
      <sheetName val="Смета_111"/>
      <sheetName val="Смета_121"/>
      <sheetName val="Смета_131"/>
      <sheetName val="Смета_141"/>
      <sheetName val="Смета_151"/>
      <sheetName val="Смета_161"/>
      <sheetName val="Вспомогательные_подсчеты1"/>
      <sheetName val="Расчет_(ССР)1"/>
      <sheetName val="табл_1,4;17-НО1"/>
      <sheetName val="СметаСводная_п541"/>
      <sheetName val="Курс_доллара1"/>
      <sheetName val="КП_Лен-Зина1"/>
      <sheetName val="Расчет_договорной_цены2"/>
      <sheetName val="Сводная_смета2"/>
      <sheetName val="Смета_18"/>
      <sheetName val="Смета_22"/>
      <sheetName val="Смета_32"/>
      <sheetName val="Смета_42"/>
      <sheetName val="Смета_52"/>
      <sheetName val="Смета_62"/>
      <sheetName val="Смета_72"/>
      <sheetName val="Смета_82"/>
      <sheetName val="Смета_92"/>
      <sheetName val="Смета_102"/>
      <sheetName val="Смета_112"/>
      <sheetName val="Смета_122"/>
      <sheetName val="Смета_132"/>
      <sheetName val="Смета_142"/>
      <sheetName val="Смета_152"/>
      <sheetName val="Смета_162"/>
      <sheetName val="Вспомогательные_подсчеты2"/>
      <sheetName val="Расчет_(ССР)2"/>
      <sheetName val="табл_1,4;17-НО2"/>
      <sheetName val="СметаСводная_п542"/>
      <sheetName val="для расчёта"/>
      <sheetName val="Февраль"/>
      <sheetName val="Ф"/>
      <sheetName val="КП Сл-Будап"/>
      <sheetName val="Упр"/>
    </sheetNames>
    <sheetDataSet>
      <sheetData sheetId="0">
        <row r="1">
          <cell r="F1">
            <v>0.83155992578849702</v>
          </cell>
        </row>
      </sheetData>
      <sheetData sheetId="1">
        <row r="1">
          <cell r="F1">
            <v>0.83155992578849702</v>
          </cell>
        </row>
      </sheetData>
      <sheetData sheetId="2"/>
      <sheetData sheetId="3"/>
      <sheetData sheetId="4"/>
      <sheetData sheetId="5"/>
      <sheetData sheetId="6"/>
      <sheetData sheetId="7">
        <row r="1">
          <cell r="F1">
            <v>0.83155992578849702</v>
          </cell>
        </row>
      </sheetData>
      <sheetData sheetId="8">
        <row r="1">
          <cell r="F1">
            <v>0.83155992578849702</v>
          </cell>
        </row>
      </sheetData>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row r="1">
          <cell r="F1">
            <v>0.83155992578849702</v>
          </cell>
        </row>
      </sheetData>
      <sheetData sheetId="42"/>
      <sheetData sheetId="43">
        <row r="1">
          <cell r="F1">
            <v>0.83155992578849702</v>
          </cell>
        </row>
      </sheetData>
      <sheetData sheetId="44"/>
      <sheetData sheetId="45">
        <row r="1">
          <cell r="F1">
            <v>0.83155992578849702</v>
          </cell>
        </row>
      </sheetData>
      <sheetData sheetId="46"/>
      <sheetData sheetId="47">
        <row r="1">
          <cell r="F1">
            <v>0.83155992578849702</v>
          </cell>
        </row>
      </sheetData>
      <sheetData sheetId="48"/>
      <sheetData sheetId="49">
        <row r="1">
          <cell r="F1">
            <v>0.83155992578849702</v>
          </cell>
        </row>
      </sheetData>
      <sheetData sheetId="50"/>
      <sheetData sheetId="51">
        <row r="1">
          <cell r="F1">
            <v>0.83155992578849702</v>
          </cell>
        </row>
      </sheetData>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refreshError="1"/>
      <sheetData sheetId="95" refreshError="1"/>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refreshError="1"/>
      <sheetData sheetId="145" refreshError="1"/>
      <sheetData sheetId="146" refreshError="1"/>
      <sheetData sheetId="147" refreshError="1"/>
      <sheetData sheetId="14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метаСводная снег"/>
      <sheetName val="Смета1 Чеснович снег"/>
      <sheetName val="Смета2 снег геология"/>
      <sheetName val="См3 эколог изыск. снег"/>
      <sheetName val="смета4  Дор.работы"/>
      <sheetName val="Смета 6 Снег - Сети"/>
      <sheetName val="См 7Расчет ОДД Прокоп"/>
      <sheetName val="Смета8 ООС снег"/>
      <sheetName val="Смета9 регламент с 0,335"/>
      <sheetName val="КП снег"/>
      <sheetName val="См10  ГО и ЧС"/>
      <sheetName val="Смета11 Новые технологии"/>
      <sheetName val="Смета11 Ресурсоемкость"/>
      <sheetName val="Смета10 кадастр съемка п54"/>
      <sheetName val="Смета11 Землеустр.п54"/>
      <sheetName val="Смета12 межевание п54"/>
      <sheetName val="Смета13 Юрид оформл п54"/>
      <sheetName val="см14 конк докум Обв24"/>
      <sheetName val="См15Кр.линии"/>
      <sheetName val="См16 Сбор исх данных"/>
      <sheetName val="См17 Допэкз"/>
      <sheetName val="смета"/>
    </sheetNames>
    <sheetDataSet>
      <sheetData sheetId="0">
        <row r="7">
          <cell r="E7" t="str">
            <v>Рабочий проект по объекту:с "Снегоплавильная камера. расположенная на сетях ГУП "Водоканал Санкт-Петербург", по адресу: Рижский пр., д.43 (угол Рижского проспекта и Либавского переулка)"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чёт1"/>
      <sheetName val="Сводная смета"/>
      <sheetName val="Смета 3"/>
      <sheetName val="Смета 4"/>
      <sheetName val="Смета 5"/>
      <sheetName val="Смета 6"/>
      <sheetName val="Смета 7"/>
      <sheetName val="Смета 8"/>
      <sheetName val="Смета9"/>
      <sheetName val="Смета 10"/>
      <sheetName val="Смета 11"/>
      <sheetName val="Смета 12"/>
      <sheetName val="Смета 13"/>
      <sheetName val="Смета 14"/>
      <sheetName val="Смета 15 "/>
      <sheetName val="Смета 16"/>
      <sheetName val="Смета 17"/>
      <sheetName val="Смета 18"/>
      <sheetName val="Смета 19"/>
      <sheetName val="Смета 20"/>
      <sheetName val="Смета 21"/>
      <sheetName val="Смета 22"/>
      <sheetName val="Kplan"/>
      <sheetName val="смета"/>
      <sheetName val="gd"/>
      <sheetName val="DATA"/>
    </sheetNames>
    <sheetDataSet>
      <sheetData sheetId="0" refreshError="1"/>
      <sheetData sheetId="1" refreshError="1"/>
      <sheetData sheetId="2" refreshError="1"/>
      <sheetData sheetId="3" refreshError="1"/>
      <sheetData sheetId="4" refreshError="1"/>
      <sheetData sheetId="5" refreshError="1"/>
      <sheetData sheetId="6">
        <row r="1">
          <cell r="F1">
            <v>0.83155992578849702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29"/>
  <sheetViews>
    <sheetView zoomScaleNormal="100" zoomScaleSheetLayoutView="100" workbookViewId="0">
      <selection activeCell="A5" sqref="A5:C5"/>
    </sheetView>
  </sheetViews>
  <sheetFormatPr defaultColWidth="9.140625" defaultRowHeight="15.75" x14ac:dyDescent="0.25"/>
  <cols>
    <col min="1" max="1" width="30.28515625" style="26" customWidth="1"/>
    <col min="2" max="2" width="30.140625" style="26" customWidth="1"/>
    <col min="3" max="3" width="60.7109375" style="26" customWidth="1"/>
    <col min="4" max="16384" width="9.140625" style="26"/>
  </cols>
  <sheetData>
    <row r="1" spans="1:11" x14ac:dyDescent="0.25">
      <c r="A1" s="595" t="s">
        <v>115</v>
      </c>
      <c r="B1" s="595"/>
      <c r="C1" s="595"/>
    </row>
    <row r="2" spans="1:11" ht="29.25" customHeight="1" x14ac:dyDescent="0.25">
      <c r="A2" s="596" t="s">
        <v>140</v>
      </c>
      <c r="B2" s="596"/>
      <c r="C2" s="596"/>
    </row>
    <row r="3" spans="1:11" ht="25.5" customHeight="1" x14ac:dyDescent="0.25">
      <c r="A3" s="597" t="str">
        <f>НМЦ!A2</f>
        <v>на выполнение проектно-изыскательских работ по объекту:</v>
      </c>
      <c r="B3" s="597"/>
      <c r="C3" s="597"/>
    </row>
    <row r="4" spans="1:11" ht="57.75" customHeight="1" x14ac:dyDescent="0.25">
      <c r="A4" s="597" t="s">
        <v>1431</v>
      </c>
      <c r="B4" s="597"/>
      <c r="C4" s="597"/>
    </row>
    <row r="5" spans="1:11" s="102" customFormat="1" ht="99.75" customHeight="1" x14ac:dyDescent="0.25">
      <c r="A5" s="592" t="s">
        <v>141</v>
      </c>
      <c r="B5" s="592"/>
      <c r="C5" s="592"/>
    </row>
    <row r="6" spans="1:11" x14ac:dyDescent="0.25">
      <c r="A6" s="594" t="s">
        <v>100</v>
      </c>
      <c r="B6" s="594"/>
      <c r="C6" s="594"/>
    </row>
    <row r="7" spans="1:11" ht="23.25" customHeight="1" x14ac:dyDescent="0.25">
      <c r="A7" s="594" t="s">
        <v>125</v>
      </c>
      <c r="B7" s="594"/>
      <c r="C7" s="594"/>
    </row>
    <row r="8" spans="1:11" s="102" customFormat="1" ht="129.75" customHeight="1" x14ac:dyDescent="0.25">
      <c r="A8" s="588" t="s">
        <v>142</v>
      </c>
      <c r="B8" s="588"/>
      <c r="C8" s="588"/>
    </row>
    <row r="9" spans="1:11" s="102" customFormat="1" ht="22.5" customHeight="1" x14ac:dyDescent="0.25">
      <c r="A9" s="589" t="s">
        <v>126</v>
      </c>
      <c r="B9" s="589"/>
      <c r="C9" s="589"/>
    </row>
    <row r="10" spans="1:11" s="102" customFormat="1" ht="41.25" customHeight="1" x14ac:dyDescent="0.25">
      <c r="A10" s="590" t="s">
        <v>143</v>
      </c>
      <c r="B10" s="590"/>
      <c r="C10" s="590"/>
    </row>
    <row r="11" spans="1:11" s="102" customFormat="1" ht="78" customHeight="1" x14ac:dyDescent="0.25">
      <c r="A11" s="591" t="s">
        <v>165</v>
      </c>
      <c r="B11" s="591"/>
      <c r="C11" s="591"/>
      <c r="D11" s="263"/>
      <c r="E11" s="263"/>
      <c r="F11" s="263"/>
      <c r="G11" s="263"/>
      <c r="H11" s="263"/>
      <c r="I11" s="263"/>
      <c r="J11" s="263"/>
      <c r="K11" s="263"/>
    </row>
    <row r="12" spans="1:11" ht="30.75" customHeight="1" x14ac:dyDescent="0.25">
      <c r="A12" s="593" t="s">
        <v>174</v>
      </c>
      <c r="B12" s="593"/>
      <c r="C12" s="593"/>
      <c r="D12" s="27"/>
      <c r="E12" s="27"/>
      <c r="F12" s="27"/>
      <c r="G12" s="27"/>
      <c r="H12" s="27"/>
      <c r="I12" s="27"/>
      <c r="J12" s="27"/>
      <c r="K12" s="27"/>
    </row>
    <row r="13" spans="1:11" s="102" customFormat="1" ht="138" customHeight="1" x14ac:dyDescent="0.25">
      <c r="A13" s="588" t="s">
        <v>654</v>
      </c>
      <c r="B13" s="588"/>
      <c r="C13" s="588"/>
      <c r="D13" s="263"/>
      <c r="E13" s="263"/>
      <c r="F13" s="263"/>
      <c r="G13" s="263"/>
      <c r="H13" s="263"/>
      <c r="I13" s="263"/>
      <c r="J13" s="263"/>
      <c r="K13" s="263"/>
    </row>
    <row r="14" spans="1:11" s="272" customFormat="1" ht="45" customHeight="1" x14ac:dyDescent="0.25">
      <c r="A14" s="591" t="s">
        <v>144</v>
      </c>
      <c r="B14" s="591"/>
      <c r="C14" s="591"/>
    </row>
    <row r="15" spans="1:11" s="272" customFormat="1" ht="50.25" customHeight="1" x14ac:dyDescent="0.25">
      <c r="A15" s="590" t="s">
        <v>143</v>
      </c>
      <c r="B15" s="590"/>
      <c r="C15" s="590"/>
    </row>
    <row r="16" spans="1:11" s="102" customFormat="1" ht="89.25" customHeight="1" x14ac:dyDescent="0.25">
      <c r="A16" s="591" t="s">
        <v>165</v>
      </c>
      <c r="B16" s="591"/>
      <c r="C16" s="591"/>
      <c r="D16" s="263"/>
      <c r="E16" s="263"/>
      <c r="F16" s="263"/>
      <c r="G16" s="263"/>
      <c r="H16" s="263"/>
      <c r="I16" s="263"/>
      <c r="J16" s="263"/>
      <c r="K16" s="263"/>
    </row>
    <row r="17" spans="1:5" s="102" customFormat="1" ht="25.5" customHeight="1" x14ac:dyDescent="0.25">
      <c r="A17" s="592" t="s">
        <v>648</v>
      </c>
      <c r="B17" s="592"/>
      <c r="C17" s="592"/>
    </row>
    <row r="18" spans="1:5" ht="33.75" customHeight="1" x14ac:dyDescent="0.25">
      <c r="A18" s="113" t="s">
        <v>101</v>
      </c>
      <c r="B18" s="114"/>
      <c r="C18" s="115"/>
    </row>
    <row r="19" spans="1:5" s="27" customFormat="1" x14ac:dyDescent="0.25">
      <c r="A19" s="587"/>
      <c r="B19" s="587"/>
      <c r="C19" s="587"/>
    </row>
    <row r="20" spans="1:5" ht="27.75" customHeight="1" x14ac:dyDescent="0.25">
      <c r="A20" s="100"/>
      <c r="B20" s="101">
        <f>НМЦ!E22</f>
        <v>64002667.07</v>
      </c>
      <c r="C20" s="94" t="s">
        <v>102</v>
      </c>
    </row>
    <row r="21" spans="1:5" ht="27.75" customHeight="1" x14ac:dyDescent="0.25">
      <c r="A21" s="100"/>
      <c r="B21" s="101"/>
      <c r="C21" s="94"/>
    </row>
    <row r="22" spans="1:5" x14ac:dyDescent="0.25">
      <c r="A22" s="96" t="s">
        <v>129</v>
      </c>
      <c r="B22" s="97"/>
      <c r="C22" s="98"/>
    </row>
    <row r="23" spans="1:5" ht="69" customHeight="1" x14ac:dyDescent="0.25">
      <c r="A23" s="586" t="s">
        <v>149</v>
      </c>
      <c r="B23" s="586"/>
      <c r="C23" s="110" t="s">
        <v>167</v>
      </c>
    </row>
    <row r="24" spans="1:5" x14ac:dyDescent="0.25">
      <c r="A24" s="111"/>
      <c r="B24" s="111"/>
      <c r="C24" s="109"/>
      <c r="E24" s="110"/>
    </row>
    <row r="25" spans="1:5" x14ac:dyDescent="0.25">
      <c r="A25" s="112" t="s">
        <v>118</v>
      </c>
      <c r="B25" s="97"/>
      <c r="C25" s="108"/>
      <c r="E25" s="98"/>
    </row>
    <row r="26" spans="1:5" ht="61.5" customHeight="1" x14ac:dyDescent="0.25">
      <c r="A26" s="586" t="s">
        <v>170</v>
      </c>
      <c r="B26" s="586"/>
      <c r="C26" s="110" t="s">
        <v>168</v>
      </c>
    </row>
    <row r="27" spans="1:5" x14ac:dyDescent="0.25">
      <c r="A27" s="111"/>
      <c r="B27" s="111"/>
      <c r="C27" s="109"/>
      <c r="E27" s="110"/>
    </row>
    <row r="28" spans="1:5" ht="14.25" customHeight="1" x14ac:dyDescent="0.25">
      <c r="A28" s="586" t="s">
        <v>130</v>
      </c>
      <c r="B28" s="586"/>
      <c r="C28" s="108"/>
      <c r="E28" s="110"/>
    </row>
    <row r="29" spans="1:5" ht="35.25" customHeight="1" x14ac:dyDescent="0.25">
      <c r="A29" s="586" t="s">
        <v>131</v>
      </c>
      <c r="B29" s="586"/>
      <c r="C29" s="110" t="s">
        <v>169</v>
      </c>
    </row>
  </sheetData>
  <mergeCells count="22">
    <mergeCell ref="A7:C7"/>
    <mergeCell ref="A1:C1"/>
    <mergeCell ref="A2:C2"/>
    <mergeCell ref="A3:C3"/>
    <mergeCell ref="A5:C5"/>
    <mergeCell ref="A6:C6"/>
    <mergeCell ref="A4:C4"/>
    <mergeCell ref="A29:B29"/>
    <mergeCell ref="A19:C19"/>
    <mergeCell ref="A8:C8"/>
    <mergeCell ref="A9:C9"/>
    <mergeCell ref="A23:B23"/>
    <mergeCell ref="A26:B26"/>
    <mergeCell ref="A28:B28"/>
    <mergeCell ref="A10:C10"/>
    <mergeCell ref="A11:C11"/>
    <mergeCell ref="A17:C17"/>
    <mergeCell ref="A13:C13"/>
    <mergeCell ref="A14:C14"/>
    <mergeCell ref="A15:C15"/>
    <mergeCell ref="A16:C16"/>
    <mergeCell ref="A12:C12"/>
  </mergeCells>
  <pageMargins left="0.70866141732283472" right="0.70866141732283472" top="0.74803149606299213" bottom="0.74803149606299213" header="0.31496062992125984" footer="0.31496062992125984"/>
  <pageSetup paperSize="9" scale="73" fitToHeight="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
  <sheetViews>
    <sheetView showRuler="0" workbookViewId="0">
      <selection activeCell="A14" sqref="A14:P14"/>
    </sheetView>
  </sheetViews>
  <sheetFormatPr defaultRowHeight="15" x14ac:dyDescent="0.25"/>
  <cols>
    <col min="1" max="50" width="8" style="285" customWidth="1"/>
    <col min="51" max="16384" width="9.140625" style="284"/>
  </cols>
  <sheetData>
    <row r="1" spans="1:16" ht="27.2" customHeight="1" x14ac:dyDescent="0.25">
      <c r="A1" s="702" t="s">
        <v>231</v>
      </c>
      <c r="B1" s="702"/>
      <c r="C1" s="702"/>
      <c r="D1" s="702"/>
      <c r="E1" s="703" t="s">
        <v>303</v>
      </c>
      <c r="F1" s="703"/>
      <c r="G1" s="703"/>
      <c r="H1" s="703"/>
      <c r="I1" s="703"/>
      <c r="J1" s="703"/>
      <c r="K1" s="703"/>
      <c r="L1" s="703"/>
      <c r="M1" s="703"/>
      <c r="N1" s="703"/>
      <c r="O1" s="703"/>
      <c r="P1" s="703"/>
    </row>
    <row r="2" spans="1:16" ht="15" customHeight="1" x14ac:dyDescent="0.25"/>
    <row r="3" spans="1:16" ht="15" customHeight="1" x14ac:dyDescent="0.25">
      <c r="A3" s="704" t="s">
        <v>330</v>
      </c>
      <c r="B3" s="704"/>
      <c r="C3" s="704"/>
      <c r="D3" s="704"/>
      <c r="E3" s="704"/>
      <c r="F3" s="704"/>
      <c r="G3" s="704"/>
      <c r="H3" s="704"/>
      <c r="I3" s="704"/>
      <c r="J3" s="704"/>
      <c r="K3" s="704"/>
      <c r="L3" s="704"/>
      <c r="M3" s="704"/>
      <c r="N3" s="704"/>
      <c r="O3" s="704"/>
      <c r="P3" s="704"/>
    </row>
    <row r="4" spans="1:16" ht="15" customHeight="1" x14ac:dyDescent="0.25">
      <c r="A4" s="705" t="s">
        <v>657</v>
      </c>
      <c r="B4" s="705"/>
      <c r="C4" s="705"/>
      <c r="D4" s="705"/>
      <c r="E4" s="705"/>
      <c r="F4" s="705"/>
      <c r="G4" s="705"/>
      <c r="H4" s="705"/>
      <c r="I4" s="705"/>
      <c r="J4" s="705"/>
      <c r="K4" s="705"/>
      <c r="L4" s="705"/>
      <c r="M4" s="705"/>
      <c r="N4" s="705"/>
      <c r="O4" s="705"/>
      <c r="P4" s="705"/>
    </row>
    <row r="5" spans="1:16" ht="15" customHeight="1" x14ac:dyDescent="0.25"/>
    <row r="6" spans="1:16" ht="40.9" customHeight="1" x14ac:dyDescent="0.25">
      <c r="A6" s="700" t="s">
        <v>230</v>
      </c>
      <c r="B6" s="700"/>
      <c r="C6" s="700"/>
      <c r="D6" s="700"/>
      <c r="E6" s="700"/>
      <c r="F6" s="701" t="s">
        <v>1431</v>
      </c>
      <c r="G6" s="701"/>
      <c r="H6" s="701"/>
      <c r="I6" s="701"/>
      <c r="J6" s="701"/>
      <c r="K6" s="701"/>
      <c r="L6" s="701"/>
      <c r="M6" s="701"/>
      <c r="N6" s="701"/>
      <c r="O6" s="701"/>
      <c r="P6" s="701"/>
    </row>
    <row r="7" spans="1:16" ht="15" customHeight="1" x14ac:dyDescent="0.25"/>
    <row r="8" spans="1:16" ht="15" customHeight="1" x14ac:dyDescent="0.25">
      <c r="A8" s="700" t="s">
        <v>301</v>
      </c>
      <c r="B8" s="700"/>
      <c r="C8" s="700"/>
      <c r="D8" s="700"/>
      <c r="E8" s="700"/>
      <c r="F8" s="701" t="s">
        <v>328</v>
      </c>
      <c r="G8" s="701"/>
      <c r="H8" s="701"/>
      <c r="I8" s="701"/>
      <c r="J8" s="701"/>
      <c r="K8" s="701"/>
      <c r="L8" s="701"/>
      <c r="M8" s="701"/>
      <c r="N8" s="701"/>
      <c r="O8" s="701"/>
      <c r="P8" s="701"/>
    </row>
    <row r="9" spans="1:16" ht="15" customHeight="1" x14ac:dyDescent="0.25"/>
    <row r="10" spans="1:16" ht="15" customHeight="1" x14ac:dyDescent="0.25">
      <c r="A10" s="700" t="s">
        <v>299</v>
      </c>
      <c r="B10" s="700"/>
      <c r="C10" s="700"/>
      <c r="D10" s="700"/>
      <c r="E10" s="700"/>
      <c r="F10" s="701"/>
      <c r="G10" s="701"/>
      <c r="H10" s="701"/>
      <c r="I10" s="701"/>
      <c r="J10" s="701"/>
      <c r="K10" s="701"/>
      <c r="L10" s="701"/>
      <c r="M10" s="701"/>
      <c r="N10" s="701"/>
      <c r="O10" s="701"/>
      <c r="P10" s="701"/>
    </row>
    <row r="11" spans="1:16" ht="15" customHeight="1" x14ac:dyDescent="0.25"/>
    <row r="12" spans="1:16" ht="15" customHeight="1" x14ac:dyDescent="0.25">
      <c r="A12" s="700" t="s">
        <v>298</v>
      </c>
      <c r="B12" s="700"/>
      <c r="C12" s="700"/>
      <c r="D12" s="700"/>
      <c r="E12" s="700"/>
      <c r="F12" s="701"/>
      <c r="G12" s="701"/>
      <c r="H12" s="701"/>
      <c r="I12" s="701"/>
      <c r="J12" s="701"/>
      <c r="K12" s="701"/>
      <c r="L12" s="701"/>
      <c r="M12" s="701"/>
      <c r="N12" s="701"/>
      <c r="O12" s="701"/>
      <c r="P12" s="701"/>
    </row>
    <row r="13" spans="1:16" ht="15" customHeight="1" x14ac:dyDescent="0.25"/>
    <row r="14" spans="1:16" ht="27.2" customHeight="1" x14ac:dyDescent="0.25">
      <c r="A14" s="700" t="s">
        <v>297</v>
      </c>
      <c r="B14" s="700"/>
      <c r="C14" s="700"/>
      <c r="D14" s="700"/>
      <c r="E14" s="700"/>
      <c r="F14" s="700"/>
      <c r="G14" s="700"/>
      <c r="H14" s="700"/>
      <c r="I14" s="700"/>
      <c r="J14" s="700"/>
      <c r="K14" s="700"/>
      <c r="L14" s="700"/>
      <c r="M14" s="700"/>
      <c r="N14" s="700"/>
      <c r="O14" s="700"/>
      <c r="P14" s="700"/>
    </row>
    <row r="15" spans="1:16" ht="15" customHeight="1" x14ac:dyDescent="0.25"/>
    <row r="16" spans="1:16" ht="15" customHeight="1" x14ac:dyDescent="0.25">
      <c r="A16" s="700" t="s">
        <v>229</v>
      </c>
      <c r="B16" s="700"/>
      <c r="C16" s="700"/>
      <c r="D16" s="700"/>
      <c r="E16" s="700"/>
      <c r="F16" s="700"/>
      <c r="G16" s="700"/>
      <c r="H16" s="700"/>
      <c r="I16" s="700"/>
      <c r="J16" s="700"/>
      <c r="K16" s="700"/>
      <c r="L16" s="700"/>
      <c r="M16" s="700"/>
      <c r="N16" s="700"/>
      <c r="O16" s="700"/>
      <c r="P16" s="700"/>
    </row>
    <row r="17" spans="1:16" ht="15" customHeight="1" x14ac:dyDescent="0.25"/>
    <row r="18" spans="1:16" ht="15" customHeight="1" x14ac:dyDescent="0.25">
      <c r="A18" s="290" t="s">
        <v>228</v>
      </c>
      <c r="B18" s="706" t="s">
        <v>90</v>
      </c>
      <c r="C18" s="706"/>
      <c r="D18" s="706"/>
      <c r="E18" s="706"/>
      <c r="F18" s="706" t="s">
        <v>296</v>
      </c>
      <c r="G18" s="706"/>
      <c r="H18" s="706"/>
      <c r="I18" s="706"/>
      <c r="J18" s="706" t="s">
        <v>226</v>
      </c>
      <c r="K18" s="706"/>
      <c r="L18" s="706"/>
      <c r="M18" s="706" t="s">
        <v>225</v>
      </c>
      <c r="N18" s="706"/>
      <c r="O18" s="706" t="s">
        <v>224</v>
      </c>
      <c r="P18" s="706"/>
    </row>
    <row r="19" spans="1:16" ht="15" customHeight="1" x14ac:dyDescent="0.25">
      <c r="A19" s="290">
        <v>1</v>
      </c>
      <c r="B19" s="706">
        <v>2</v>
      </c>
      <c r="C19" s="706"/>
      <c r="D19" s="706"/>
      <c r="E19" s="706"/>
      <c r="F19" s="706">
        <v>3</v>
      </c>
      <c r="G19" s="706"/>
      <c r="H19" s="706"/>
      <c r="I19" s="706"/>
      <c r="J19" s="706">
        <v>4</v>
      </c>
      <c r="K19" s="706"/>
      <c r="L19" s="706"/>
      <c r="M19" s="706">
        <v>5</v>
      </c>
      <c r="N19" s="706"/>
      <c r="O19" s="706">
        <v>6</v>
      </c>
      <c r="P19" s="706"/>
    </row>
    <row r="20" spans="1:16" ht="15" customHeight="1" x14ac:dyDescent="0.25">
      <c r="A20" s="286" t="s">
        <v>223</v>
      </c>
      <c r="B20" s="707" t="s">
        <v>206</v>
      </c>
      <c r="C20" s="707"/>
      <c r="D20" s="707"/>
      <c r="E20" s="707"/>
      <c r="F20" s="707" t="s">
        <v>295</v>
      </c>
      <c r="G20" s="707"/>
      <c r="H20" s="707"/>
      <c r="I20" s="707"/>
      <c r="J20" s="707"/>
      <c r="K20" s="707"/>
      <c r="L20" s="707"/>
      <c r="M20" s="707"/>
      <c r="N20" s="707"/>
      <c r="O20" s="707"/>
      <c r="P20" s="707"/>
    </row>
    <row r="21" spans="1:16" ht="54.4" customHeight="1" x14ac:dyDescent="0.25">
      <c r="A21" s="287" t="s">
        <v>2</v>
      </c>
      <c r="B21" s="708" t="s">
        <v>285</v>
      </c>
      <c r="C21" s="709"/>
      <c r="D21" s="709"/>
      <c r="E21" s="709"/>
      <c r="F21" s="709" t="s">
        <v>294</v>
      </c>
      <c r="G21" s="709"/>
      <c r="H21" s="709"/>
      <c r="I21" s="709"/>
      <c r="J21" s="709" t="s">
        <v>293</v>
      </c>
      <c r="K21" s="709"/>
      <c r="L21" s="709"/>
      <c r="M21" s="710">
        <f>ROUND(24 * 2, 2)</f>
        <v>48</v>
      </c>
      <c r="N21" s="709"/>
      <c r="O21" s="709" t="s">
        <v>199</v>
      </c>
      <c r="P21" s="709"/>
    </row>
    <row r="22" spans="1:16" ht="54.4" customHeight="1" x14ac:dyDescent="0.25">
      <c r="A22" s="287" t="s">
        <v>3</v>
      </c>
      <c r="B22" s="708" t="s">
        <v>291</v>
      </c>
      <c r="C22" s="709"/>
      <c r="D22" s="709"/>
      <c r="E22" s="709"/>
      <c r="F22" s="709" t="s">
        <v>327</v>
      </c>
      <c r="G22" s="709"/>
      <c r="H22" s="709"/>
      <c r="I22" s="709"/>
      <c r="J22" s="709" t="s">
        <v>326</v>
      </c>
      <c r="K22" s="709"/>
      <c r="L22" s="709"/>
      <c r="M22" s="710">
        <f>ROUND(7 * 5, 2)</f>
        <v>35</v>
      </c>
      <c r="N22" s="709"/>
      <c r="O22" s="709" t="s">
        <v>199</v>
      </c>
      <c r="P22" s="709"/>
    </row>
    <row r="23" spans="1:16" ht="15" customHeight="1" x14ac:dyDescent="0.25">
      <c r="A23" s="286" t="s">
        <v>24</v>
      </c>
      <c r="B23" s="707" t="s">
        <v>288</v>
      </c>
      <c r="C23" s="707"/>
      <c r="D23" s="707"/>
      <c r="E23" s="707"/>
      <c r="F23" s="707"/>
      <c r="G23" s="707"/>
      <c r="H23" s="707"/>
      <c r="I23" s="707"/>
      <c r="J23" s="707" t="s">
        <v>199</v>
      </c>
      <c r="K23" s="707"/>
      <c r="L23" s="707"/>
      <c r="M23" s="711">
        <f>ROUND(SUM($M$21:$M$22),2)</f>
        <v>83</v>
      </c>
      <c r="N23" s="707"/>
      <c r="O23" s="707"/>
      <c r="P23" s="707"/>
    </row>
    <row r="24" spans="1:16" ht="15" customHeight="1" x14ac:dyDescent="0.25">
      <c r="A24" s="286" t="s">
        <v>26</v>
      </c>
      <c r="B24" s="707" t="s">
        <v>287</v>
      </c>
      <c r="C24" s="707"/>
      <c r="D24" s="707"/>
      <c r="E24" s="707"/>
      <c r="F24" s="707"/>
      <c r="G24" s="707"/>
      <c r="H24" s="707"/>
      <c r="I24" s="707"/>
      <c r="J24" s="707" t="s">
        <v>199</v>
      </c>
      <c r="K24" s="707"/>
      <c r="L24" s="707"/>
      <c r="M24" s="711">
        <f>ROUND(($M$23),2)</f>
        <v>83</v>
      </c>
      <c r="N24" s="707"/>
      <c r="O24" s="707"/>
      <c r="P24" s="707"/>
    </row>
    <row r="25" spans="1:16" ht="15" customHeight="1" x14ac:dyDescent="0.25">
      <c r="A25" s="286" t="s">
        <v>222</v>
      </c>
      <c r="B25" s="707" t="s">
        <v>206</v>
      </c>
      <c r="C25" s="707"/>
      <c r="D25" s="707"/>
      <c r="E25" s="707"/>
      <c r="F25" s="707" t="s">
        <v>286</v>
      </c>
      <c r="G25" s="707"/>
      <c r="H25" s="707"/>
      <c r="I25" s="707"/>
      <c r="J25" s="707"/>
      <c r="K25" s="707"/>
      <c r="L25" s="707"/>
      <c r="M25" s="707"/>
      <c r="N25" s="707"/>
      <c r="O25" s="707"/>
      <c r="P25" s="707"/>
    </row>
    <row r="26" spans="1:16" ht="54.4" customHeight="1" x14ac:dyDescent="0.25">
      <c r="A26" s="287" t="s">
        <v>5</v>
      </c>
      <c r="B26" s="708" t="s">
        <v>285</v>
      </c>
      <c r="C26" s="709"/>
      <c r="D26" s="709"/>
      <c r="E26" s="709"/>
      <c r="F26" s="709" t="s">
        <v>284</v>
      </c>
      <c r="G26" s="709"/>
      <c r="H26" s="709"/>
      <c r="I26" s="709"/>
      <c r="J26" s="709" t="s">
        <v>283</v>
      </c>
      <c r="K26" s="709"/>
      <c r="L26" s="709"/>
      <c r="M26" s="710">
        <f>ROUND(8 * 2, 2)</f>
        <v>16</v>
      </c>
      <c r="N26" s="709"/>
      <c r="O26" s="709" t="s">
        <v>199</v>
      </c>
      <c r="P26" s="709"/>
    </row>
    <row r="27" spans="1:16" ht="54.4" customHeight="1" x14ac:dyDescent="0.25">
      <c r="A27" s="287" t="s">
        <v>6</v>
      </c>
      <c r="B27" s="708" t="s">
        <v>325</v>
      </c>
      <c r="C27" s="709"/>
      <c r="D27" s="709"/>
      <c r="E27" s="709"/>
      <c r="F27" s="709" t="s">
        <v>324</v>
      </c>
      <c r="G27" s="709"/>
      <c r="H27" s="709"/>
      <c r="I27" s="709"/>
      <c r="J27" s="709" t="s">
        <v>323</v>
      </c>
      <c r="K27" s="709"/>
      <c r="L27" s="709"/>
      <c r="M27" s="710">
        <f>ROUND(105 * 1, 2)</f>
        <v>105</v>
      </c>
      <c r="N27" s="709"/>
      <c r="O27" s="709" t="s">
        <v>199</v>
      </c>
      <c r="P27" s="709"/>
    </row>
    <row r="28" spans="1:16" ht="68.099999999999994" customHeight="1" x14ac:dyDescent="0.25">
      <c r="A28" s="287" t="s">
        <v>221</v>
      </c>
      <c r="B28" s="708" t="s">
        <v>322</v>
      </c>
      <c r="C28" s="709"/>
      <c r="D28" s="709"/>
      <c r="E28" s="709"/>
      <c r="F28" s="709" t="s">
        <v>321</v>
      </c>
      <c r="G28" s="709"/>
      <c r="H28" s="709"/>
      <c r="I28" s="709"/>
      <c r="J28" s="709" t="s">
        <v>320</v>
      </c>
      <c r="K28" s="709"/>
      <c r="L28" s="709"/>
      <c r="M28" s="710">
        <f>ROUND(61 * 1, 2)</f>
        <v>61</v>
      </c>
      <c r="N28" s="709"/>
      <c r="O28" s="709" t="s">
        <v>199</v>
      </c>
      <c r="P28" s="709"/>
    </row>
    <row r="29" spans="1:16" ht="95.25" customHeight="1" x14ac:dyDescent="0.25">
      <c r="A29" s="287" t="s">
        <v>220</v>
      </c>
      <c r="B29" s="708" t="s">
        <v>319</v>
      </c>
      <c r="C29" s="709"/>
      <c r="D29" s="709"/>
      <c r="E29" s="709"/>
      <c r="F29" s="709" t="s">
        <v>318</v>
      </c>
      <c r="G29" s="709"/>
      <c r="H29" s="709"/>
      <c r="I29" s="709"/>
      <c r="J29" s="709" t="s">
        <v>317</v>
      </c>
      <c r="K29" s="709"/>
      <c r="L29" s="709"/>
      <c r="M29" s="710">
        <f>ROUND(90 * 2, 2)</f>
        <v>180</v>
      </c>
      <c r="N29" s="709"/>
      <c r="O29" s="709" t="s">
        <v>199</v>
      </c>
      <c r="P29" s="709"/>
    </row>
    <row r="30" spans="1:16" ht="54.4" customHeight="1" x14ac:dyDescent="0.25">
      <c r="A30" s="287" t="s">
        <v>219</v>
      </c>
      <c r="B30" s="708" t="s">
        <v>316</v>
      </c>
      <c r="C30" s="709"/>
      <c r="D30" s="709"/>
      <c r="E30" s="709"/>
      <c r="F30" s="709" t="s">
        <v>315</v>
      </c>
      <c r="G30" s="709"/>
      <c r="H30" s="709"/>
      <c r="I30" s="709"/>
      <c r="J30" s="709" t="s">
        <v>314</v>
      </c>
      <c r="K30" s="709"/>
      <c r="L30" s="709"/>
      <c r="M30" s="710">
        <f>ROUND(116 * 2, 2)</f>
        <v>232</v>
      </c>
      <c r="N30" s="709"/>
      <c r="O30" s="709" t="s">
        <v>199</v>
      </c>
      <c r="P30" s="709"/>
    </row>
    <row r="31" spans="1:16" ht="54.4" customHeight="1" x14ac:dyDescent="0.25">
      <c r="A31" s="287" t="s">
        <v>275</v>
      </c>
      <c r="B31" s="708" t="s">
        <v>313</v>
      </c>
      <c r="C31" s="709"/>
      <c r="D31" s="709"/>
      <c r="E31" s="709"/>
      <c r="F31" s="709" t="s">
        <v>312</v>
      </c>
      <c r="G31" s="709"/>
      <c r="H31" s="709"/>
      <c r="I31" s="709"/>
      <c r="J31" s="709" t="s">
        <v>311</v>
      </c>
      <c r="K31" s="709"/>
      <c r="L31" s="709"/>
      <c r="M31" s="710">
        <f>ROUND(49 * 1, 2)</f>
        <v>49</v>
      </c>
      <c r="N31" s="709"/>
      <c r="O31" s="709" t="s">
        <v>199</v>
      </c>
      <c r="P31" s="709"/>
    </row>
    <row r="32" spans="1:16" ht="68.099999999999994" customHeight="1" x14ac:dyDescent="0.25">
      <c r="A32" s="287" t="s">
        <v>270</v>
      </c>
      <c r="B32" s="708" t="s">
        <v>310</v>
      </c>
      <c r="C32" s="709"/>
      <c r="D32" s="709"/>
      <c r="E32" s="709"/>
      <c r="F32" s="709" t="s">
        <v>309</v>
      </c>
      <c r="G32" s="709"/>
      <c r="H32" s="709"/>
      <c r="I32" s="709"/>
      <c r="J32" s="709" t="s">
        <v>308</v>
      </c>
      <c r="K32" s="709"/>
      <c r="L32" s="709"/>
      <c r="M32" s="710">
        <f>ROUND(243 * 1, 2)</f>
        <v>243</v>
      </c>
      <c r="N32" s="709"/>
      <c r="O32" s="709" t="s">
        <v>199</v>
      </c>
      <c r="P32" s="709"/>
    </row>
    <row r="33" spans="1:16" ht="54.4" customHeight="1" x14ac:dyDescent="0.25">
      <c r="A33" s="287" t="s">
        <v>265</v>
      </c>
      <c r="B33" s="708" t="s">
        <v>307</v>
      </c>
      <c r="C33" s="709"/>
      <c r="D33" s="709"/>
      <c r="E33" s="709"/>
      <c r="F33" s="709" t="s">
        <v>306</v>
      </c>
      <c r="G33" s="709"/>
      <c r="H33" s="709"/>
      <c r="I33" s="709"/>
      <c r="J33" s="709" t="s">
        <v>305</v>
      </c>
      <c r="K33" s="709"/>
      <c r="L33" s="709"/>
      <c r="M33" s="710">
        <f>ROUND(886 * 65 / 100 * 1.25, 2)</f>
        <v>719.88</v>
      </c>
      <c r="N33" s="709"/>
      <c r="O33" s="709" t="s">
        <v>199</v>
      </c>
      <c r="P33" s="709"/>
    </row>
    <row r="34" spans="1:16" ht="15" customHeight="1" x14ac:dyDescent="0.25">
      <c r="A34" s="289"/>
      <c r="B34" s="712" t="s">
        <v>204</v>
      </c>
      <c r="C34" s="712"/>
      <c r="D34" s="712"/>
      <c r="E34" s="712"/>
      <c r="F34" s="712" t="s">
        <v>199</v>
      </c>
      <c r="G34" s="712"/>
      <c r="H34" s="712"/>
      <c r="I34" s="712"/>
      <c r="J34" s="712" t="s">
        <v>199</v>
      </c>
      <c r="K34" s="712"/>
      <c r="L34" s="712"/>
      <c r="M34" s="712"/>
      <c r="N34" s="712"/>
      <c r="O34" s="712"/>
      <c r="P34" s="712"/>
    </row>
    <row r="35" spans="1:16" ht="54.4" customHeight="1" x14ac:dyDescent="0.25">
      <c r="A35" s="288"/>
      <c r="B35" s="713" t="s">
        <v>261</v>
      </c>
      <c r="C35" s="713"/>
      <c r="D35" s="713"/>
      <c r="E35" s="713"/>
      <c r="F35" s="713" t="s">
        <v>260</v>
      </c>
      <c r="G35" s="713"/>
      <c r="H35" s="713"/>
      <c r="I35" s="713"/>
      <c r="J35" s="713" t="s">
        <v>199</v>
      </c>
      <c r="K35" s="713"/>
      <c r="L35" s="713"/>
      <c r="M35" s="713"/>
      <c r="N35" s="713"/>
      <c r="O35" s="713"/>
      <c r="P35" s="713"/>
    </row>
    <row r="36" spans="1:16" ht="40.9" customHeight="1" x14ac:dyDescent="0.25">
      <c r="A36" s="287" t="s">
        <v>259</v>
      </c>
      <c r="B36" s="708" t="s">
        <v>258</v>
      </c>
      <c r="C36" s="709"/>
      <c r="D36" s="709"/>
      <c r="E36" s="709"/>
      <c r="F36" s="709" t="s">
        <v>257</v>
      </c>
      <c r="G36" s="709"/>
      <c r="H36" s="709"/>
      <c r="I36" s="709"/>
      <c r="J36" s="709" t="s">
        <v>256</v>
      </c>
      <c r="K36" s="709"/>
      <c r="L36" s="709"/>
      <c r="M36" s="710">
        <f>ROUND(450 * 1, 2)</f>
        <v>450</v>
      </c>
      <c r="N36" s="709"/>
      <c r="O36" s="709" t="s">
        <v>199</v>
      </c>
      <c r="P36" s="709"/>
    </row>
    <row r="37" spans="1:16" ht="15" customHeight="1" x14ac:dyDescent="0.25">
      <c r="A37" s="286" t="s">
        <v>255</v>
      </c>
      <c r="B37" s="707" t="s">
        <v>254</v>
      </c>
      <c r="C37" s="707"/>
      <c r="D37" s="707"/>
      <c r="E37" s="707"/>
      <c r="F37" s="707"/>
      <c r="G37" s="707"/>
      <c r="H37" s="707"/>
      <c r="I37" s="707"/>
      <c r="J37" s="707" t="s">
        <v>199</v>
      </c>
      <c r="K37" s="707"/>
      <c r="L37" s="707"/>
      <c r="M37" s="711">
        <f>ROUND(SUM($M$26:$M$36),2)</f>
        <v>2055.88</v>
      </c>
      <c r="N37" s="707"/>
      <c r="O37" s="707"/>
      <c r="P37" s="707"/>
    </row>
    <row r="38" spans="1:16" ht="15" customHeight="1" x14ac:dyDescent="0.25">
      <c r="A38" s="286" t="s">
        <v>253</v>
      </c>
      <c r="B38" s="707" t="s">
        <v>252</v>
      </c>
      <c r="C38" s="707"/>
      <c r="D38" s="707"/>
      <c r="E38" s="707"/>
      <c r="F38" s="707"/>
      <c r="G38" s="707"/>
      <c r="H38" s="707"/>
      <c r="I38" s="707"/>
      <c r="J38" s="707" t="s">
        <v>199</v>
      </c>
      <c r="K38" s="707"/>
      <c r="L38" s="707"/>
      <c r="M38" s="711">
        <f>ROUND(($M$37),2)</f>
        <v>2055.88</v>
      </c>
      <c r="N38" s="707"/>
      <c r="O38" s="707"/>
      <c r="P38" s="707"/>
    </row>
    <row r="39" spans="1:16" ht="15" customHeight="1" x14ac:dyDescent="0.25">
      <c r="A39" s="286" t="s">
        <v>218</v>
      </c>
      <c r="B39" s="707" t="s">
        <v>206</v>
      </c>
      <c r="C39" s="707"/>
      <c r="D39" s="707"/>
      <c r="E39" s="707"/>
      <c r="F39" s="707" t="s">
        <v>251</v>
      </c>
      <c r="G39" s="707"/>
      <c r="H39" s="707"/>
      <c r="I39" s="707"/>
      <c r="J39" s="707"/>
      <c r="K39" s="707"/>
      <c r="L39" s="707"/>
      <c r="M39" s="707"/>
      <c r="N39" s="707"/>
      <c r="O39" s="707"/>
      <c r="P39" s="707"/>
    </row>
    <row r="40" spans="1:16" ht="81.599999999999994" customHeight="1" x14ac:dyDescent="0.25">
      <c r="A40" s="286" t="s">
        <v>217</v>
      </c>
      <c r="B40" s="714" t="s">
        <v>656</v>
      </c>
      <c r="C40" s="714"/>
      <c r="D40" s="714"/>
      <c r="E40" s="714"/>
      <c r="F40" s="714" t="s">
        <v>250</v>
      </c>
      <c r="G40" s="714"/>
      <c r="H40" s="714"/>
      <c r="I40" s="714"/>
      <c r="J40" s="714" t="s">
        <v>655</v>
      </c>
      <c r="K40" s="714"/>
      <c r="L40" s="714"/>
      <c r="M40" s="715">
        <f>ROUND(($M$24) * 0.25,2)</f>
        <v>20.75</v>
      </c>
      <c r="N40" s="714"/>
      <c r="O40" s="714" t="s">
        <v>199</v>
      </c>
      <c r="P40" s="714"/>
    </row>
    <row r="41" spans="1:16" ht="68.099999999999994" customHeight="1" x14ac:dyDescent="0.25">
      <c r="A41" s="286" t="s">
        <v>216</v>
      </c>
      <c r="B41" s="714" t="s">
        <v>249</v>
      </c>
      <c r="C41" s="714"/>
      <c r="D41" s="714"/>
      <c r="E41" s="714"/>
      <c r="F41" s="714" t="s">
        <v>248</v>
      </c>
      <c r="G41" s="714"/>
      <c r="H41" s="714"/>
      <c r="I41" s="714"/>
      <c r="J41" s="714" t="s">
        <v>247</v>
      </c>
      <c r="K41" s="714"/>
      <c r="L41" s="714"/>
      <c r="M41" s="715">
        <f>ROUND(($M$24+$M$40) * (8.75/100),2)</f>
        <v>9.08</v>
      </c>
      <c r="N41" s="714"/>
      <c r="O41" s="714" t="s">
        <v>199</v>
      </c>
      <c r="P41" s="714"/>
    </row>
    <row r="42" spans="1:16" ht="68.099999999999994" customHeight="1" x14ac:dyDescent="0.25">
      <c r="A42" s="286" t="s">
        <v>215</v>
      </c>
      <c r="B42" s="714" t="s">
        <v>246</v>
      </c>
      <c r="C42" s="714"/>
      <c r="D42" s="714"/>
      <c r="E42" s="714"/>
      <c r="F42" s="714" t="s">
        <v>245</v>
      </c>
      <c r="G42" s="714"/>
      <c r="H42" s="714"/>
      <c r="I42" s="714"/>
      <c r="J42" s="714" t="s">
        <v>244</v>
      </c>
      <c r="K42" s="714"/>
      <c r="L42" s="714"/>
      <c r="M42" s="715">
        <f>ROUND(($M$24+SUM($M$40:$M$41)) * (36.4/100),2)</f>
        <v>41.07</v>
      </c>
      <c r="N42" s="714"/>
      <c r="O42" s="714" t="s">
        <v>199</v>
      </c>
      <c r="P42" s="714"/>
    </row>
    <row r="43" spans="1:16" ht="68.099999999999994" customHeight="1" x14ac:dyDescent="0.25">
      <c r="A43" s="286" t="s">
        <v>214</v>
      </c>
      <c r="B43" s="714" t="s">
        <v>243</v>
      </c>
      <c r="C43" s="714"/>
      <c r="D43" s="714"/>
      <c r="E43" s="714"/>
      <c r="F43" s="714" t="s">
        <v>242</v>
      </c>
      <c r="G43" s="714"/>
      <c r="H43" s="714"/>
      <c r="I43" s="714"/>
      <c r="J43" s="714" t="s">
        <v>241</v>
      </c>
      <c r="K43" s="714"/>
      <c r="L43" s="714"/>
      <c r="M43" s="715">
        <f>ROUND(($M$24+SUM($M$40:$M$41)) * (2.5 * 6/100),2)</f>
        <v>16.920000000000002</v>
      </c>
      <c r="N43" s="714"/>
      <c r="O43" s="714" t="s">
        <v>199</v>
      </c>
      <c r="P43" s="714"/>
    </row>
    <row r="44" spans="1:16" ht="15" customHeight="1" x14ac:dyDescent="0.25">
      <c r="A44" s="286" t="s">
        <v>213</v>
      </c>
      <c r="B44" s="707" t="s">
        <v>240</v>
      </c>
      <c r="C44" s="707"/>
      <c r="D44" s="707"/>
      <c r="E44" s="707"/>
      <c r="F44" s="707"/>
      <c r="G44" s="707"/>
      <c r="H44" s="707"/>
      <c r="I44" s="707"/>
      <c r="J44" s="707" t="s">
        <v>199</v>
      </c>
      <c r="K44" s="707"/>
      <c r="L44" s="707"/>
      <c r="M44" s="711">
        <f>ROUND((SUM($M$40:$M$43)),2)</f>
        <v>87.82</v>
      </c>
      <c r="N44" s="707"/>
      <c r="O44" s="707"/>
      <c r="P44" s="707"/>
    </row>
    <row r="45" spans="1:16" ht="15" customHeight="1" x14ac:dyDescent="0.25">
      <c r="A45" s="286" t="s">
        <v>212</v>
      </c>
      <c r="B45" s="707" t="s">
        <v>202</v>
      </c>
      <c r="C45" s="707"/>
      <c r="D45" s="707"/>
      <c r="E45" s="707"/>
      <c r="F45" s="707"/>
      <c r="G45" s="707"/>
      <c r="H45" s="707"/>
      <c r="I45" s="707"/>
      <c r="J45" s="707" t="s">
        <v>199</v>
      </c>
      <c r="K45" s="707"/>
      <c r="L45" s="707"/>
      <c r="M45" s="711">
        <f>ROUND($M$24+$M$38+$M$44,2)</f>
        <v>2226.6999999999998</v>
      </c>
      <c r="N45" s="707"/>
      <c r="O45" s="707"/>
      <c r="P45" s="707"/>
    </row>
    <row r="46" spans="1:16" ht="27.2" customHeight="1" x14ac:dyDescent="0.25">
      <c r="A46" s="286" t="s">
        <v>207</v>
      </c>
      <c r="B46" s="714" t="s">
        <v>239</v>
      </c>
      <c r="C46" s="714"/>
      <c r="D46" s="714"/>
      <c r="E46" s="714"/>
      <c r="F46" s="714" t="s">
        <v>199</v>
      </c>
      <c r="G46" s="714"/>
      <c r="H46" s="714"/>
      <c r="I46" s="714"/>
      <c r="J46" s="714" t="s">
        <v>238</v>
      </c>
      <c r="K46" s="714"/>
      <c r="L46" s="714"/>
      <c r="M46" s="715">
        <f>ROUND($M$45,2)</f>
        <v>2226.6999999999998</v>
      </c>
      <c r="N46" s="714"/>
      <c r="O46" s="714" t="s">
        <v>199</v>
      </c>
      <c r="P46" s="714"/>
    </row>
    <row r="47" spans="1:16" ht="40.9" customHeight="1" x14ac:dyDescent="0.25">
      <c r="A47" s="286" t="s">
        <v>203</v>
      </c>
      <c r="B47" s="714" t="s">
        <v>237</v>
      </c>
      <c r="C47" s="714"/>
      <c r="D47" s="714"/>
      <c r="E47" s="714"/>
      <c r="F47" s="714" t="s">
        <v>236</v>
      </c>
      <c r="G47" s="714"/>
      <c r="H47" s="714"/>
      <c r="I47" s="714"/>
      <c r="J47" s="714" t="s">
        <v>235</v>
      </c>
      <c r="K47" s="714"/>
      <c r="L47" s="714"/>
      <c r="M47" s="715">
        <f>ROUND(($M$46) * 80.58,2)</f>
        <v>179427.49</v>
      </c>
      <c r="N47" s="714"/>
      <c r="O47" s="714" t="s">
        <v>199</v>
      </c>
      <c r="P47" s="714"/>
    </row>
    <row r="48" spans="1:16" ht="15" customHeight="1" x14ac:dyDescent="0.25">
      <c r="A48" s="286" t="s">
        <v>201</v>
      </c>
      <c r="B48" s="707" t="s">
        <v>200</v>
      </c>
      <c r="C48" s="707"/>
      <c r="D48" s="707"/>
      <c r="E48" s="707"/>
      <c r="F48" s="707"/>
      <c r="G48" s="707"/>
      <c r="H48" s="707"/>
      <c r="I48" s="707"/>
      <c r="J48" s="707" t="s">
        <v>199</v>
      </c>
      <c r="K48" s="707"/>
      <c r="L48" s="707"/>
      <c r="M48" s="711">
        <f>ROUND(($M$47),2)</f>
        <v>179427.49</v>
      </c>
      <c r="N48" s="707"/>
      <c r="O48" s="707"/>
      <c r="P48" s="707"/>
    </row>
    <row r="49" spans="1:16" ht="15" customHeight="1" x14ac:dyDescent="0.25"/>
    <row r="50" spans="1:16" ht="30" customHeight="1" x14ac:dyDescent="0.25">
      <c r="A50" s="700" t="s">
        <v>198</v>
      </c>
      <c r="B50" s="700"/>
      <c r="C50" s="700"/>
      <c r="D50" s="700"/>
      <c r="E50" s="700"/>
      <c r="F50" s="716">
        <f>$M$48</f>
        <v>179427.49</v>
      </c>
      <c r="G50" s="716"/>
      <c r="H50" s="716"/>
      <c r="I50" s="716"/>
      <c r="J50" s="716"/>
      <c r="K50" s="716"/>
      <c r="L50" s="716"/>
      <c r="M50" s="716"/>
      <c r="N50" s="716"/>
      <c r="O50" s="716"/>
      <c r="P50" s="716"/>
    </row>
  </sheetData>
  <mergeCells count="171">
    <mergeCell ref="A50:E50"/>
    <mergeCell ref="F50:P50"/>
    <mergeCell ref="B46:E46"/>
    <mergeCell ref="F46:I46"/>
    <mergeCell ref="J46:L46"/>
    <mergeCell ref="M46:N46"/>
    <mergeCell ref="O46:P46"/>
    <mergeCell ref="B47:E47"/>
    <mergeCell ref="F47:I47"/>
    <mergeCell ref="J47:L47"/>
    <mergeCell ref="B45:E45"/>
    <mergeCell ref="F45:I45"/>
    <mergeCell ref="J45:L45"/>
    <mergeCell ref="M45:N45"/>
    <mergeCell ref="O45:P45"/>
    <mergeCell ref="B48:E48"/>
    <mergeCell ref="F48:I48"/>
    <mergeCell ref="J48:L48"/>
    <mergeCell ref="M48:N48"/>
    <mergeCell ref="O48:P48"/>
    <mergeCell ref="M47:N47"/>
    <mergeCell ref="O47:P47"/>
    <mergeCell ref="B43:E43"/>
    <mergeCell ref="F43:I43"/>
    <mergeCell ref="J43:L43"/>
    <mergeCell ref="M43:N43"/>
    <mergeCell ref="O43:P43"/>
    <mergeCell ref="B44:E44"/>
    <mergeCell ref="F44:I44"/>
    <mergeCell ref="J44:L44"/>
    <mergeCell ref="M44:N44"/>
    <mergeCell ref="O44:P44"/>
    <mergeCell ref="B41:E41"/>
    <mergeCell ref="F41:I41"/>
    <mergeCell ref="J41:L41"/>
    <mergeCell ref="M41:N41"/>
    <mergeCell ref="O41:P41"/>
    <mergeCell ref="B42:E42"/>
    <mergeCell ref="F42:I42"/>
    <mergeCell ref="J42:L42"/>
    <mergeCell ref="M42:N42"/>
    <mergeCell ref="O42:P42"/>
    <mergeCell ref="B39:E39"/>
    <mergeCell ref="F39:I39"/>
    <mergeCell ref="J39:L39"/>
    <mergeCell ref="M39:N39"/>
    <mergeCell ref="O39:P39"/>
    <mergeCell ref="B40:E40"/>
    <mergeCell ref="F40:I40"/>
    <mergeCell ref="J40:L40"/>
    <mergeCell ref="M40:N40"/>
    <mergeCell ref="O40:P40"/>
    <mergeCell ref="B37:E37"/>
    <mergeCell ref="F37:I37"/>
    <mergeCell ref="J37:L37"/>
    <mergeCell ref="M37:N37"/>
    <mergeCell ref="O37:P37"/>
    <mergeCell ref="B38:E38"/>
    <mergeCell ref="F38:I38"/>
    <mergeCell ref="J38:L38"/>
    <mergeCell ref="M38:N38"/>
    <mergeCell ref="O38:P38"/>
    <mergeCell ref="B35:E35"/>
    <mergeCell ref="F35:I35"/>
    <mergeCell ref="J35:L35"/>
    <mergeCell ref="M35:N35"/>
    <mergeCell ref="O35:P35"/>
    <mergeCell ref="B36:E36"/>
    <mergeCell ref="F36:I36"/>
    <mergeCell ref="J36:L36"/>
    <mergeCell ref="M36:N36"/>
    <mergeCell ref="O36:P36"/>
    <mergeCell ref="B33:E33"/>
    <mergeCell ref="F33:I33"/>
    <mergeCell ref="J33:L33"/>
    <mergeCell ref="M33:N33"/>
    <mergeCell ref="O33:P33"/>
    <mergeCell ref="B34:E34"/>
    <mergeCell ref="F34:I34"/>
    <mergeCell ref="J34:L34"/>
    <mergeCell ref="M34:N34"/>
    <mergeCell ref="O34:P34"/>
    <mergeCell ref="B31:E31"/>
    <mergeCell ref="F31:I31"/>
    <mergeCell ref="J31:L31"/>
    <mergeCell ref="M31:N31"/>
    <mergeCell ref="O31:P31"/>
    <mergeCell ref="B32:E32"/>
    <mergeCell ref="F32:I32"/>
    <mergeCell ref="J32:L32"/>
    <mergeCell ref="M32:N32"/>
    <mergeCell ref="O32:P32"/>
    <mergeCell ref="B29:E29"/>
    <mergeCell ref="F29:I29"/>
    <mergeCell ref="J29:L29"/>
    <mergeCell ref="M29:N29"/>
    <mergeCell ref="O29:P29"/>
    <mergeCell ref="B30:E30"/>
    <mergeCell ref="F30:I30"/>
    <mergeCell ref="J30:L30"/>
    <mergeCell ref="M30:N30"/>
    <mergeCell ref="O30:P30"/>
    <mergeCell ref="B27:E27"/>
    <mergeCell ref="F27:I27"/>
    <mergeCell ref="J27:L27"/>
    <mergeCell ref="M27:N27"/>
    <mergeCell ref="O27:P27"/>
    <mergeCell ref="B28:E28"/>
    <mergeCell ref="F28:I28"/>
    <mergeCell ref="J28:L28"/>
    <mergeCell ref="M28:N28"/>
    <mergeCell ref="O28:P28"/>
    <mergeCell ref="B25:E25"/>
    <mergeCell ref="F25:I25"/>
    <mergeCell ref="J25:L25"/>
    <mergeCell ref="M25:N25"/>
    <mergeCell ref="O25:P25"/>
    <mergeCell ref="B26:E26"/>
    <mergeCell ref="F26:I26"/>
    <mergeCell ref="J26:L26"/>
    <mergeCell ref="M26:N26"/>
    <mergeCell ref="O26:P26"/>
    <mergeCell ref="B23:E23"/>
    <mergeCell ref="F23:I23"/>
    <mergeCell ref="J23:L23"/>
    <mergeCell ref="M23:N23"/>
    <mergeCell ref="O23:P23"/>
    <mergeCell ref="B24:E24"/>
    <mergeCell ref="F24:I24"/>
    <mergeCell ref="J24:L24"/>
    <mergeCell ref="M24:N24"/>
    <mergeCell ref="O24:P24"/>
    <mergeCell ref="B21:E21"/>
    <mergeCell ref="F21:I21"/>
    <mergeCell ref="J21:L21"/>
    <mergeCell ref="M21:N21"/>
    <mergeCell ref="O21:P21"/>
    <mergeCell ref="B22:E22"/>
    <mergeCell ref="F22:I22"/>
    <mergeCell ref="J22:L22"/>
    <mergeCell ref="M22:N22"/>
    <mergeCell ref="O22:P22"/>
    <mergeCell ref="O18:P18"/>
    <mergeCell ref="O19:P19"/>
    <mergeCell ref="B20:E20"/>
    <mergeCell ref="F20:I20"/>
    <mergeCell ref="J20:L20"/>
    <mergeCell ref="M20:N20"/>
    <mergeCell ref="O20:P20"/>
    <mergeCell ref="A14:P14"/>
    <mergeCell ref="A16:P16"/>
    <mergeCell ref="B18:E18"/>
    <mergeCell ref="B19:E19"/>
    <mergeCell ref="F18:I18"/>
    <mergeCell ref="F19:I19"/>
    <mergeCell ref="J18:L18"/>
    <mergeCell ref="J19:L19"/>
    <mergeCell ref="M18:N18"/>
    <mergeCell ref="M19:N19"/>
    <mergeCell ref="A8:E8"/>
    <mergeCell ref="F8:P8"/>
    <mergeCell ref="A10:E10"/>
    <mergeCell ref="F10:P10"/>
    <mergeCell ref="A12:E12"/>
    <mergeCell ref="F12:P12"/>
    <mergeCell ref="A1:D1"/>
    <mergeCell ref="E1:P1"/>
    <mergeCell ref="A3:P3"/>
    <mergeCell ref="A4:P4"/>
    <mergeCell ref="A6:E6"/>
    <mergeCell ref="F6:P6"/>
  </mergeCells>
  <pageMargins left="0.4" right="0.4" top="0.75" bottom="0.75" header="0.3" footer="0.3"/>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54"/>
  <sheetViews>
    <sheetView zoomScale="80" zoomScaleNormal="80" workbookViewId="0">
      <selection activeCell="D9" sqref="D9"/>
    </sheetView>
  </sheetViews>
  <sheetFormatPr defaultRowHeight="15" x14ac:dyDescent="0.25"/>
  <cols>
    <col min="2" max="2" width="68.28515625" customWidth="1"/>
    <col min="3" max="3" width="17.42578125" customWidth="1"/>
    <col min="4" max="4" width="51.28515625" customWidth="1"/>
    <col min="5" max="5" width="15.28515625" customWidth="1"/>
    <col min="8" max="8" width="27.42578125" customWidth="1"/>
    <col min="9" max="9" width="16.85546875" customWidth="1"/>
    <col min="10" max="10" width="35" customWidth="1"/>
  </cols>
  <sheetData>
    <row r="1" spans="1:9" ht="15.75" x14ac:dyDescent="0.25">
      <c r="A1" s="718" t="s">
        <v>549</v>
      </c>
      <c r="B1" s="718"/>
      <c r="C1" s="718"/>
      <c r="D1" s="718"/>
      <c r="E1" s="718"/>
      <c r="F1" s="718"/>
      <c r="G1" s="718"/>
      <c r="H1" s="718"/>
      <c r="I1" s="718"/>
    </row>
    <row r="2" spans="1:9" ht="15.75" x14ac:dyDescent="0.25">
      <c r="A2" s="718" t="s">
        <v>548</v>
      </c>
      <c r="B2" s="718"/>
      <c r="C2" s="718"/>
      <c r="D2" s="718"/>
      <c r="E2" s="718"/>
      <c r="F2" s="718"/>
      <c r="G2" s="718"/>
      <c r="H2" s="718"/>
      <c r="I2" s="718"/>
    </row>
    <row r="3" spans="1:9" ht="50.25" customHeight="1" x14ac:dyDescent="0.25">
      <c r="A3" s="719" t="str">
        <f>Пояснительная!$A$4</f>
        <v>Всесезонный туристско-рекреационный комплекс «Эльбрус», Кабардино-Балкарская Республика. Пассажирская подвесная канатная дорога и буксировочная канатная дорога, расположенные по адресу: южный склон г. Эльбрус в районе ледника Гарабаши</v>
      </c>
      <c r="B3" s="719"/>
      <c r="C3" s="719"/>
      <c r="D3" s="719"/>
      <c r="E3" s="719"/>
      <c r="F3" s="719"/>
      <c r="G3" s="719"/>
      <c r="H3" s="719"/>
      <c r="I3" s="719"/>
    </row>
    <row r="4" spans="1:9" ht="9" customHeight="1" x14ac:dyDescent="0.25">
      <c r="A4" s="217"/>
      <c r="B4" s="217"/>
      <c r="C4" s="217"/>
      <c r="D4" s="217"/>
      <c r="E4" s="216"/>
      <c r="F4" s="217"/>
      <c r="G4" s="217"/>
      <c r="H4" s="217"/>
      <c r="I4" s="216"/>
    </row>
    <row r="5" spans="1:9" ht="16.5" customHeight="1" x14ac:dyDescent="0.25">
      <c r="A5" s="217" t="s">
        <v>547</v>
      </c>
      <c r="B5" s="217"/>
      <c r="C5" s="217"/>
      <c r="D5" s="217"/>
      <c r="E5" s="216"/>
      <c r="F5" s="217"/>
      <c r="G5" s="217"/>
      <c r="H5" s="217"/>
      <c r="I5" s="216"/>
    </row>
    <row r="6" spans="1:9" ht="15.6" customHeight="1" x14ac:dyDescent="0.25">
      <c r="A6" s="720" t="s">
        <v>546</v>
      </c>
      <c r="B6" s="721"/>
      <c r="C6" s="721"/>
      <c r="D6" s="721"/>
      <c r="E6" s="721"/>
      <c r="F6" s="721"/>
      <c r="G6" s="721"/>
      <c r="H6" s="721"/>
      <c r="I6" s="722"/>
    </row>
    <row r="7" spans="1:9" ht="15.6" customHeight="1" x14ac:dyDescent="0.25">
      <c r="A7" s="723" t="s">
        <v>545</v>
      </c>
      <c r="B7" s="723"/>
      <c r="C7" s="723"/>
      <c r="D7" s="723"/>
      <c r="E7" s="214"/>
      <c r="F7" s="215"/>
      <c r="G7" s="215"/>
      <c r="H7" s="215"/>
      <c r="I7" s="214"/>
    </row>
    <row r="8" spans="1:9" ht="17.25" customHeight="1" x14ac:dyDescent="0.25">
      <c r="A8" s="717" t="s">
        <v>544</v>
      </c>
      <c r="B8" s="717"/>
      <c r="C8" s="717"/>
      <c r="D8" s="717"/>
      <c r="E8" s="717"/>
      <c r="F8" s="717"/>
      <c r="G8" s="717"/>
      <c r="H8" s="717"/>
      <c r="I8" s="717"/>
    </row>
    <row r="9" spans="1:9" ht="15.75" x14ac:dyDescent="0.25">
      <c r="A9" s="212"/>
      <c r="B9" s="212"/>
      <c r="C9" s="212"/>
      <c r="D9" s="212"/>
      <c r="E9" s="213"/>
      <c r="F9" s="212"/>
      <c r="G9" s="212"/>
      <c r="H9" s="212"/>
      <c r="I9" s="211" t="s">
        <v>543</v>
      </c>
    </row>
    <row r="10" spans="1:9" ht="15" customHeight="1" x14ac:dyDescent="0.25">
      <c r="A10" s="730" t="s">
        <v>1</v>
      </c>
      <c r="B10" s="731" t="s">
        <v>7</v>
      </c>
      <c r="C10" s="732" t="s">
        <v>542</v>
      </c>
      <c r="D10" s="731" t="s">
        <v>541</v>
      </c>
      <c r="E10" s="732" t="s">
        <v>540</v>
      </c>
      <c r="F10" s="732"/>
      <c r="G10" s="732"/>
      <c r="H10" s="732"/>
      <c r="I10" s="732"/>
    </row>
    <row r="11" spans="1:9" ht="67.5" customHeight="1" x14ac:dyDescent="0.25">
      <c r="A11" s="730"/>
      <c r="B11" s="731"/>
      <c r="C11" s="732"/>
      <c r="D11" s="731"/>
      <c r="E11" s="510" t="s">
        <v>539</v>
      </c>
      <c r="F11" s="389" t="s">
        <v>175</v>
      </c>
      <c r="G11" s="389" t="s">
        <v>538</v>
      </c>
      <c r="H11" s="389" t="s">
        <v>537</v>
      </c>
      <c r="I11" s="510" t="s">
        <v>225</v>
      </c>
    </row>
    <row r="12" spans="1:9" ht="15.75" x14ac:dyDescent="0.25">
      <c r="A12" s="511">
        <v>1</v>
      </c>
      <c r="B12" s="512" t="s">
        <v>222</v>
      </c>
      <c r="C12" s="511">
        <v>3</v>
      </c>
      <c r="D12" s="511">
        <v>4</v>
      </c>
      <c r="E12" s="511">
        <v>5</v>
      </c>
      <c r="F12" s="511">
        <v>6</v>
      </c>
      <c r="G12" s="511"/>
      <c r="H12" s="511"/>
      <c r="I12" s="511">
        <v>7</v>
      </c>
    </row>
    <row r="13" spans="1:9" ht="14.45" customHeight="1" x14ac:dyDescent="0.25">
      <c r="A13" s="733" t="s">
        <v>536</v>
      </c>
      <c r="B13" s="734"/>
      <c r="C13" s="734"/>
      <c r="D13" s="734"/>
      <c r="E13" s="734"/>
      <c r="F13" s="734"/>
      <c r="G13" s="734"/>
      <c r="H13" s="734"/>
      <c r="I13" s="509"/>
    </row>
    <row r="14" spans="1:9" ht="32.25" customHeight="1" x14ac:dyDescent="0.25">
      <c r="A14" s="368">
        <v>1</v>
      </c>
      <c r="B14" s="369" t="s">
        <v>535</v>
      </c>
      <c r="C14" s="368" t="s">
        <v>534</v>
      </c>
      <c r="D14" s="368" t="s">
        <v>533</v>
      </c>
      <c r="E14" s="370">
        <v>700</v>
      </c>
      <c r="F14" s="368">
        <v>1</v>
      </c>
      <c r="G14" s="368">
        <v>1.25</v>
      </c>
      <c r="H14" s="371" t="str">
        <f>CONCATENATE(E14," х ",F14," х ",G14,)</f>
        <v>700 х 1 х 1,25</v>
      </c>
      <c r="I14" s="466">
        <f>E14*F14*G14</f>
        <v>875</v>
      </c>
    </row>
    <row r="15" spans="1:9" s="494" customFormat="1" x14ac:dyDescent="0.25">
      <c r="A15" s="515">
        <v>2</v>
      </c>
      <c r="B15" s="724" t="s">
        <v>532</v>
      </c>
      <c r="C15" s="725"/>
      <c r="D15" s="725"/>
      <c r="E15" s="725"/>
      <c r="F15" s="725"/>
      <c r="G15" s="725"/>
      <c r="H15" s="726"/>
      <c r="I15" s="516">
        <f>SUM(I14:I14)</f>
        <v>875</v>
      </c>
    </row>
    <row r="16" spans="1:9" ht="15" customHeight="1" x14ac:dyDescent="0.25">
      <c r="A16" s="729" t="s">
        <v>531</v>
      </c>
      <c r="B16" s="729"/>
      <c r="C16" s="729"/>
      <c r="D16" s="729"/>
      <c r="E16" s="729"/>
      <c r="F16" s="729"/>
      <c r="G16" s="729"/>
      <c r="H16" s="729"/>
      <c r="I16" s="467"/>
    </row>
    <row r="17" spans="1:9" ht="39.75" customHeight="1" x14ac:dyDescent="0.25">
      <c r="A17" s="462">
        <v>3</v>
      </c>
      <c r="B17" s="463" t="s">
        <v>428</v>
      </c>
      <c r="C17" s="458" t="s">
        <v>425</v>
      </c>
      <c r="D17" s="458" t="s">
        <v>427</v>
      </c>
      <c r="E17" s="464">
        <v>27</v>
      </c>
      <c r="F17" s="458">
        <v>2.4</v>
      </c>
      <c r="G17" s="458">
        <f>G18</f>
        <v>1.3</v>
      </c>
      <c r="H17" s="371" t="str">
        <f>CONCATENATE(E17," х ",F17," х ",G17,)</f>
        <v>27 х 2,4 х 1,3</v>
      </c>
      <c r="I17" s="468">
        <f>E17*F17*G17</f>
        <v>84.24</v>
      </c>
    </row>
    <row r="18" spans="1:9" ht="47.25" customHeight="1" x14ac:dyDescent="0.25">
      <c r="A18" s="375">
        <v>4</v>
      </c>
      <c r="B18" s="376" t="s">
        <v>426</v>
      </c>
      <c r="C18" s="377" t="s">
        <v>425</v>
      </c>
      <c r="D18" s="377" t="s">
        <v>424</v>
      </c>
      <c r="E18" s="378">
        <v>20.3</v>
      </c>
      <c r="F18" s="373">
        <f>F17</f>
        <v>2.4</v>
      </c>
      <c r="G18" s="379">
        <v>1.3</v>
      </c>
      <c r="H18" s="160" t="str">
        <f>CONCATENATE(E18," х ",F18," х ",G18,)</f>
        <v>20,3 х 2,4 х 1,3</v>
      </c>
      <c r="I18" s="469">
        <f>E18*F18*G18</f>
        <v>63.34</v>
      </c>
    </row>
    <row r="19" spans="1:9" ht="36" customHeight="1" x14ac:dyDescent="0.25">
      <c r="A19" s="380">
        <v>5</v>
      </c>
      <c r="B19" s="162" t="s">
        <v>1238</v>
      </c>
      <c r="C19" s="182" t="s">
        <v>386</v>
      </c>
      <c r="D19" s="182" t="s">
        <v>422</v>
      </c>
      <c r="E19" s="381">
        <v>11.7</v>
      </c>
      <c r="F19" s="382">
        <v>2</v>
      </c>
      <c r="G19" s="182">
        <v>1.3</v>
      </c>
      <c r="H19" s="160" t="str">
        <f>CONCATENATE(E19," х ",F19," х ",G19,)</f>
        <v>11,7 х 2 х 1,3</v>
      </c>
      <c r="I19" s="469">
        <f>E19*F19*G19</f>
        <v>30.42</v>
      </c>
    </row>
    <row r="20" spans="1:9" ht="18.75" customHeight="1" x14ac:dyDescent="0.25">
      <c r="A20" s="752" t="s">
        <v>1239</v>
      </c>
      <c r="B20" s="753"/>
      <c r="C20" s="753"/>
      <c r="D20" s="753"/>
      <c r="E20" s="753"/>
      <c r="F20" s="753"/>
      <c r="G20" s="753"/>
      <c r="H20" s="753"/>
      <c r="I20" s="470"/>
    </row>
    <row r="21" spans="1:9" ht="34.5" customHeight="1" x14ac:dyDescent="0.25">
      <c r="A21" s="198">
        <v>6</v>
      </c>
      <c r="B21" s="208" t="s">
        <v>530</v>
      </c>
      <c r="C21" s="198" t="s">
        <v>518</v>
      </c>
      <c r="D21" s="383" t="s">
        <v>529</v>
      </c>
      <c r="E21" s="198">
        <v>6.9</v>
      </c>
      <c r="F21" s="357">
        <v>8</v>
      </c>
      <c r="G21" s="198">
        <v>0.9</v>
      </c>
      <c r="H21" s="160" t="str">
        <f t="shared" ref="H21:H26" si="0">CONCATENATE(E21," х ",F21," х ",G21,)</f>
        <v>6,9 х 8 х 0,9</v>
      </c>
      <c r="I21" s="471">
        <f t="shared" ref="I21:I26" si="1">E21*F21*G21</f>
        <v>49.68</v>
      </c>
    </row>
    <row r="22" spans="1:9" ht="16.899999999999999" customHeight="1" x14ac:dyDescent="0.25">
      <c r="A22" s="198"/>
      <c r="B22" s="208" t="s">
        <v>1240</v>
      </c>
      <c r="C22" s="198" t="s">
        <v>518</v>
      </c>
      <c r="D22" s="383" t="s">
        <v>529</v>
      </c>
      <c r="E22" s="198">
        <v>6.9</v>
      </c>
      <c r="F22" s="357">
        <v>3</v>
      </c>
      <c r="G22" s="198">
        <v>0.9</v>
      </c>
      <c r="H22" s="160" t="str">
        <f t="shared" si="0"/>
        <v>6,9 х 3 х 0,9</v>
      </c>
      <c r="I22" s="471">
        <f t="shared" si="1"/>
        <v>18.63</v>
      </c>
    </row>
    <row r="23" spans="1:9" ht="16.5" customHeight="1" x14ac:dyDescent="0.25">
      <c r="A23" s="198">
        <v>7</v>
      </c>
      <c r="B23" s="208" t="s">
        <v>528</v>
      </c>
      <c r="C23" s="207" t="s">
        <v>518</v>
      </c>
      <c r="D23" s="383" t="s">
        <v>527</v>
      </c>
      <c r="E23" s="198">
        <v>37.700000000000003</v>
      </c>
      <c r="F23" s="357">
        <v>2</v>
      </c>
      <c r="G23" s="198">
        <v>1</v>
      </c>
      <c r="H23" s="160" t="str">
        <f t="shared" si="0"/>
        <v>37,7 х 2 х 1</v>
      </c>
      <c r="I23" s="471">
        <f t="shared" si="1"/>
        <v>75.400000000000006</v>
      </c>
    </row>
    <row r="24" spans="1:9" ht="18" customHeight="1" x14ac:dyDescent="0.25">
      <c r="A24" s="384">
        <v>8</v>
      </c>
      <c r="B24" s="210" t="s">
        <v>526</v>
      </c>
      <c r="C24" s="202" t="s">
        <v>518</v>
      </c>
      <c r="D24" s="383" t="s">
        <v>525</v>
      </c>
      <c r="E24" s="209">
        <v>37.700000000000003</v>
      </c>
      <c r="F24" s="204">
        <f>F23</f>
        <v>2</v>
      </c>
      <c r="G24" s="209">
        <v>1.2</v>
      </c>
      <c r="H24" s="160" t="str">
        <f t="shared" si="0"/>
        <v>37,7 х 2 х 1,2</v>
      </c>
      <c r="I24" s="470">
        <f t="shared" si="1"/>
        <v>90.48</v>
      </c>
    </row>
    <row r="25" spans="1:9" ht="20.25" customHeight="1" x14ac:dyDescent="0.25">
      <c r="A25" s="198">
        <v>9</v>
      </c>
      <c r="B25" s="208" t="s">
        <v>524</v>
      </c>
      <c r="C25" s="207" t="s">
        <v>518</v>
      </c>
      <c r="D25" s="383" t="s">
        <v>523</v>
      </c>
      <c r="E25" s="197">
        <v>37.700000000000003</v>
      </c>
      <c r="F25" s="357">
        <f>F23</f>
        <v>2</v>
      </c>
      <c r="G25" s="198">
        <v>1</v>
      </c>
      <c r="H25" s="160" t="str">
        <f t="shared" si="0"/>
        <v>37,7 х 2 х 1</v>
      </c>
      <c r="I25" s="471">
        <f t="shared" si="1"/>
        <v>75.400000000000006</v>
      </c>
    </row>
    <row r="26" spans="1:9" ht="18.75" customHeight="1" x14ac:dyDescent="0.25">
      <c r="A26" s="205">
        <v>10</v>
      </c>
      <c r="B26" s="385" t="s">
        <v>522</v>
      </c>
      <c r="C26" s="206" t="s">
        <v>518</v>
      </c>
      <c r="D26" s="383" t="s">
        <v>521</v>
      </c>
      <c r="E26" s="205">
        <v>37.700000000000003</v>
      </c>
      <c r="F26" s="386">
        <f>F23</f>
        <v>2</v>
      </c>
      <c r="G26" s="205">
        <v>0.9</v>
      </c>
      <c r="H26" s="160" t="str">
        <f t="shared" si="0"/>
        <v>37,7 х 2 х 0,9</v>
      </c>
      <c r="I26" s="472">
        <f t="shared" si="1"/>
        <v>67.86</v>
      </c>
    </row>
    <row r="27" spans="1:9" ht="18.75" customHeight="1" x14ac:dyDescent="0.25">
      <c r="A27" s="752" t="s">
        <v>520</v>
      </c>
      <c r="B27" s="753"/>
      <c r="C27" s="753"/>
      <c r="D27" s="753"/>
      <c r="E27" s="753"/>
      <c r="F27" s="753"/>
      <c r="G27" s="753"/>
      <c r="H27" s="753"/>
      <c r="I27" s="470"/>
    </row>
    <row r="28" spans="1:9" ht="21.75" customHeight="1" x14ac:dyDescent="0.25">
      <c r="A28" s="204">
        <v>11</v>
      </c>
      <c r="B28" s="203" t="s">
        <v>519</v>
      </c>
      <c r="C28" s="388" t="s">
        <v>518</v>
      </c>
      <c r="D28" s="450" t="s">
        <v>517</v>
      </c>
      <c r="E28" s="201">
        <v>7.6</v>
      </c>
      <c r="F28" s="201">
        <v>2</v>
      </c>
      <c r="G28" s="201">
        <v>0.5</v>
      </c>
      <c r="H28" s="160" t="str">
        <f>CONCATENATE(E28," х ",F28," х ",G28,)</f>
        <v>7,6 х 2 х 0,5</v>
      </c>
      <c r="I28" s="473">
        <f>E28*F28*G28</f>
        <v>7.6</v>
      </c>
    </row>
    <row r="29" spans="1:9" ht="21.75" customHeight="1" x14ac:dyDescent="0.25">
      <c r="A29" s="198"/>
      <c r="B29" s="203"/>
      <c r="C29" s="388"/>
      <c r="D29" s="389" t="s">
        <v>1241</v>
      </c>
      <c r="E29" s="201"/>
      <c r="F29" s="201"/>
      <c r="G29" s="390"/>
      <c r="H29" s="160"/>
      <c r="I29" s="474"/>
    </row>
    <row r="30" spans="1:9" ht="27.6" customHeight="1" x14ac:dyDescent="0.25">
      <c r="A30" s="204">
        <v>12</v>
      </c>
      <c r="B30" s="203" t="s">
        <v>1242</v>
      </c>
      <c r="C30" s="202" t="s">
        <v>518</v>
      </c>
      <c r="D30" s="387" t="s">
        <v>1243</v>
      </c>
      <c r="E30" s="201">
        <v>4.5999999999999996</v>
      </c>
      <c r="F30" s="201">
        <v>2</v>
      </c>
      <c r="G30" s="390">
        <v>0.5</v>
      </c>
      <c r="H30" s="160" t="str">
        <f>CONCATENATE(E30," х ",F30," х ",G30,)</f>
        <v>4,6 х 2 х 0,5</v>
      </c>
      <c r="I30" s="473">
        <f>E30*F30*G30</f>
        <v>4.5999999999999996</v>
      </c>
    </row>
    <row r="31" spans="1:9" ht="20.45" customHeight="1" x14ac:dyDescent="0.25">
      <c r="A31" s="198">
        <v>13</v>
      </c>
      <c r="B31" s="391" t="s">
        <v>1244</v>
      </c>
      <c r="C31" s="388" t="s">
        <v>518</v>
      </c>
      <c r="D31" s="387" t="s">
        <v>1245</v>
      </c>
      <c r="E31" s="201">
        <v>18.8</v>
      </c>
      <c r="F31" s="201">
        <f>F30</f>
        <v>2</v>
      </c>
      <c r="G31" s="390">
        <v>0.85</v>
      </c>
      <c r="H31" s="160" t="str">
        <f>CONCATENATE(E31," х ",F31," х ",G31,)</f>
        <v>18,8 х 2 х 0,85</v>
      </c>
      <c r="I31" s="474">
        <f>E31*F31*G31</f>
        <v>31.96</v>
      </c>
    </row>
    <row r="32" spans="1:9" ht="21.75" customHeight="1" x14ac:dyDescent="0.25">
      <c r="A32" s="198"/>
      <c r="B32" s="203"/>
      <c r="C32" s="388"/>
      <c r="D32" s="389" t="s">
        <v>1246</v>
      </c>
      <c r="E32" s="392"/>
      <c r="F32" s="392"/>
      <c r="G32" s="392"/>
      <c r="I32" s="475"/>
    </row>
    <row r="33" spans="1:10" ht="37.9" customHeight="1" x14ac:dyDescent="0.25">
      <c r="A33" s="198">
        <v>14</v>
      </c>
      <c r="B33" s="200" t="s">
        <v>1247</v>
      </c>
      <c r="C33" s="388" t="s">
        <v>518</v>
      </c>
      <c r="D33" s="387" t="s">
        <v>1248</v>
      </c>
      <c r="E33" s="201">
        <v>6.1</v>
      </c>
      <c r="F33" s="201">
        <f>F30</f>
        <v>2</v>
      </c>
      <c r="G33" s="390">
        <v>0.5</v>
      </c>
      <c r="H33" s="160" t="str">
        <f>CONCATENATE(E33," х ",F33," х ",G33,)</f>
        <v>6,1 х 2 х 0,5</v>
      </c>
      <c r="I33" s="474">
        <f>E33*F33*G33</f>
        <v>6.1</v>
      </c>
    </row>
    <row r="34" spans="1:10" ht="33" customHeight="1" x14ac:dyDescent="0.25">
      <c r="A34" s="198">
        <v>15</v>
      </c>
      <c r="B34" s="208" t="s">
        <v>1249</v>
      </c>
      <c r="C34" s="388" t="s">
        <v>518</v>
      </c>
      <c r="D34" s="387" t="s">
        <v>1250</v>
      </c>
      <c r="E34" s="198">
        <v>20.3</v>
      </c>
      <c r="F34" s="390">
        <f>F33</f>
        <v>2</v>
      </c>
      <c r="G34" s="198">
        <v>0.85</v>
      </c>
      <c r="H34" s="160" t="str">
        <f>CONCATENATE(E34," х ",F34," х ",G34,)</f>
        <v>20,3 х 2 х 0,85</v>
      </c>
      <c r="I34" s="476">
        <f>E34*F34*G34</f>
        <v>34.51</v>
      </c>
    </row>
    <row r="35" spans="1:10" ht="18" customHeight="1" x14ac:dyDescent="0.25">
      <c r="A35" s="754" t="s">
        <v>516</v>
      </c>
      <c r="B35" s="755"/>
      <c r="C35" s="755"/>
      <c r="D35" s="755"/>
      <c r="E35" s="755"/>
      <c r="F35" s="755"/>
      <c r="G35" s="755"/>
      <c r="H35" s="755"/>
      <c r="I35" s="471"/>
    </row>
    <row r="36" spans="1:10" ht="18.75" customHeight="1" x14ac:dyDescent="0.25">
      <c r="A36" s="198">
        <v>16</v>
      </c>
      <c r="B36" s="200" t="s">
        <v>1251</v>
      </c>
      <c r="C36" s="198" t="s">
        <v>418</v>
      </c>
      <c r="D36" s="199" t="s">
        <v>417</v>
      </c>
      <c r="E36" s="198">
        <v>535</v>
      </c>
      <c r="F36" s="198">
        <v>3</v>
      </c>
      <c r="G36" s="198">
        <v>1</v>
      </c>
      <c r="H36" s="160" t="str">
        <f>CONCATENATE(E36," х ",F36," х ",G36,)</f>
        <v>535 х 3 х 1</v>
      </c>
      <c r="I36" s="476">
        <f>E36*F36*G36</f>
        <v>1605</v>
      </c>
    </row>
    <row r="37" spans="1:10" s="494" customFormat="1" ht="18.75" customHeight="1" x14ac:dyDescent="0.25">
      <c r="A37" s="513"/>
      <c r="B37" s="727" t="s">
        <v>515</v>
      </c>
      <c r="C37" s="727"/>
      <c r="D37" s="727"/>
      <c r="E37" s="727"/>
      <c r="F37" s="727"/>
      <c r="G37" s="727"/>
      <c r="H37" s="728"/>
      <c r="I37" s="514">
        <f>SUM(I17:I36)</f>
        <v>2245.2199999999998</v>
      </c>
    </row>
    <row r="38" spans="1:10" s="494" customFormat="1" ht="18.75" customHeight="1" x14ac:dyDescent="0.25">
      <c r="A38" s="496"/>
      <c r="B38" s="744" t="s">
        <v>514</v>
      </c>
      <c r="C38" s="744"/>
      <c r="D38" s="744"/>
      <c r="E38" s="744"/>
      <c r="F38" s="744"/>
      <c r="G38" s="744"/>
      <c r="H38" s="744"/>
      <c r="I38" s="497">
        <f>I15+I37</f>
        <v>3120.22</v>
      </c>
    </row>
    <row r="39" spans="1:10" ht="15.6" customHeight="1" x14ac:dyDescent="0.25">
      <c r="A39" s="392"/>
      <c r="B39" s="748" t="s">
        <v>1252</v>
      </c>
      <c r="C39" s="748"/>
      <c r="D39" s="748"/>
      <c r="E39" s="748"/>
      <c r="F39" s="748"/>
      <c r="G39" s="748"/>
      <c r="H39" s="748"/>
      <c r="I39" s="477"/>
      <c r="J39" s="218"/>
    </row>
    <row r="40" spans="1:10" ht="15.75" x14ac:dyDescent="0.25">
      <c r="A40" s="183"/>
      <c r="B40" s="748" t="s">
        <v>1253</v>
      </c>
      <c r="C40" s="748"/>
      <c r="D40" s="748"/>
      <c r="E40" s="748"/>
      <c r="F40" s="748"/>
      <c r="G40" s="748"/>
      <c r="H40" s="748"/>
      <c r="I40" s="477"/>
      <c r="J40" s="195"/>
    </row>
    <row r="41" spans="1:10" ht="15.75" x14ac:dyDescent="0.25">
      <c r="A41" s="451">
        <v>17</v>
      </c>
      <c r="B41" s="178" t="s">
        <v>1254</v>
      </c>
      <c r="C41" s="452" t="s">
        <v>392</v>
      </c>
      <c r="D41" s="196" t="s">
        <v>513</v>
      </c>
      <c r="E41" s="452">
        <v>8.5</v>
      </c>
      <c r="F41" s="452">
        <f>F21+F22+F33</f>
        <v>13</v>
      </c>
      <c r="G41" s="452"/>
      <c r="H41" s="453" t="str">
        <f t="shared" ref="H41:H52" si="2">CONCATENATE(E41," х ",F41," ")</f>
        <v xml:space="preserve">8,5 х 13 </v>
      </c>
      <c r="I41" s="219">
        <f t="shared" ref="I41:I60" si="3">E41*F41</f>
        <v>110.5</v>
      </c>
      <c r="J41" s="195"/>
    </row>
    <row r="42" spans="1:10" x14ac:dyDescent="0.25">
      <c r="A42" s="393">
        <v>18</v>
      </c>
      <c r="B42" s="178" t="s">
        <v>512</v>
      </c>
      <c r="C42" s="194" t="s">
        <v>392</v>
      </c>
      <c r="D42" s="193" t="s">
        <v>511</v>
      </c>
      <c r="E42" s="395">
        <v>95.8</v>
      </c>
      <c r="F42" s="192">
        <f>F41</f>
        <v>13</v>
      </c>
      <c r="G42" s="192"/>
      <c r="H42" s="160" t="str">
        <f t="shared" si="2"/>
        <v xml:space="preserve">95,8 х 13 </v>
      </c>
      <c r="I42" s="219">
        <f t="shared" si="3"/>
        <v>1245.4000000000001</v>
      </c>
    </row>
    <row r="43" spans="1:10" x14ac:dyDescent="0.25">
      <c r="A43" s="393">
        <v>19</v>
      </c>
      <c r="B43" s="396" t="s">
        <v>510</v>
      </c>
      <c r="C43" s="393" t="s">
        <v>392</v>
      </c>
      <c r="D43" s="397" t="s">
        <v>509</v>
      </c>
      <c r="E43" s="398">
        <v>19.7</v>
      </c>
      <c r="F43" s="399">
        <f>F42</f>
        <v>13</v>
      </c>
      <c r="G43" s="399"/>
      <c r="H43" s="160" t="str">
        <f t="shared" si="2"/>
        <v xml:space="preserve">19,7 х 13 </v>
      </c>
      <c r="I43" s="478">
        <f t="shared" si="3"/>
        <v>256.10000000000002</v>
      </c>
    </row>
    <row r="44" spans="1:10" x14ac:dyDescent="0.25">
      <c r="A44" s="393">
        <v>20</v>
      </c>
      <c r="B44" s="396" t="s">
        <v>508</v>
      </c>
      <c r="C44" s="393" t="s">
        <v>392</v>
      </c>
      <c r="D44" s="393" t="s">
        <v>506</v>
      </c>
      <c r="E44" s="400">
        <v>2</v>
      </c>
      <c r="F44" s="399">
        <f>F42</f>
        <v>13</v>
      </c>
      <c r="G44" s="399"/>
      <c r="H44" s="160" t="str">
        <f t="shared" si="2"/>
        <v xml:space="preserve">2 х 13 </v>
      </c>
      <c r="I44" s="479">
        <f t="shared" si="3"/>
        <v>26</v>
      </c>
    </row>
    <row r="45" spans="1:10" x14ac:dyDescent="0.25">
      <c r="A45" s="393">
        <v>21</v>
      </c>
      <c r="B45" s="396" t="s">
        <v>507</v>
      </c>
      <c r="C45" s="393" t="s">
        <v>392</v>
      </c>
      <c r="D45" s="393" t="s">
        <v>506</v>
      </c>
      <c r="E45" s="400">
        <v>2</v>
      </c>
      <c r="F45" s="399">
        <f>F42</f>
        <v>13</v>
      </c>
      <c r="G45" s="399"/>
      <c r="H45" s="160" t="str">
        <f t="shared" si="2"/>
        <v xml:space="preserve">2 х 13 </v>
      </c>
      <c r="I45" s="479">
        <f t="shared" si="3"/>
        <v>26</v>
      </c>
    </row>
    <row r="46" spans="1:10" ht="15.75" customHeight="1" x14ac:dyDescent="0.25">
      <c r="A46" s="394">
        <v>22</v>
      </c>
      <c r="B46" s="396" t="s">
        <v>440</v>
      </c>
      <c r="C46" s="393" t="s">
        <v>392</v>
      </c>
      <c r="D46" s="393" t="s">
        <v>505</v>
      </c>
      <c r="E46" s="400">
        <v>7.8</v>
      </c>
      <c r="F46" s="399">
        <f>F42</f>
        <v>13</v>
      </c>
      <c r="G46" s="399"/>
      <c r="H46" s="160" t="str">
        <f t="shared" si="2"/>
        <v xml:space="preserve">7,8 х 13 </v>
      </c>
      <c r="I46" s="479">
        <f t="shared" si="3"/>
        <v>101.4</v>
      </c>
    </row>
    <row r="47" spans="1:10" ht="15" customHeight="1" x14ac:dyDescent="0.25">
      <c r="A47" s="393">
        <v>23</v>
      </c>
      <c r="B47" s="396" t="s">
        <v>452</v>
      </c>
      <c r="C47" s="393" t="s">
        <v>392</v>
      </c>
      <c r="D47" s="393" t="s">
        <v>505</v>
      </c>
      <c r="E47" s="400">
        <v>7.8</v>
      </c>
      <c r="F47" s="399">
        <f>F42</f>
        <v>13</v>
      </c>
      <c r="G47" s="399"/>
      <c r="H47" s="160" t="str">
        <f t="shared" si="2"/>
        <v xml:space="preserve">7,8 х 13 </v>
      </c>
      <c r="I47" s="479">
        <f t="shared" si="3"/>
        <v>101.4</v>
      </c>
    </row>
    <row r="48" spans="1:10" x14ac:dyDescent="0.25">
      <c r="A48" s="393">
        <v>24</v>
      </c>
      <c r="B48" s="396" t="s">
        <v>444</v>
      </c>
      <c r="C48" s="393" t="s">
        <v>392</v>
      </c>
      <c r="D48" s="393" t="s">
        <v>505</v>
      </c>
      <c r="E48" s="400">
        <v>7.8</v>
      </c>
      <c r="F48" s="399">
        <f>F42</f>
        <v>13</v>
      </c>
      <c r="G48" s="399"/>
      <c r="H48" s="160" t="str">
        <f t="shared" si="2"/>
        <v xml:space="preserve">7,8 х 13 </v>
      </c>
      <c r="I48" s="479">
        <f t="shared" si="3"/>
        <v>101.4</v>
      </c>
    </row>
    <row r="49" spans="1:9" x14ac:dyDescent="0.25">
      <c r="A49" s="393">
        <v>25</v>
      </c>
      <c r="B49" s="401" t="s">
        <v>442</v>
      </c>
      <c r="C49" s="393" t="s">
        <v>392</v>
      </c>
      <c r="D49" s="402" t="s">
        <v>504</v>
      </c>
      <c r="E49" s="403">
        <v>7.8</v>
      </c>
      <c r="F49" s="399">
        <f>F42</f>
        <v>13</v>
      </c>
      <c r="G49" s="399"/>
      <c r="H49" s="160" t="str">
        <f t="shared" si="2"/>
        <v xml:space="preserve">7,8 х 13 </v>
      </c>
      <c r="I49" s="480">
        <f t="shared" si="3"/>
        <v>101.4</v>
      </c>
    </row>
    <row r="50" spans="1:9" x14ac:dyDescent="0.25">
      <c r="A50" s="393">
        <v>26</v>
      </c>
      <c r="B50" s="401" t="s">
        <v>448</v>
      </c>
      <c r="C50" s="393" t="s">
        <v>392</v>
      </c>
      <c r="D50" s="402" t="s">
        <v>504</v>
      </c>
      <c r="E50" s="403">
        <v>7.8</v>
      </c>
      <c r="F50" s="399">
        <f>F42</f>
        <v>13</v>
      </c>
      <c r="G50" s="399"/>
      <c r="H50" s="160" t="str">
        <f t="shared" si="2"/>
        <v xml:space="preserve">7,8 х 13 </v>
      </c>
      <c r="I50" s="480">
        <f t="shared" si="3"/>
        <v>101.4</v>
      </c>
    </row>
    <row r="51" spans="1:9" x14ac:dyDescent="0.25">
      <c r="A51" s="393">
        <v>27</v>
      </c>
      <c r="B51" s="401" t="s">
        <v>450</v>
      </c>
      <c r="C51" s="393" t="s">
        <v>392</v>
      </c>
      <c r="D51" s="402" t="s">
        <v>504</v>
      </c>
      <c r="E51" s="403">
        <v>7.8</v>
      </c>
      <c r="F51" s="399">
        <f>F42</f>
        <v>13</v>
      </c>
      <c r="G51" s="399"/>
      <c r="H51" s="160" t="str">
        <f t="shared" si="2"/>
        <v xml:space="preserve">7,8 х 13 </v>
      </c>
      <c r="I51" s="480">
        <f t="shared" si="3"/>
        <v>101.4</v>
      </c>
    </row>
    <row r="52" spans="1:9" x14ac:dyDescent="0.25">
      <c r="A52" s="393">
        <v>28</v>
      </c>
      <c r="B52" s="401" t="s">
        <v>446</v>
      </c>
      <c r="C52" s="393" t="s">
        <v>392</v>
      </c>
      <c r="D52" s="402" t="s">
        <v>504</v>
      </c>
      <c r="E52" s="403">
        <v>7.8</v>
      </c>
      <c r="F52" s="399">
        <f>F42</f>
        <v>13</v>
      </c>
      <c r="G52" s="399"/>
      <c r="H52" s="160" t="str">
        <f t="shared" si="2"/>
        <v xml:space="preserve">7,8 х 13 </v>
      </c>
      <c r="I52" s="480">
        <f t="shared" si="3"/>
        <v>101.4</v>
      </c>
    </row>
    <row r="53" spans="1:9" ht="17.25" customHeight="1" x14ac:dyDescent="0.25">
      <c r="A53" s="393"/>
      <c r="B53" s="756" t="s">
        <v>503</v>
      </c>
      <c r="C53" s="757"/>
      <c r="D53" s="757"/>
      <c r="E53" s="757"/>
      <c r="F53" s="757"/>
      <c r="G53" s="757"/>
      <c r="H53" s="757"/>
      <c r="I53" s="481"/>
    </row>
    <row r="54" spans="1:9" x14ac:dyDescent="0.25">
      <c r="A54" s="393">
        <v>29</v>
      </c>
      <c r="B54" s="401" t="s">
        <v>502</v>
      </c>
      <c r="C54" s="393" t="s">
        <v>392</v>
      </c>
      <c r="D54" s="402" t="s">
        <v>501</v>
      </c>
      <c r="E54" s="403">
        <v>7.6</v>
      </c>
      <c r="F54" s="399">
        <f>F23</f>
        <v>2</v>
      </c>
      <c r="G54" s="399"/>
      <c r="H54" s="160" t="str">
        <f t="shared" ref="H54:H60" si="4">CONCATENATE(E54," х ",F54," ")</f>
        <v xml:space="preserve">7,6 х 2 </v>
      </c>
      <c r="I54" s="480">
        <f t="shared" si="3"/>
        <v>15.2</v>
      </c>
    </row>
    <row r="55" spans="1:9" x14ac:dyDescent="0.25">
      <c r="A55" s="393">
        <v>30</v>
      </c>
      <c r="B55" s="401" t="s">
        <v>480</v>
      </c>
      <c r="C55" s="393" t="s">
        <v>392</v>
      </c>
      <c r="D55" s="402" t="s">
        <v>500</v>
      </c>
      <c r="E55" s="403">
        <v>5.3</v>
      </c>
      <c r="F55" s="399">
        <f>F54</f>
        <v>2</v>
      </c>
      <c r="G55" s="399"/>
      <c r="H55" s="160" t="str">
        <f t="shared" si="4"/>
        <v xml:space="preserve">5,3 х 2 </v>
      </c>
      <c r="I55" s="480">
        <f t="shared" si="3"/>
        <v>10.6</v>
      </c>
    </row>
    <row r="56" spans="1:9" x14ac:dyDescent="0.25">
      <c r="A56" s="393">
        <v>31</v>
      </c>
      <c r="B56" s="401" t="s">
        <v>499</v>
      </c>
      <c r="C56" s="393" t="s">
        <v>392</v>
      </c>
      <c r="D56" s="402" t="s">
        <v>498</v>
      </c>
      <c r="E56" s="403">
        <v>13.8</v>
      </c>
      <c r="F56" s="399">
        <f>F54</f>
        <v>2</v>
      </c>
      <c r="G56" s="399"/>
      <c r="H56" s="160" t="str">
        <f t="shared" si="4"/>
        <v xml:space="preserve">13,8 х 2 </v>
      </c>
      <c r="I56" s="480">
        <f t="shared" si="3"/>
        <v>27.6</v>
      </c>
    </row>
    <row r="57" spans="1:9" x14ac:dyDescent="0.25">
      <c r="A57" s="393">
        <v>32</v>
      </c>
      <c r="B57" s="401" t="s">
        <v>497</v>
      </c>
      <c r="C57" s="393" t="s">
        <v>392</v>
      </c>
      <c r="D57" s="402" t="s">
        <v>496</v>
      </c>
      <c r="E57" s="403">
        <v>12.2</v>
      </c>
      <c r="F57" s="399">
        <f>F54</f>
        <v>2</v>
      </c>
      <c r="G57" s="399"/>
      <c r="H57" s="160" t="str">
        <f t="shared" si="4"/>
        <v xml:space="preserve">12,2 х 2 </v>
      </c>
      <c r="I57" s="480">
        <f t="shared" si="3"/>
        <v>24.4</v>
      </c>
    </row>
    <row r="58" spans="1:9" x14ac:dyDescent="0.25">
      <c r="A58" s="393">
        <v>33</v>
      </c>
      <c r="B58" s="401" t="s">
        <v>495</v>
      </c>
      <c r="C58" s="393" t="s">
        <v>392</v>
      </c>
      <c r="D58" s="402" t="s">
        <v>494</v>
      </c>
      <c r="E58" s="403">
        <v>8.9</v>
      </c>
      <c r="F58" s="399">
        <f>F54</f>
        <v>2</v>
      </c>
      <c r="G58" s="399"/>
      <c r="H58" s="160" t="str">
        <f t="shared" si="4"/>
        <v xml:space="preserve">8,9 х 2 </v>
      </c>
      <c r="I58" s="480">
        <f t="shared" si="3"/>
        <v>17.8</v>
      </c>
    </row>
    <row r="59" spans="1:9" ht="15" customHeight="1" x14ac:dyDescent="0.25">
      <c r="A59" s="404">
        <v>34</v>
      </c>
      <c r="B59" s="401" t="s">
        <v>493</v>
      </c>
      <c r="C59" s="393" t="s">
        <v>392</v>
      </c>
      <c r="D59" s="405" t="s">
        <v>492</v>
      </c>
      <c r="E59" s="406">
        <v>8</v>
      </c>
      <c r="F59" s="399">
        <f>F54</f>
        <v>2</v>
      </c>
      <c r="G59" s="399"/>
      <c r="H59" s="160" t="str">
        <f t="shared" si="4"/>
        <v xml:space="preserve">8 х 2 </v>
      </c>
      <c r="I59" s="480">
        <f t="shared" si="3"/>
        <v>16</v>
      </c>
    </row>
    <row r="60" spans="1:9" x14ac:dyDescent="0.25">
      <c r="A60" s="393">
        <v>35</v>
      </c>
      <c r="B60" s="407" t="s">
        <v>491</v>
      </c>
      <c r="C60" s="393" t="s">
        <v>392</v>
      </c>
      <c r="D60" s="408" t="s">
        <v>490</v>
      </c>
      <c r="E60" s="409">
        <v>147.4</v>
      </c>
      <c r="F60" s="399">
        <f>F54</f>
        <v>2</v>
      </c>
      <c r="G60" s="399"/>
      <c r="H60" s="160" t="str">
        <f t="shared" si="4"/>
        <v xml:space="preserve">147,4 х 2 </v>
      </c>
      <c r="I60" s="482">
        <f t="shared" si="3"/>
        <v>294.8</v>
      </c>
    </row>
    <row r="61" spans="1:9" ht="14.45" customHeight="1" x14ac:dyDescent="0.25">
      <c r="A61" s="417"/>
      <c r="B61" s="745" t="s">
        <v>489</v>
      </c>
      <c r="C61" s="746"/>
      <c r="D61" s="746"/>
      <c r="E61" s="746"/>
      <c r="F61" s="746"/>
      <c r="G61" s="746"/>
      <c r="H61" s="747"/>
      <c r="I61" s="483">
        <f>SUM(I41:I60)</f>
        <v>2780.2</v>
      </c>
    </row>
    <row r="62" spans="1:9" ht="20.25" customHeight="1" x14ac:dyDescent="0.25">
      <c r="A62" s="183"/>
      <c r="B62" s="732" t="s">
        <v>1255</v>
      </c>
      <c r="C62" s="732"/>
      <c r="D62" s="732"/>
      <c r="E62" s="732"/>
      <c r="F62" s="732"/>
      <c r="G62" s="732"/>
      <c r="H62" s="732"/>
      <c r="I62" s="484"/>
    </row>
    <row r="63" spans="1:9" x14ac:dyDescent="0.25">
      <c r="A63" s="194">
        <v>36</v>
      </c>
      <c r="B63" s="178" t="s">
        <v>1256</v>
      </c>
      <c r="C63" s="194" t="s">
        <v>392</v>
      </c>
      <c r="D63" s="177" t="s">
        <v>488</v>
      </c>
      <c r="E63" s="454">
        <v>1.3</v>
      </c>
      <c r="F63" s="455">
        <f>F28+F30</f>
        <v>4</v>
      </c>
      <c r="G63" s="454"/>
      <c r="H63" s="453" t="str">
        <f t="shared" ref="H63:H92" si="5">CONCATENATE(E63," х ",F63," ")</f>
        <v xml:space="preserve">1,3 х 4 </v>
      </c>
      <c r="I63" s="485">
        <f>E63*F63</f>
        <v>5.2</v>
      </c>
    </row>
    <row r="64" spans="1:9" x14ac:dyDescent="0.25">
      <c r="A64" s="393">
        <v>37</v>
      </c>
      <c r="B64" s="401" t="s">
        <v>1257</v>
      </c>
      <c r="C64" s="393" t="s">
        <v>392</v>
      </c>
      <c r="D64" s="402" t="s">
        <v>487</v>
      </c>
      <c r="E64" s="170">
        <v>2.1</v>
      </c>
      <c r="F64" s="410">
        <f>F63</f>
        <v>4</v>
      </c>
      <c r="G64" s="170"/>
      <c r="H64" s="160" t="str">
        <f t="shared" si="5"/>
        <v xml:space="preserve">2,1 х 4 </v>
      </c>
      <c r="I64" s="220">
        <f t="shared" ref="I64:I92" si="6">E64*F64</f>
        <v>8.4</v>
      </c>
    </row>
    <row r="65" spans="1:9" ht="15" customHeight="1" x14ac:dyDescent="0.25">
      <c r="A65" s="411">
        <v>38</v>
      </c>
      <c r="B65" s="412" t="s">
        <v>486</v>
      </c>
      <c r="C65" s="393" t="s">
        <v>392</v>
      </c>
      <c r="D65" s="402" t="s">
        <v>485</v>
      </c>
      <c r="E65" s="170">
        <v>0.8</v>
      </c>
      <c r="F65" s="410">
        <f>F63</f>
        <v>4</v>
      </c>
      <c r="G65" s="170"/>
      <c r="H65" s="160" t="str">
        <f t="shared" si="5"/>
        <v xml:space="preserve">0,8 х 4 </v>
      </c>
      <c r="I65" s="220">
        <f t="shared" si="6"/>
        <v>3.2</v>
      </c>
    </row>
    <row r="66" spans="1:9" x14ac:dyDescent="0.25">
      <c r="A66" s="393">
        <v>39</v>
      </c>
      <c r="B66" s="190" t="s">
        <v>484</v>
      </c>
      <c r="C66" s="393" t="s">
        <v>392</v>
      </c>
      <c r="D66" s="402" t="s">
        <v>483</v>
      </c>
      <c r="E66" s="170">
        <v>4.5999999999999996</v>
      </c>
      <c r="F66" s="410">
        <f>F63</f>
        <v>4</v>
      </c>
      <c r="G66" s="170"/>
      <c r="H66" s="160" t="str">
        <f t="shared" si="5"/>
        <v xml:space="preserve">4,6 х 4 </v>
      </c>
      <c r="I66" s="220">
        <f t="shared" si="6"/>
        <v>18.399999999999999</v>
      </c>
    </row>
    <row r="67" spans="1:9" ht="15" customHeight="1" x14ac:dyDescent="0.25">
      <c r="A67" s="393">
        <v>40</v>
      </c>
      <c r="B67" s="401" t="s">
        <v>482</v>
      </c>
      <c r="C67" s="393" t="s">
        <v>392</v>
      </c>
      <c r="D67" s="402" t="s">
        <v>481</v>
      </c>
      <c r="E67" s="191">
        <v>2</v>
      </c>
      <c r="F67" s="410">
        <f>F63</f>
        <v>4</v>
      </c>
      <c r="G67" s="170"/>
      <c r="H67" s="160" t="str">
        <f t="shared" si="5"/>
        <v xml:space="preserve">2 х 4 </v>
      </c>
      <c r="I67" s="220">
        <f t="shared" si="6"/>
        <v>8</v>
      </c>
    </row>
    <row r="68" spans="1:9" ht="15" customHeight="1" x14ac:dyDescent="0.25">
      <c r="A68" s="413">
        <v>41</v>
      </c>
      <c r="B68" s="190" t="s">
        <v>480</v>
      </c>
      <c r="C68" s="393" t="s">
        <v>392</v>
      </c>
      <c r="D68" s="408" t="s">
        <v>479</v>
      </c>
      <c r="E68" s="170">
        <v>7.1</v>
      </c>
      <c r="F68" s="410">
        <f>F63</f>
        <v>4</v>
      </c>
      <c r="G68" s="170"/>
      <c r="H68" s="160" t="str">
        <f t="shared" si="5"/>
        <v xml:space="preserve">7,1 х 4 </v>
      </c>
      <c r="I68" s="220">
        <f t="shared" si="6"/>
        <v>28.4</v>
      </c>
    </row>
    <row r="69" spans="1:9" ht="15" customHeight="1" x14ac:dyDescent="0.25">
      <c r="A69" s="170">
        <v>42</v>
      </c>
      <c r="B69" s="190" t="s">
        <v>478</v>
      </c>
      <c r="C69" s="393" t="s">
        <v>392</v>
      </c>
      <c r="D69" s="408" t="s">
        <v>477</v>
      </c>
      <c r="E69" s="170">
        <v>4.5</v>
      </c>
      <c r="F69" s="410">
        <f>F63</f>
        <v>4</v>
      </c>
      <c r="G69" s="170"/>
      <c r="H69" s="160" t="str">
        <f t="shared" si="5"/>
        <v xml:space="preserve">4,5 х 4 </v>
      </c>
      <c r="I69" s="220">
        <f t="shared" si="6"/>
        <v>18</v>
      </c>
    </row>
    <row r="70" spans="1:9" ht="15" customHeight="1" x14ac:dyDescent="0.25">
      <c r="A70" s="170">
        <v>43</v>
      </c>
      <c r="B70" s="414" t="s">
        <v>476</v>
      </c>
      <c r="C70" s="393" t="s">
        <v>392</v>
      </c>
      <c r="D70" s="402" t="s">
        <v>475</v>
      </c>
      <c r="E70" s="170">
        <v>10.3</v>
      </c>
      <c r="F70" s="410">
        <f>F63</f>
        <v>4</v>
      </c>
      <c r="G70" s="170"/>
      <c r="H70" s="160" t="str">
        <f t="shared" si="5"/>
        <v xml:space="preserve">10,3 х 4 </v>
      </c>
      <c r="I70" s="220">
        <f t="shared" si="6"/>
        <v>41.2</v>
      </c>
    </row>
    <row r="71" spans="1:9" ht="15" customHeight="1" x14ac:dyDescent="0.25">
      <c r="A71" s="170">
        <v>44</v>
      </c>
      <c r="B71" s="414" t="s">
        <v>474</v>
      </c>
      <c r="C71" s="393" t="s">
        <v>392</v>
      </c>
      <c r="D71" s="408" t="s">
        <v>473</v>
      </c>
      <c r="E71" s="170">
        <v>8.8000000000000007</v>
      </c>
      <c r="F71" s="410">
        <f>F63</f>
        <v>4</v>
      </c>
      <c r="G71" s="170"/>
      <c r="H71" s="160" t="str">
        <f t="shared" si="5"/>
        <v xml:space="preserve">8,8 х 4 </v>
      </c>
      <c r="I71" s="220">
        <f t="shared" si="6"/>
        <v>35.200000000000003</v>
      </c>
    </row>
    <row r="72" spans="1:9" ht="15" customHeight="1" x14ac:dyDescent="0.25">
      <c r="A72" s="170">
        <v>45</v>
      </c>
      <c r="B72" s="180" t="s">
        <v>472</v>
      </c>
      <c r="C72" s="393" t="s">
        <v>392</v>
      </c>
      <c r="D72" s="408" t="s">
        <v>471</v>
      </c>
      <c r="E72" s="170">
        <v>5.6</v>
      </c>
      <c r="F72" s="410">
        <f>F63</f>
        <v>4</v>
      </c>
      <c r="G72" s="170"/>
      <c r="H72" s="160" t="str">
        <f t="shared" si="5"/>
        <v xml:space="preserve">5,6 х 4 </v>
      </c>
      <c r="I72" s="220">
        <f t="shared" si="6"/>
        <v>22.4</v>
      </c>
    </row>
    <row r="73" spans="1:9" ht="15" customHeight="1" x14ac:dyDescent="0.25">
      <c r="A73" s="159">
        <v>46</v>
      </c>
      <c r="B73" s="180" t="s">
        <v>470</v>
      </c>
      <c r="C73" s="393" t="s">
        <v>392</v>
      </c>
      <c r="D73" s="402" t="s">
        <v>469</v>
      </c>
      <c r="E73" s="170">
        <v>8.8000000000000007</v>
      </c>
      <c r="F73" s="410">
        <f>F63</f>
        <v>4</v>
      </c>
      <c r="G73" s="170"/>
      <c r="H73" s="160" t="str">
        <f t="shared" si="5"/>
        <v xml:space="preserve">8,8 х 4 </v>
      </c>
      <c r="I73" s="220">
        <f t="shared" si="6"/>
        <v>35.200000000000003</v>
      </c>
    </row>
    <row r="74" spans="1:9" ht="15" customHeight="1" x14ac:dyDescent="0.25">
      <c r="A74" s="170">
        <v>47</v>
      </c>
      <c r="B74" s="190" t="s">
        <v>468</v>
      </c>
      <c r="C74" s="393" t="s">
        <v>392</v>
      </c>
      <c r="D74" s="402" t="s">
        <v>467</v>
      </c>
      <c r="E74" s="170">
        <v>3.1</v>
      </c>
      <c r="F74" s="410">
        <f>F63</f>
        <v>4</v>
      </c>
      <c r="G74" s="170"/>
      <c r="H74" s="160" t="str">
        <f t="shared" si="5"/>
        <v xml:space="preserve">3,1 х 4 </v>
      </c>
      <c r="I74" s="220">
        <f t="shared" si="6"/>
        <v>12.4</v>
      </c>
    </row>
    <row r="75" spans="1:9" ht="15" customHeight="1" x14ac:dyDescent="0.25">
      <c r="A75" s="170">
        <v>48</v>
      </c>
      <c r="B75" s="188" t="s">
        <v>466</v>
      </c>
      <c r="C75" s="393" t="s">
        <v>392</v>
      </c>
      <c r="D75" s="402" t="s">
        <v>465</v>
      </c>
      <c r="E75" s="170">
        <v>2.7</v>
      </c>
      <c r="F75" s="410">
        <f>F63</f>
        <v>4</v>
      </c>
      <c r="G75" s="170"/>
      <c r="H75" s="160" t="str">
        <f t="shared" si="5"/>
        <v xml:space="preserve">2,7 х 4 </v>
      </c>
      <c r="I75" s="220">
        <f t="shared" si="6"/>
        <v>10.8</v>
      </c>
    </row>
    <row r="76" spans="1:9" ht="15" customHeight="1" x14ac:dyDescent="0.25">
      <c r="A76" s="170">
        <v>49</v>
      </c>
      <c r="B76" s="188" t="s">
        <v>464</v>
      </c>
      <c r="C76" s="393" t="s">
        <v>392</v>
      </c>
      <c r="D76" s="402" t="s">
        <v>463</v>
      </c>
      <c r="E76" s="170">
        <v>2.8</v>
      </c>
      <c r="F76" s="410">
        <f>F63</f>
        <v>4</v>
      </c>
      <c r="G76" s="170"/>
      <c r="H76" s="160" t="str">
        <f t="shared" si="5"/>
        <v xml:space="preserve">2,8 х 4 </v>
      </c>
      <c r="I76" s="220">
        <f t="shared" si="6"/>
        <v>11.2</v>
      </c>
    </row>
    <row r="77" spans="1:9" ht="15" customHeight="1" x14ac:dyDescent="0.25">
      <c r="A77" s="170">
        <v>50</v>
      </c>
      <c r="B77" s="188" t="s">
        <v>462</v>
      </c>
      <c r="C77" s="393" t="s">
        <v>392</v>
      </c>
      <c r="D77" s="415" t="s">
        <v>461</v>
      </c>
      <c r="E77" s="170">
        <v>14.7</v>
      </c>
      <c r="F77" s="410">
        <f>F63</f>
        <v>4</v>
      </c>
      <c r="G77" s="170"/>
      <c r="H77" s="160" t="str">
        <f t="shared" si="5"/>
        <v xml:space="preserve">14,7 х 4 </v>
      </c>
      <c r="I77" s="220">
        <f t="shared" si="6"/>
        <v>58.8</v>
      </c>
    </row>
    <row r="78" spans="1:9" ht="15" customHeight="1" x14ac:dyDescent="0.25">
      <c r="A78" s="170">
        <v>51</v>
      </c>
      <c r="B78" s="188" t="s">
        <v>460</v>
      </c>
      <c r="C78" s="393" t="s">
        <v>392</v>
      </c>
      <c r="D78" s="402" t="s">
        <v>459</v>
      </c>
      <c r="E78" s="170">
        <v>14</v>
      </c>
      <c r="F78" s="410">
        <f>F63</f>
        <v>4</v>
      </c>
      <c r="G78" s="170"/>
      <c r="H78" s="160" t="str">
        <f t="shared" si="5"/>
        <v xml:space="preserve">14 х 4 </v>
      </c>
      <c r="I78" s="220">
        <f t="shared" si="6"/>
        <v>56</v>
      </c>
    </row>
    <row r="79" spans="1:9" ht="15" customHeight="1" x14ac:dyDescent="0.25">
      <c r="A79" s="170">
        <v>52</v>
      </c>
      <c r="B79" s="188" t="s">
        <v>458</v>
      </c>
      <c r="C79" s="393" t="s">
        <v>392</v>
      </c>
      <c r="D79" s="402" t="s">
        <v>457</v>
      </c>
      <c r="E79" s="170">
        <v>11.3</v>
      </c>
      <c r="F79" s="410">
        <f>F63</f>
        <v>4</v>
      </c>
      <c r="G79" s="170"/>
      <c r="H79" s="160" t="str">
        <f t="shared" si="5"/>
        <v xml:space="preserve">11,3 х 4 </v>
      </c>
      <c r="I79" s="220">
        <f t="shared" si="6"/>
        <v>45.2</v>
      </c>
    </row>
    <row r="80" spans="1:9" ht="15" customHeight="1" x14ac:dyDescent="0.25">
      <c r="A80" s="170">
        <v>53</v>
      </c>
      <c r="B80" s="188" t="s">
        <v>456</v>
      </c>
      <c r="C80" s="393" t="s">
        <v>392</v>
      </c>
      <c r="D80" s="405" t="s">
        <v>455</v>
      </c>
      <c r="E80" s="170">
        <v>4.0999999999999996</v>
      </c>
      <c r="F80" s="410">
        <f>F63</f>
        <v>4</v>
      </c>
      <c r="G80" s="170"/>
      <c r="H80" s="160" t="str">
        <f t="shared" si="5"/>
        <v xml:space="preserve">4,1 х 4 </v>
      </c>
      <c r="I80" s="220">
        <f t="shared" si="6"/>
        <v>16.399999999999999</v>
      </c>
    </row>
    <row r="81" spans="1:9" ht="15" customHeight="1" x14ac:dyDescent="0.25">
      <c r="A81" s="189">
        <v>54</v>
      </c>
      <c r="B81" s="188" t="s">
        <v>454</v>
      </c>
      <c r="C81" s="393" t="s">
        <v>392</v>
      </c>
      <c r="D81" s="405" t="s">
        <v>453</v>
      </c>
      <c r="E81" s="170">
        <v>19.7</v>
      </c>
      <c r="F81" s="410">
        <f>F63</f>
        <v>4</v>
      </c>
      <c r="G81" s="170"/>
      <c r="H81" s="160" t="str">
        <f t="shared" si="5"/>
        <v xml:space="preserve">19,7 х 4 </v>
      </c>
      <c r="I81" s="220">
        <f t="shared" si="6"/>
        <v>78.8</v>
      </c>
    </row>
    <row r="82" spans="1:9" ht="15" customHeight="1" x14ac:dyDescent="0.25">
      <c r="A82" s="170">
        <v>55</v>
      </c>
      <c r="B82" s="188" t="s">
        <v>452</v>
      </c>
      <c r="C82" s="393" t="s">
        <v>392</v>
      </c>
      <c r="D82" s="402" t="s">
        <v>451</v>
      </c>
      <c r="E82" s="170">
        <v>4.8</v>
      </c>
      <c r="F82" s="410">
        <f>F63</f>
        <v>4</v>
      </c>
      <c r="G82" s="170"/>
      <c r="H82" s="160" t="str">
        <f t="shared" si="5"/>
        <v xml:space="preserve">4,8 х 4 </v>
      </c>
      <c r="I82" s="220">
        <f t="shared" si="6"/>
        <v>19.2</v>
      </c>
    </row>
    <row r="83" spans="1:9" ht="15" customHeight="1" x14ac:dyDescent="0.25">
      <c r="A83" s="170">
        <v>56</v>
      </c>
      <c r="B83" s="188" t="s">
        <v>450</v>
      </c>
      <c r="C83" s="393" t="s">
        <v>392</v>
      </c>
      <c r="D83" s="408" t="s">
        <v>449</v>
      </c>
      <c r="E83" s="170">
        <v>12.2</v>
      </c>
      <c r="F83" s="410">
        <f>F63</f>
        <v>4</v>
      </c>
      <c r="G83" s="170"/>
      <c r="H83" s="160" t="str">
        <f t="shared" si="5"/>
        <v xml:space="preserve">12,2 х 4 </v>
      </c>
      <c r="I83" s="220">
        <f t="shared" si="6"/>
        <v>48.8</v>
      </c>
    </row>
    <row r="84" spans="1:9" ht="15" customHeight="1" x14ac:dyDescent="0.25">
      <c r="A84" s="170">
        <v>57</v>
      </c>
      <c r="B84" s="188" t="s">
        <v>448</v>
      </c>
      <c r="C84" s="393" t="s">
        <v>392</v>
      </c>
      <c r="D84" s="402" t="s">
        <v>447</v>
      </c>
      <c r="E84" s="170">
        <v>8.6999999999999993</v>
      </c>
      <c r="F84" s="410">
        <f>F63</f>
        <v>4</v>
      </c>
      <c r="G84" s="170"/>
      <c r="H84" s="160" t="str">
        <f t="shared" si="5"/>
        <v xml:space="preserve">8,7 х 4 </v>
      </c>
      <c r="I84" s="220">
        <f t="shared" si="6"/>
        <v>34.799999999999997</v>
      </c>
    </row>
    <row r="85" spans="1:9" ht="15" customHeight="1" x14ac:dyDescent="0.25">
      <c r="A85" s="170">
        <v>58</v>
      </c>
      <c r="B85" s="188" t="s">
        <v>446</v>
      </c>
      <c r="C85" s="393" t="s">
        <v>392</v>
      </c>
      <c r="D85" s="402" t="s">
        <v>445</v>
      </c>
      <c r="E85" s="170">
        <v>6.1</v>
      </c>
      <c r="F85" s="410">
        <f>F63</f>
        <v>4</v>
      </c>
      <c r="G85" s="170"/>
      <c r="H85" s="160" t="str">
        <f t="shared" si="5"/>
        <v xml:space="preserve">6,1 х 4 </v>
      </c>
      <c r="I85" s="220">
        <f t="shared" si="6"/>
        <v>24.4</v>
      </c>
    </row>
    <row r="86" spans="1:9" ht="15" customHeight="1" x14ac:dyDescent="0.25">
      <c r="A86" s="170">
        <v>59</v>
      </c>
      <c r="B86" s="188" t="s">
        <v>444</v>
      </c>
      <c r="C86" s="393" t="s">
        <v>392</v>
      </c>
      <c r="D86" s="402" t="s">
        <v>443</v>
      </c>
      <c r="E86" s="170">
        <v>8.1</v>
      </c>
      <c r="F86" s="410">
        <f>F63</f>
        <v>4</v>
      </c>
      <c r="G86" s="170"/>
      <c r="H86" s="160" t="str">
        <f t="shared" si="5"/>
        <v xml:space="preserve">8,1 х 4 </v>
      </c>
      <c r="I86" s="220">
        <f t="shared" si="6"/>
        <v>32.4</v>
      </c>
    </row>
    <row r="87" spans="1:9" ht="15" customHeight="1" x14ac:dyDescent="0.25">
      <c r="A87" s="170">
        <v>60</v>
      </c>
      <c r="B87" s="188" t="s">
        <v>442</v>
      </c>
      <c r="C87" s="393" t="s">
        <v>392</v>
      </c>
      <c r="D87" s="402" t="s">
        <v>441</v>
      </c>
      <c r="E87" s="170">
        <v>21.5</v>
      </c>
      <c r="F87" s="410">
        <f>F63</f>
        <v>4</v>
      </c>
      <c r="G87" s="170"/>
      <c r="H87" s="160" t="str">
        <f t="shared" si="5"/>
        <v xml:space="preserve">21,5 х 4 </v>
      </c>
      <c r="I87" s="220">
        <f t="shared" si="6"/>
        <v>86</v>
      </c>
    </row>
    <row r="88" spans="1:9" ht="15" customHeight="1" x14ac:dyDescent="0.25">
      <c r="A88" s="170">
        <v>61</v>
      </c>
      <c r="B88" s="188" t="s">
        <v>440</v>
      </c>
      <c r="C88" s="393" t="s">
        <v>392</v>
      </c>
      <c r="D88" s="402" t="s">
        <v>439</v>
      </c>
      <c r="E88" s="170">
        <v>9.6</v>
      </c>
      <c r="F88" s="410">
        <f>F63</f>
        <v>4</v>
      </c>
      <c r="G88" s="170"/>
      <c r="H88" s="160" t="str">
        <f t="shared" si="5"/>
        <v xml:space="preserve">9,6 х 4 </v>
      </c>
      <c r="I88" s="220">
        <f t="shared" si="6"/>
        <v>38.4</v>
      </c>
    </row>
    <row r="89" spans="1:9" ht="15" customHeight="1" x14ac:dyDescent="0.25">
      <c r="A89" s="187">
        <v>62</v>
      </c>
      <c r="B89" s="188" t="s">
        <v>438</v>
      </c>
      <c r="C89" s="393" t="s">
        <v>392</v>
      </c>
      <c r="D89" s="405" t="s">
        <v>437</v>
      </c>
      <c r="E89" s="170">
        <v>5.5</v>
      </c>
      <c r="F89" s="410">
        <f>F63</f>
        <v>4</v>
      </c>
      <c r="G89" s="170"/>
      <c r="H89" s="160" t="str">
        <f t="shared" si="5"/>
        <v xml:space="preserve">5,5 х 4 </v>
      </c>
      <c r="I89" s="220">
        <f t="shared" si="6"/>
        <v>22</v>
      </c>
    </row>
    <row r="90" spans="1:9" ht="15" customHeight="1" x14ac:dyDescent="0.25">
      <c r="A90" s="170">
        <v>63</v>
      </c>
      <c r="B90" s="188" t="s">
        <v>436</v>
      </c>
      <c r="C90" s="393" t="s">
        <v>392</v>
      </c>
      <c r="D90" s="405" t="s">
        <v>435</v>
      </c>
      <c r="E90" s="170">
        <v>7.4</v>
      </c>
      <c r="F90" s="410">
        <f>F63</f>
        <v>4</v>
      </c>
      <c r="G90" s="170"/>
      <c r="H90" s="160" t="str">
        <f t="shared" si="5"/>
        <v xml:space="preserve">7,4 х 4 </v>
      </c>
      <c r="I90" s="220">
        <f t="shared" si="6"/>
        <v>29.6</v>
      </c>
    </row>
    <row r="91" spans="1:9" ht="15" customHeight="1" x14ac:dyDescent="0.25">
      <c r="A91" s="187">
        <v>64</v>
      </c>
      <c r="B91" s="188" t="s">
        <v>434</v>
      </c>
      <c r="C91" s="393" t="s">
        <v>392</v>
      </c>
      <c r="D91" s="405" t="s">
        <v>433</v>
      </c>
      <c r="E91" s="170">
        <v>2.6</v>
      </c>
      <c r="F91" s="410">
        <f>F63</f>
        <v>4</v>
      </c>
      <c r="G91" s="170"/>
      <c r="H91" s="160" t="str">
        <f t="shared" si="5"/>
        <v xml:space="preserve">2,6 х 4 </v>
      </c>
      <c r="I91" s="220">
        <f t="shared" si="6"/>
        <v>10.4</v>
      </c>
    </row>
    <row r="92" spans="1:9" ht="15" customHeight="1" x14ac:dyDescent="0.25">
      <c r="A92" s="170">
        <v>65</v>
      </c>
      <c r="B92" s="416" t="s">
        <v>432</v>
      </c>
      <c r="C92" s="417" t="s">
        <v>392</v>
      </c>
      <c r="D92" s="418" t="s">
        <v>431</v>
      </c>
      <c r="E92" s="189">
        <v>147.4</v>
      </c>
      <c r="F92" s="419">
        <f>F63</f>
        <v>4</v>
      </c>
      <c r="G92" s="189"/>
      <c r="H92" s="420" t="str">
        <f t="shared" si="5"/>
        <v xml:space="preserve">147,4 х 4 </v>
      </c>
      <c r="I92" s="220">
        <f t="shared" si="6"/>
        <v>589.6</v>
      </c>
    </row>
    <row r="93" spans="1:9" ht="15" customHeight="1" x14ac:dyDescent="0.25">
      <c r="A93" s="170"/>
      <c r="B93" s="778" t="s">
        <v>430</v>
      </c>
      <c r="C93" s="779"/>
      <c r="D93" s="779"/>
      <c r="E93" s="779"/>
      <c r="F93" s="779"/>
      <c r="G93" s="779"/>
      <c r="H93" s="780"/>
      <c r="I93" s="486">
        <f>SUM(I63:I92)</f>
        <v>1448.8</v>
      </c>
    </row>
    <row r="94" spans="1:9" s="494" customFormat="1" ht="15" customHeight="1" x14ac:dyDescent="0.25">
      <c r="A94" s="493"/>
      <c r="B94" s="781" t="s">
        <v>429</v>
      </c>
      <c r="C94" s="782"/>
      <c r="D94" s="782"/>
      <c r="E94" s="782"/>
      <c r="F94" s="782"/>
      <c r="G94" s="782"/>
      <c r="H94" s="783"/>
      <c r="I94" s="221">
        <f>SUM(I63:I93)</f>
        <v>2897.6</v>
      </c>
    </row>
    <row r="95" spans="1:9" ht="15" customHeight="1" x14ac:dyDescent="0.25">
      <c r="A95" s="170"/>
      <c r="B95" s="729" t="s">
        <v>286</v>
      </c>
      <c r="C95" s="729"/>
      <c r="D95" s="729"/>
      <c r="E95" s="729"/>
      <c r="F95" s="729"/>
      <c r="G95" s="729"/>
      <c r="H95" s="729"/>
      <c r="I95" s="487"/>
    </row>
    <row r="96" spans="1:9" ht="40.9" customHeight="1" x14ac:dyDescent="0.25">
      <c r="A96" s="389">
        <v>66</v>
      </c>
      <c r="B96" s="456" t="s">
        <v>428</v>
      </c>
      <c r="C96" s="457" t="s">
        <v>425</v>
      </c>
      <c r="D96" s="458" t="s">
        <v>427</v>
      </c>
      <c r="E96" s="459">
        <v>18.5</v>
      </c>
      <c r="F96" s="460">
        <v>2</v>
      </c>
      <c r="G96" s="461">
        <v>1.1000000000000001</v>
      </c>
      <c r="H96" s="453" t="str">
        <f>CONCATENATE(E96," х ",F96," х ",G96,)</f>
        <v>18,5 х 2 х 1,1</v>
      </c>
      <c r="I96" s="488">
        <f>E96*F96*G96</f>
        <v>40.700000000000003</v>
      </c>
    </row>
    <row r="97" spans="1:9" ht="46.9" customHeight="1" x14ac:dyDescent="0.25">
      <c r="A97" s="170">
        <v>67</v>
      </c>
      <c r="B97" s="369" t="s">
        <v>426</v>
      </c>
      <c r="C97" s="373" t="s">
        <v>425</v>
      </c>
      <c r="D97" s="373" t="s">
        <v>424</v>
      </c>
      <c r="E97" s="421">
        <v>2.1</v>
      </c>
      <c r="F97" s="422">
        <f>F96</f>
        <v>2</v>
      </c>
      <c r="G97" s="423">
        <v>1.3</v>
      </c>
      <c r="H97" s="160" t="str">
        <f>CONCATENATE(E97," х ",F97," х ",G97,)</f>
        <v>2,1 х 2 х 1,3</v>
      </c>
      <c r="I97" s="488">
        <f>E97*F97*G97</f>
        <v>5.46</v>
      </c>
    </row>
    <row r="98" spans="1:9" ht="40.15" customHeight="1" x14ac:dyDescent="0.25">
      <c r="A98" s="170">
        <v>68</v>
      </c>
      <c r="B98" s="162" t="s">
        <v>423</v>
      </c>
      <c r="C98" s="373" t="s">
        <v>386</v>
      </c>
      <c r="D98" s="182" t="s">
        <v>422</v>
      </c>
      <c r="E98" s="185">
        <v>7.5</v>
      </c>
      <c r="F98" s="424">
        <v>2</v>
      </c>
      <c r="G98" s="182">
        <v>1.3</v>
      </c>
      <c r="H98" s="160" t="str">
        <f>CONCATENATE(E98," х ",F98," х ",G98,)</f>
        <v>7,5 х 2 х 1,3</v>
      </c>
      <c r="I98" s="488">
        <f>E98*F98*G98</f>
        <v>19.5</v>
      </c>
    </row>
    <row r="99" spans="1:9" ht="43.9" customHeight="1" x14ac:dyDescent="0.25">
      <c r="A99" s="170">
        <v>69</v>
      </c>
      <c r="B99" s="372" t="s">
        <v>421</v>
      </c>
      <c r="C99" s="373" t="s">
        <v>411</v>
      </c>
      <c r="D99" s="182" t="s">
        <v>420</v>
      </c>
      <c r="E99" s="425">
        <v>0.2</v>
      </c>
      <c r="F99" s="374">
        <f>I94</f>
        <v>2897.6</v>
      </c>
      <c r="G99" s="426"/>
      <c r="H99" s="160" t="str">
        <f t="shared" ref="H99" si="7">CONCATENATE(E99," х ",F99," ")</f>
        <v xml:space="preserve">0,2 х 2897,6 </v>
      </c>
      <c r="I99" s="468">
        <f>E99*F99</f>
        <v>579.52</v>
      </c>
    </row>
    <row r="100" spans="1:9" ht="15" customHeight="1" x14ac:dyDescent="0.25">
      <c r="A100" s="170">
        <v>70</v>
      </c>
      <c r="B100" s="427" t="s">
        <v>419</v>
      </c>
      <c r="C100" s="426" t="s">
        <v>418</v>
      </c>
      <c r="D100" s="182" t="s">
        <v>417</v>
      </c>
      <c r="E100" s="428">
        <v>161</v>
      </c>
      <c r="F100" s="426">
        <f>F36</f>
        <v>3</v>
      </c>
      <c r="G100" s="426">
        <v>1</v>
      </c>
      <c r="H100" s="160" t="str">
        <f>CONCATENATE(E100," х ",F100," х ",G100,)</f>
        <v>161 х 3 х 1</v>
      </c>
      <c r="I100" s="489">
        <f>E100*F100</f>
        <v>483</v>
      </c>
    </row>
    <row r="101" spans="1:9" ht="15" customHeight="1" x14ac:dyDescent="0.25">
      <c r="A101" s="170"/>
      <c r="B101" s="735" t="s">
        <v>416</v>
      </c>
      <c r="C101" s="736"/>
      <c r="D101" s="736"/>
      <c r="E101" s="736"/>
      <c r="F101" s="736"/>
      <c r="G101" s="736"/>
      <c r="H101" s="737"/>
      <c r="I101" s="490">
        <f>SUM(I96:I100)</f>
        <v>1128.18</v>
      </c>
    </row>
    <row r="102" spans="1:9" ht="25.5" customHeight="1" x14ac:dyDescent="0.25">
      <c r="A102" s="170">
        <v>71</v>
      </c>
      <c r="B102" s="429" t="s">
        <v>1258</v>
      </c>
      <c r="C102" s="402" t="s">
        <v>415</v>
      </c>
      <c r="D102" s="405" t="s">
        <v>1274</v>
      </c>
      <c r="E102" s="406">
        <v>0.21</v>
      </c>
      <c r="F102" s="465">
        <f>I101</f>
        <v>1128.18</v>
      </c>
      <c r="G102" s="399"/>
      <c r="H102" s="453" t="str">
        <f>CONCATENATE(E102," х ",F102)</f>
        <v>0,21 х 1128,18</v>
      </c>
      <c r="I102" s="491">
        <f>(F102*E102)</f>
        <v>236.92</v>
      </c>
    </row>
    <row r="103" spans="1:9" s="494" customFormat="1" ht="15" customHeight="1" x14ac:dyDescent="0.25">
      <c r="A103" s="493"/>
      <c r="B103" s="738" t="s">
        <v>414</v>
      </c>
      <c r="C103" s="739"/>
      <c r="D103" s="739"/>
      <c r="E103" s="739"/>
      <c r="F103" s="739"/>
      <c r="G103" s="739"/>
      <c r="H103" s="740"/>
      <c r="I103" s="495">
        <f>SUM(I101:I102)</f>
        <v>1365.1</v>
      </c>
    </row>
    <row r="104" spans="1:9" ht="15" customHeight="1" x14ac:dyDescent="0.25">
      <c r="A104" s="170"/>
      <c r="B104" s="741" t="s">
        <v>251</v>
      </c>
      <c r="C104" s="742"/>
      <c r="D104" s="742"/>
      <c r="E104" s="742"/>
      <c r="F104" s="742"/>
      <c r="G104" s="742"/>
      <c r="H104" s="742"/>
      <c r="I104" s="743"/>
    </row>
    <row r="105" spans="1:9" ht="48" customHeight="1" x14ac:dyDescent="0.25">
      <c r="A105" s="170">
        <v>72</v>
      </c>
      <c r="B105" s="180" t="s">
        <v>1275</v>
      </c>
      <c r="C105" s="430" t="s">
        <v>411</v>
      </c>
      <c r="D105" s="179" t="s">
        <v>1259</v>
      </c>
      <c r="E105" s="431">
        <v>0.1125</v>
      </c>
      <c r="F105" s="432">
        <f>I38</f>
        <v>3120.22</v>
      </c>
      <c r="G105" s="399"/>
      <c r="H105" s="160" t="str">
        <f t="shared" ref="H105:H106" si="8">CONCATENATE(E105," х ",F105," ")</f>
        <v xml:space="preserve">0,1125 х 3120,22 </v>
      </c>
      <c r="I105" s="480">
        <f>E105*F105</f>
        <v>351.02</v>
      </c>
    </row>
    <row r="106" spans="1:9" ht="15" customHeight="1" x14ac:dyDescent="0.25">
      <c r="A106" s="170">
        <v>73</v>
      </c>
      <c r="B106" s="178" t="s">
        <v>1260</v>
      </c>
      <c r="C106" s="430" t="s">
        <v>411</v>
      </c>
      <c r="D106" s="177" t="s">
        <v>413</v>
      </c>
      <c r="E106" s="433">
        <v>0.19600000000000001</v>
      </c>
      <c r="F106" s="176">
        <f>F105+I105</f>
        <v>3471.24</v>
      </c>
      <c r="G106" s="434"/>
      <c r="H106" s="160" t="str">
        <f t="shared" si="8"/>
        <v xml:space="preserve">0,196 х 3471,24 </v>
      </c>
      <c r="I106" s="480">
        <f>E106*F106</f>
        <v>680.36</v>
      </c>
    </row>
    <row r="107" spans="1:9" ht="15" customHeight="1" x14ac:dyDescent="0.25">
      <c r="A107" s="170">
        <v>74</v>
      </c>
      <c r="B107" s="175" t="s">
        <v>412</v>
      </c>
      <c r="C107" s="435" t="s">
        <v>411</v>
      </c>
      <c r="D107" s="174" t="s">
        <v>410</v>
      </c>
      <c r="E107" s="436">
        <v>0.06</v>
      </c>
      <c r="F107" s="173">
        <f>F106</f>
        <v>3471.24</v>
      </c>
      <c r="G107" s="437">
        <v>2</v>
      </c>
      <c r="H107" s="160" t="str">
        <f>CONCATENATE(E107," х ",F107," х ",G107)</f>
        <v>0,06 х 3471,24 х 2</v>
      </c>
      <c r="I107" s="492">
        <f>E107*F107*G107</f>
        <v>416.55</v>
      </c>
    </row>
    <row r="108" spans="1:9" s="494" customFormat="1" ht="15" customHeight="1" x14ac:dyDescent="0.25">
      <c r="A108" s="493"/>
      <c r="B108" s="765" t="s">
        <v>409</v>
      </c>
      <c r="C108" s="766"/>
      <c r="D108" s="766"/>
      <c r="E108" s="766"/>
      <c r="F108" s="766"/>
      <c r="G108" s="766"/>
      <c r="H108" s="767"/>
      <c r="I108" s="222">
        <f>SUM(I105:I107)</f>
        <v>1447.93</v>
      </c>
    </row>
    <row r="109" spans="1:9" ht="15" customHeight="1" x14ac:dyDescent="0.25">
      <c r="A109" s="170"/>
      <c r="B109" s="768" t="s">
        <v>408</v>
      </c>
      <c r="C109" s="769"/>
      <c r="D109" s="769"/>
      <c r="E109" s="769"/>
      <c r="F109" s="769"/>
      <c r="G109" s="769"/>
      <c r="H109" s="770"/>
      <c r="I109" s="223">
        <f>I38+I94+I103+I108</f>
        <v>8830.85</v>
      </c>
    </row>
    <row r="110" spans="1:9" s="494" customFormat="1" ht="15" customHeight="1" x14ac:dyDescent="0.25">
      <c r="A110" s="493"/>
      <c r="B110" s="771" t="s">
        <v>407</v>
      </c>
      <c r="C110" s="772"/>
      <c r="D110" s="772"/>
      <c r="E110" s="772"/>
      <c r="F110" s="772"/>
      <c r="G110" s="772"/>
      <c r="H110" s="773"/>
      <c r="I110" s="222">
        <f>I109*80.58</f>
        <v>711589.89</v>
      </c>
    </row>
    <row r="111" spans="1:9" ht="63.6" customHeight="1" x14ac:dyDescent="0.25">
      <c r="A111" s="170"/>
      <c r="B111" s="774" t="s">
        <v>406</v>
      </c>
      <c r="C111" s="774"/>
      <c r="D111" s="774"/>
      <c r="E111" s="774"/>
      <c r="F111" s="774"/>
      <c r="G111" s="774"/>
      <c r="H111" s="774"/>
      <c r="I111" s="774"/>
    </row>
    <row r="112" spans="1:9" ht="26.45" customHeight="1" x14ac:dyDescent="0.25">
      <c r="A112" s="170"/>
      <c r="B112" s="774" t="s">
        <v>405</v>
      </c>
      <c r="C112" s="774"/>
      <c r="D112" s="774"/>
      <c r="E112" s="774"/>
      <c r="F112" s="774"/>
      <c r="G112" s="774"/>
      <c r="H112" s="774"/>
      <c r="I112" s="774"/>
    </row>
    <row r="113" spans="1:9" ht="14.45" customHeight="1" x14ac:dyDescent="0.25">
      <c r="A113" s="187"/>
      <c r="B113" s="775" t="s">
        <v>404</v>
      </c>
      <c r="C113" s="776"/>
      <c r="D113" s="776"/>
      <c r="E113" s="776"/>
      <c r="F113" s="776"/>
      <c r="G113" s="776"/>
      <c r="H113" s="777"/>
      <c r="I113" s="163"/>
    </row>
    <row r="114" spans="1:9" ht="15" customHeight="1" x14ac:dyDescent="0.25">
      <c r="A114" s="170">
        <v>75</v>
      </c>
      <c r="B114" s="171" t="s">
        <v>403</v>
      </c>
      <c r="C114" s="393" t="s">
        <v>392</v>
      </c>
      <c r="D114" s="358" t="s">
        <v>402</v>
      </c>
      <c r="E114" s="161">
        <v>1900</v>
      </c>
      <c r="F114" s="163">
        <f>F63</f>
        <v>4</v>
      </c>
      <c r="G114" s="163"/>
      <c r="H114" s="160" t="str">
        <f t="shared" ref="H114:H119" si="9">CONCATENATE(E114," х ",F114," ")</f>
        <v xml:space="preserve">1900 х 4 </v>
      </c>
      <c r="I114" s="498">
        <f t="shared" ref="I114:I119" si="10">E114*F114</f>
        <v>7600</v>
      </c>
    </row>
    <row r="115" spans="1:9" x14ac:dyDescent="0.25">
      <c r="A115" s="186">
        <v>76</v>
      </c>
      <c r="B115" s="171" t="s">
        <v>401</v>
      </c>
      <c r="C115" s="393" t="s">
        <v>392</v>
      </c>
      <c r="D115" s="358" t="s">
        <v>400</v>
      </c>
      <c r="E115" s="161">
        <v>2300</v>
      </c>
      <c r="F115" s="163">
        <f>F114</f>
        <v>4</v>
      </c>
      <c r="G115" s="163"/>
      <c r="H115" s="160" t="str">
        <f t="shared" si="9"/>
        <v xml:space="preserve">2300 х 4 </v>
      </c>
      <c r="I115" s="498">
        <f t="shared" si="10"/>
        <v>9200</v>
      </c>
    </row>
    <row r="116" spans="1:9" x14ac:dyDescent="0.25">
      <c r="A116" s="184">
        <v>77</v>
      </c>
      <c r="B116" s="171" t="s">
        <v>399</v>
      </c>
      <c r="C116" s="393" t="s">
        <v>392</v>
      </c>
      <c r="D116" s="358" t="s">
        <v>398</v>
      </c>
      <c r="E116" s="161">
        <v>2300</v>
      </c>
      <c r="F116" s="163">
        <f>F114</f>
        <v>4</v>
      </c>
      <c r="G116" s="358"/>
      <c r="H116" s="160" t="str">
        <f t="shared" si="9"/>
        <v xml:space="preserve">2300 х 4 </v>
      </c>
      <c r="I116" s="498">
        <f t="shared" si="10"/>
        <v>9200</v>
      </c>
    </row>
    <row r="117" spans="1:9" x14ac:dyDescent="0.25">
      <c r="A117" s="183">
        <v>78</v>
      </c>
      <c r="B117" s="171" t="s">
        <v>397</v>
      </c>
      <c r="C117" s="393" t="s">
        <v>392</v>
      </c>
      <c r="D117" s="358" t="s">
        <v>396</v>
      </c>
      <c r="E117" s="161">
        <v>2300</v>
      </c>
      <c r="F117" s="163">
        <f>F114</f>
        <v>4</v>
      </c>
      <c r="G117" s="358"/>
      <c r="H117" s="160" t="str">
        <f t="shared" si="9"/>
        <v xml:space="preserve">2300 х 4 </v>
      </c>
      <c r="I117" s="498">
        <f t="shared" si="10"/>
        <v>9200</v>
      </c>
    </row>
    <row r="118" spans="1:9" ht="15" customHeight="1" x14ac:dyDescent="0.25">
      <c r="A118" s="438">
        <v>79</v>
      </c>
      <c r="B118" s="172" t="s">
        <v>395</v>
      </c>
      <c r="C118" s="393" t="s">
        <v>392</v>
      </c>
      <c r="D118" s="163" t="s">
        <v>394</v>
      </c>
      <c r="E118" s="161">
        <v>900</v>
      </c>
      <c r="F118" s="163">
        <f>F114</f>
        <v>4</v>
      </c>
      <c r="G118" s="163"/>
      <c r="H118" s="160" t="str">
        <f t="shared" si="9"/>
        <v xml:space="preserve">900 х 4 </v>
      </c>
      <c r="I118" s="498">
        <f t="shared" si="10"/>
        <v>3600</v>
      </c>
    </row>
    <row r="119" spans="1:9" ht="15.75" customHeight="1" x14ac:dyDescent="0.25">
      <c r="A119" s="170">
        <v>80</v>
      </c>
      <c r="B119" s="171" t="s">
        <v>393</v>
      </c>
      <c r="C119" s="393" t="s">
        <v>392</v>
      </c>
      <c r="D119" s="358" t="s">
        <v>391</v>
      </c>
      <c r="E119" s="161">
        <v>1400</v>
      </c>
      <c r="F119" s="163">
        <f>F114</f>
        <v>4</v>
      </c>
      <c r="G119" s="163"/>
      <c r="H119" s="160" t="str">
        <f t="shared" si="9"/>
        <v xml:space="preserve">1400 х 4 </v>
      </c>
      <c r="I119" s="498">
        <f t="shared" si="10"/>
        <v>5600</v>
      </c>
    </row>
    <row r="120" spans="1:9" x14ac:dyDescent="0.25">
      <c r="A120" s="181"/>
      <c r="B120" s="756" t="s">
        <v>390</v>
      </c>
      <c r="C120" s="757"/>
      <c r="D120" s="757"/>
      <c r="E120" s="757"/>
      <c r="F120" s="757"/>
      <c r="G120" s="757"/>
      <c r="H120" s="758"/>
      <c r="I120" s="499"/>
    </row>
    <row r="121" spans="1:9" x14ac:dyDescent="0.25">
      <c r="A121" s="439">
        <v>81</v>
      </c>
      <c r="B121" s="401" t="s">
        <v>389</v>
      </c>
      <c r="C121" s="358" t="s">
        <v>386</v>
      </c>
      <c r="D121" s="163" t="s">
        <v>388</v>
      </c>
      <c r="E121" s="166">
        <v>3200</v>
      </c>
      <c r="F121" s="163">
        <v>1</v>
      </c>
      <c r="G121" s="163"/>
      <c r="H121" s="160" t="str">
        <f t="shared" ref="H121:H122" si="11">CONCATENATE(E121," х ",F121," ")</f>
        <v xml:space="preserve">3200 х 1 </v>
      </c>
      <c r="I121" s="498">
        <f>E121*F121</f>
        <v>3200</v>
      </c>
    </row>
    <row r="122" spans="1:9" x14ac:dyDescent="0.25">
      <c r="A122" s="413">
        <v>82</v>
      </c>
      <c r="B122" s="414" t="s">
        <v>387</v>
      </c>
      <c r="C122" s="440" t="s">
        <v>386</v>
      </c>
      <c r="D122" s="359" t="s">
        <v>385</v>
      </c>
      <c r="E122" s="441">
        <v>16000</v>
      </c>
      <c r="F122" s="359">
        <v>1</v>
      </c>
      <c r="G122" s="359"/>
      <c r="H122" s="420" t="str">
        <f t="shared" si="11"/>
        <v xml:space="preserve">16000 х 1 </v>
      </c>
      <c r="I122" s="500">
        <f>E122*F122</f>
        <v>16000</v>
      </c>
    </row>
    <row r="123" spans="1:9" x14ac:dyDescent="0.25">
      <c r="A123" s="442"/>
      <c r="B123" s="443"/>
      <c r="C123" s="358"/>
      <c r="D123" s="358" t="s">
        <v>1261</v>
      </c>
      <c r="E123" s="166"/>
      <c r="F123" s="358"/>
      <c r="G123" s="358"/>
      <c r="H123" s="444"/>
      <c r="I123" s="501">
        <f>I114+I115+I116+I117+I118+I119+I121+I122</f>
        <v>63600</v>
      </c>
    </row>
    <row r="124" spans="1:9" x14ac:dyDescent="0.25">
      <c r="A124" s="181">
        <v>83</v>
      </c>
      <c r="B124" s="784" t="s">
        <v>384</v>
      </c>
      <c r="C124" s="785"/>
      <c r="D124" s="785"/>
      <c r="E124" s="785"/>
      <c r="F124" s="785"/>
      <c r="G124" s="785"/>
      <c r="H124" s="785"/>
      <c r="I124" s="502"/>
    </row>
    <row r="125" spans="1:9" ht="15" customHeight="1" x14ac:dyDescent="0.25">
      <c r="A125" s="445">
        <v>84</v>
      </c>
      <c r="B125" s="169" t="s">
        <v>1262</v>
      </c>
      <c r="C125" s="356" t="s">
        <v>383</v>
      </c>
      <c r="D125" s="759" t="s">
        <v>382</v>
      </c>
      <c r="E125" s="168">
        <v>31310.32</v>
      </c>
      <c r="F125" s="163">
        <v>1</v>
      </c>
      <c r="G125" s="163"/>
      <c r="H125" s="160" t="str">
        <f t="shared" ref="H125:H138" si="12">CONCATENATE(E125," х ",F125," ")</f>
        <v xml:space="preserve">31310,32 х 1 </v>
      </c>
      <c r="I125" s="498">
        <f>E125*F125</f>
        <v>31310.32</v>
      </c>
    </row>
    <row r="126" spans="1:9" ht="40.15" customHeight="1" x14ac:dyDescent="0.25">
      <c r="A126" s="762"/>
      <c r="B126" s="169" t="s">
        <v>1263</v>
      </c>
      <c r="C126" s="356"/>
      <c r="D126" s="760"/>
      <c r="E126" s="161"/>
      <c r="F126" s="507"/>
      <c r="G126" s="507"/>
      <c r="H126" s="507"/>
      <c r="I126" s="498"/>
    </row>
    <row r="127" spans="1:9" ht="18" customHeight="1" x14ac:dyDescent="0.25">
      <c r="A127" s="763"/>
      <c r="B127" s="169" t="s">
        <v>1264</v>
      </c>
      <c r="C127" s="356"/>
      <c r="D127" s="760"/>
      <c r="E127" s="508"/>
      <c r="F127" s="508"/>
      <c r="G127" s="508"/>
      <c r="H127" s="508"/>
      <c r="I127" s="498"/>
    </row>
    <row r="128" spans="1:9" ht="49.9" customHeight="1" x14ac:dyDescent="0.25">
      <c r="A128" s="763"/>
      <c r="B128" s="169" t="s">
        <v>1265</v>
      </c>
      <c r="C128" s="356"/>
      <c r="D128" s="760"/>
      <c r="E128" s="508"/>
      <c r="F128" s="508"/>
      <c r="G128" s="508"/>
      <c r="H128" s="508"/>
      <c r="I128" s="498"/>
    </row>
    <row r="129" spans="1:9" ht="28.9" customHeight="1" x14ac:dyDescent="0.25">
      <c r="A129" s="763"/>
      <c r="B129" s="169" t="s">
        <v>1266</v>
      </c>
      <c r="C129" s="356"/>
      <c r="D129" s="760"/>
      <c r="E129" s="508"/>
      <c r="F129" s="508"/>
      <c r="G129" s="508"/>
      <c r="H129" s="508"/>
      <c r="I129" s="498"/>
    </row>
    <row r="130" spans="1:9" ht="15" customHeight="1" x14ac:dyDescent="0.25">
      <c r="A130" s="764"/>
      <c r="B130" s="169" t="s">
        <v>1267</v>
      </c>
      <c r="C130" s="356"/>
      <c r="D130" s="760"/>
      <c r="E130" s="508"/>
      <c r="F130" s="508"/>
      <c r="G130" s="508"/>
      <c r="H130" s="508"/>
      <c r="I130" s="498"/>
    </row>
    <row r="131" spans="1:9" ht="47.25" x14ac:dyDescent="0.25">
      <c r="A131" s="411">
        <v>85</v>
      </c>
      <c r="B131" s="167" t="s">
        <v>1268</v>
      </c>
      <c r="C131" s="163" t="s">
        <v>381</v>
      </c>
      <c r="D131" s="760"/>
      <c r="E131" s="508"/>
      <c r="F131" s="508"/>
      <c r="G131" s="508"/>
      <c r="H131" s="508"/>
      <c r="I131" s="498">
        <f>E132+E133+E134+E135+E136+E137</f>
        <v>2404.7600000000002</v>
      </c>
    </row>
    <row r="132" spans="1:9" ht="15" customHeight="1" x14ac:dyDescent="0.25">
      <c r="A132" s="786"/>
      <c r="B132" s="165" t="s">
        <v>380</v>
      </c>
      <c r="C132" s="163"/>
      <c r="D132" s="760"/>
      <c r="E132" s="161">
        <v>291.88</v>
      </c>
      <c r="F132" s="358">
        <v>1</v>
      </c>
      <c r="G132" s="163"/>
      <c r="H132" s="164" t="str">
        <f t="shared" si="12"/>
        <v xml:space="preserve">291,88 х 1 </v>
      </c>
      <c r="I132" s="498"/>
    </row>
    <row r="133" spans="1:9" ht="15.75" x14ac:dyDescent="0.25">
      <c r="A133" s="787"/>
      <c r="B133" s="165" t="s">
        <v>379</v>
      </c>
      <c r="C133" s="163"/>
      <c r="D133" s="760"/>
      <c r="E133" s="161">
        <v>401.26</v>
      </c>
      <c r="F133" s="358">
        <v>1</v>
      </c>
      <c r="G133" s="163"/>
      <c r="H133" s="164" t="str">
        <f t="shared" si="12"/>
        <v xml:space="preserve">401,26 х 1 </v>
      </c>
      <c r="I133" s="498"/>
    </row>
    <row r="134" spans="1:9" ht="15.75" x14ac:dyDescent="0.25">
      <c r="A134" s="787"/>
      <c r="B134" s="165" t="s">
        <v>378</v>
      </c>
      <c r="C134" s="163"/>
      <c r="D134" s="760"/>
      <c r="E134" s="161">
        <v>401.26</v>
      </c>
      <c r="F134" s="163">
        <v>1</v>
      </c>
      <c r="G134" s="163"/>
      <c r="H134" s="164" t="str">
        <f t="shared" si="12"/>
        <v xml:space="preserve">401,26 х 1 </v>
      </c>
      <c r="I134" s="498"/>
    </row>
    <row r="135" spans="1:9" ht="18" customHeight="1" x14ac:dyDescent="0.25">
      <c r="A135" s="787"/>
      <c r="B135" s="165" t="s">
        <v>377</v>
      </c>
      <c r="C135" s="163"/>
      <c r="D135" s="760"/>
      <c r="E135" s="166">
        <v>293.05</v>
      </c>
      <c r="F135" s="163">
        <v>1</v>
      </c>
      <c r="G135" s="163"/>
      <c r="H135" s="164" t="str">
        <f t="shared" si="12"/>
        <v xml:space="preserve">293,05 х 1 </v>
      </c>
      <c r="I135" s="498"/>
    </row>
    <row r="136" spans="1:9" ht="16.5" customHeight="1" x14ac:dyDescent="0.25">
      <c r="A136" s="787"/>
      <c r="B136" s="165" t="s">
        <v>376</v>
      </c>
      <c r="C136" s="163"/>
      <c r="D136" s="760"/>
      <c r="E136" s="166">
        <v>526.54</v>
      </c>
      <c r="F136" s="163">
        <v>1</v>
      </c>
      <c r="G136" s="163"/>
      <c r="H136" s="164" t="str">
        <f t="shared" si="12"/>
        <v xml:space="preserve">526,54 х 1 </v>
      </c>
      <c r="I136" s="498"/>
    </row>
    <row r="137" spans="1:9" ht="16.5" customHeight="1" x14ac:dyDescent="0.25">
      <c r="A137" s="788"/>
      <c r="B137" s="165" t="s">
        <v>375</v>
      </c>
      <c r="C137" s="163"/>
      <c r="D137" s="761"/>
      <c r="E137" s="161">
        <v>490.77</v>
      </c>
      <c r="F137" s="358">
        <v>1</v>
      </c>
      <c r="G137" s="163"/>
      <c r="H137" s="164" t="str">
        <f t="shared" si="12"/>
        <v xml:space="preserve">490,77 х 1 </v>
      </c>
      <c r="I137" s="498"/>
    </row>
    <row r="138" spans="1:9" ht="61.9" customHeight="1" x14ac:dyDescent="0.25">
      <c r="A138" s="446">
        <v>86</v>
      </c>
      <c r="B138" s="165" t="s">
        <v>1269</v>
      </c>
      <c r="C138" s="163" t="s">
        <v>1270</v>
      </c>
      <c r="D138" s="356" t="s">
        <v>1271</v>
      </c>
      <c r="E138" s="161">
        <v>55789.34</v>
      </c>
      <c r="F138" s="358">
        <v>1</v>
      </c>
      <c r="G138" s="163"/>
      <c r="H138" s="164" t="str">
        <f t="shared" si="12"/>
        <v xml:space="preserve">55789,34 х 1 </v>
      </c>
      <c r="I138" s="498">
        <f>E138*F138</f>
        <v>55789.34</v>
      </c>
    </row>
    <row r="139" spans="1:9" ht="25.9" customHeight="1" x14ac:dyDescent="0.25">
      <c r="A139" s="447"/>
      <c r="B139" s="789" t="s">
        <v>374</v>
      </c>
      <c r="C139" s="785"/>
      <c r="D139" s="785"/>
      <c r="E139" s="785"/>
      <c r="F139" s="785"/>
      <c r="G139" s="785"/>
      <c r="H139" s="790"/>
      <c r="I139" s="499"/>
    </row>
    <row r="140" spans="1:9" ht="19.899999999999999" customHeight="1" x14ac:dyDescent="0.25">
      <c r="A140" s="447"/>
      <c r="B140" s="791" t="s">
        <v>1272</v>
      </c>
      <c r="C140" s="792"/>
      <c r="D140" s="792"/>
      <c r="E140" s="792"/>
      <c r="F140" s="792"/>
      <c r="G140" s="792"/>
      <c r="H140" s="793"/>
      <c r="I140" s="503"/>
    </row>
    <row r="141" spans="1:9" ht="37.9" customHeight="1" x14ac:dyDescent="0.25">
      <c r="A141" s="383">
        <v>87</v>
      </c>
      <c r="B141" s="162" t="s">
        <v>373</v>
      </c>
      <c r="C141" s="411" t="s">
        <v>372</v>
      </c>
      <c r="D141" s="440"/>
      <c r="E141" s="161">
        <v>107899.54</v>
      </c>
      <c r="F141" s="448">
        <v>15</v>
      </c>
      <c r="G141" s="449"/>
      <c r="H141" s="160" t="str">
        <f t="shared" ref="H141" si="13">CONCATENATE(E141," х ",F141," ")</f>
        <v xml:space="preserve">107899,54 х 15 </v>
      </c>
      <c r="I141" s="504">
        <f>E141*F141</f>
        <v>1618493.1</v>
      </c>
    </row>
    <row r="142" spans="1:9" s="494" customFormat="1" ht="18.75" customHeight="1" x14ac:dyDescent="0.25">
      <c r="A142" s="493"/>
      <c r="B142" s="794" t="s">
        <v>371</v>
      </c>
      <c r="C142" s="795"/>
      <c r="D142" s="795"/>
      <c r="E142" s="795"/>
      <c r="F142" s="795"/>
      <c r="G142" s="795"/>
      <c r="H142" s="796"/>
      <c r="I142" s="506">
        <f>SUM(I114:I141)</f>
        <v>1835197.52</v>
      </c>
    </row>
    <row r="143" spans="1:9" ht="21.75" customHeight="1" x14ac:dyDescent="0.25">
      <c r="A143" s="447"/>
      <c r="B143" s="749" t="s">
        <v>1273</v>
      </c>
      <c r="C143" s="750"/>
      <c r="D143" s="750"/>
      <c r="E143" s="750"/>
      <c r="F143" s="750"/>
      <c r="G143" s="750"/>
      <c r="H143" s="751"/>
      <c r="I143" s="505">
        <f>I110+I142</f>
        <v>2546787.41</v>
      </c>
    </row>
    <row r="144" spans="1:9" ht="18.75" customHeight="1" x14ac:dyDescent="0.25">
      <c r="A144" s="159"/>
    </row>
    <row r="145" spans="1:1" ht="18.75" customHeight="1" x14ac:dyDescent="0.25">
      <c r="A145" s="159"/>
    </row>
    <row r="146" spans="1:1" x14ac:dyDescent="0.25">
      <c r="A146" s="159"/>
    </row>
    <row r="147" spans="1:1" x14ac:dyDescent="0.25">
      <c r="A147" s="158"/>
    </row>
    <row r="148" spans="1:1" x14ac:dyDescent="0.25">
      <c r="A148" s="158"/>
    </row>
    <row r="149" spans="1:1" x14ac:dyDescent="0.25">
      <c r="A149" s="158"/>
    </row>
    <row r="150" spans="1:1" x14ac:dyDescent="0.25">
      <c r="A150" s="157"/>
    </row>
    <row r="151" spans="1:1" x14ac:dyDescent="0.25">
      <c r="A151" s="156"/>
    </row>
    <row r="152" spans="1:1" x14ac:dyDescent="0.25">
      <c r="A152" s="155"/>
    </row>
    <row r="153" spans="1:1" x14ac:dyDescent="0.25">
      <c r="A153" s="155"/>
    </row>
    <row r="154" spans="1:1" x14ac:dyDescent="0.25">
      <c r="A154" s="154"/>
    </row>
  </sheetData>
  <mergeCells count="45">
    <mergeCell ref="B124:H124"/>
    <mergeCell ref="A132:A137"/>
    <mergeCell ref="B139:H139"/>
    <mergeCell ref="B140:H140"/>
    <mergeCell ref="B142:H142"/>
    <mergeCell ref="B143:H143"/>
    <mergeCell ref="A20:H20"/>
    <mergeCell ref="A27:H27"/>
    <mergeCell ref="A35:H35"/>
    <mergeCell ref="B53:H53"/>
    <mergeCell ref="B120:H120"/>
    <mergeCell ref="D125:D137"/>
    <mergeCell ref="A126:A130"/>
    <mergeCell ref="B108:H108"/>
    <mergeCell ref="B109:H109"/>
    <mergeCell ref="B110:H110"/>
    <mergeCell ref="B111:I111"/>
    <mergeCell ref="B112:I112"/>
    <mergeCell ref="B113:H113"/>
    <mergeCell ref="B93:H93"/>
    <mergeCell ref="B94:H94"/>
    <mergeCell ref="B101:H101"/>
    <mergeCell ref="B103:H103"/>
    <mergeCell ref="B104:I104"/>
    <mergeCell ref="B95:H95"/>
    <mergeCell ref="B38:H38"/>
    <mergeCell ref="B61:H61"/>
    <mergeCell ref="B40:H40"/>
    <mergeCell ref="B39:H39"/>
    <mergeCell ref="B62:H62"/>
    <mergeCell ref="B15:H15"/>
    <mergeCell ref="B37:H37"/>
    <mergeCell ref="A16:H16"/>
    <mergeCell ref="A10:A11"/>
    <mergeCell ref="B10:B11"/>
    <mergeCell ref="C10:C11"/>
    <mergeCell ref="D10:D11"/>
    <mergeCell ref="E10:I10"/>
    <mergeCell ref="A13:H13"/>
    <mergeCell ref="A8:I8"/>
    <mergeCell ref="A1:I1"/>
    <mergeCell ref="A2:I2"/>
    <mergeCell ref="A3:I3"/>
    <mergeCell ref="A6:I6"/>
    <mergeCell ref="A7:D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
  <sheetViews>
    <sheetView showRuler="0" workbookViewId="0">
      <selection activeCell="I13" sqref="I13"/>
    </sheetView>
  </sheetViews>
  <sheetFormatPr defaultRowHeight="15" x14ac:dyDescent="0.25"/>
  <cols>
    <col min="1" max="50" width="8" style="360" customWidth="1"/>
    <col min="51" max="16384" width="9.140625" style="153"/>
  </cols>
  <sheetData>
    <row r="1" spans="1:16" ht="27.2" customHeight="1" x14ac:dyDescent="0.25">
      <c r="A1" s="679" t="s">
        <v>231</v>
      </c>
      <c r="B1" s="679"/>
      <c r="C1" s="679"/>
      <c r="D1" s="679"/>
      <c r="E1" s="680" t="s">
        <v>303</v>
      </c>
      <c r="F1" s="680"/>
      <c r="G1" s="680"/>
      <c r="H1" s="680"/>
      <c r="I1" s="680"/>
      <c r="J1" s="680"/>
      <c r="K1" s="680"/>
      <c r="L1" s="680"/>
      <c r="M1" s="680"/>
      <c r="N1" s="680"/>
      <c r="O1" s="680"/>
      <c r="P1" s="680"/>
    </row>
    <row r="2" spans="1:16" ht="15" customHeight="1" x14ac:dyDescent="0.25"/>
    <row r="3" spans="1:16" ht="15" customHeight="1" x14ac:dyDescent="0.25">
      <c r="A3" s="800" t="s">
        <v>1210</v>
      </c>
      <c r="B3" s="800"/>
      <c r="C3" s="800"/>
      <c r="D3" s="800"/>
      <c r="E3" s="800"/>
      <c r="F3" s="800"/>
      <c r="G3" s="800"/>
      <c r="H3" s="800"/>
      <c r="I3" s="800"/>
      <c r="J3" s="800"/>
      <c r="K3" s="800"/>
      <c r="L3" s="800"/>
      <c r="M3" s="800"/>
      <c r="N3" s="800"/>
      <c r="O3" s="800"/>
      <c r="P3" s="800"/>
    </row>
    <row r="4" spans="1:16" ht="15" customHeight="1" x14ac:dyDescent="0.25">
      <c r="A4" s="801" t="s">
        <v>1209</v>
      </c>
      <c r="B4" s="801"/>
      <c r="C4" s="801"/>
      <c r="D4" s="801"/>
      <c r="E4" s="801"/>
      <c r="F4" s="801"/>
      <c r="G4" s="801"/>
      <c r="H4" s="801"/>
      <c r="I4" s="801"/>
      <c r="J4" s="801"/>
      <c r="K4" s="801"/>
      <c r="L4" s="801"/>
      <c r="M4" s="801"/>
      <c r="N4" s="801"/>
      <c r="O4" s="801"/>
      <c r="P4" s="801"/>
    </row>
    <row r="5" spans="1:16" ht="15" customHeight="1" x14ac:dyDescent="0.25"/>
    <row r="6" spans="1:16" ht="40.9" customHeight="1" x14ac:dyDescent="0.25">
      <c r="A6" s="671" t="s">
        <v>230</v>
      </c>
      <c r="B6" s="671"/>
      <c r="C6" s="671"/>
      <c r="D6" s="671"/>
      <c r="E6" s="671"/>
      <c r="F6" s="799" t="s">
        <v>1431</v>
      </c>
      <c r="G6" s="799"/>
      <c r="H6" s="799"/>
      <c r="I6" s="799"/>
      <c r="J6" s="799"/>
      <c r="K6" s="799"/>
      <c r="L6" s="799"/>
      <c r="M6" s="799"/>
      <c r="N6" s="799"/>
      <c r="O6" s="799"/>
      <c r="P6" s="799"/>
    </row>
    <row r="7" spans="1:16" ht="15" customHeight="1" x14ac:dyDescent="0.25"/>
    <row r="8" spans="1:16" ht="15" customHeight="1" x14ac:dyDescent="0.25">
      <c r="A8" s="671" t="s">
        <v>301</v>
      </c>
      <c r="B8" s="671"/>
      <c r="C8" s="671"/>
      <c r="D8" s="671"/>
      <c r="E8" s="671"/>
      <c r="F8" s="799" t="s">
        <v>567</v>
      </c>
      <c r="G8" s="799"/>
      <c r="H8" s="799"/>
      <c r="I8" s="799"/>
      <c r="J8" s="799"/>
      <c r="K8" s="799"/>
      <c r="L8" s="799"/>
      <c r="M8" s="799"/>
      <c r="N8" s="799"/>
      <c r="O8" s="799"/>
      <c r="P8" s="799"/>
    </row>
    <row r="9" spans="1:16" ht="15" customHeight="1" x14ac:dyDescent="0.25"/>
    <row r="10" spans="1:16" ht="15" customHeight="1" x14ac:dyDescent="0.25">
      <c r="A10" s="671" t="s">
        <v>299</v>
      </c>
      <c r="B10" s="671"/>
      <c r="C10" s="671"/>
      <c r="D10" s="671"/>
      <c r="E10" s="671"/>
      <c r="F10" s="799" t="s">
        <v>1208</v>
      </c>
      <c r="G10" s="799"/>
      <c r="H10" s="799"/>
      <c r="I10" s="799"/>
      <c r="J10" s="799"/>
      <c r="K10" s="799"/>
      <c r="L10" s="799"/>
      <c r="M10" s="799"/>
      <c r="N10" s="799"/>
      <c r="O10" s="799"/>
      <c r="P10" s="799"/>
    </row>
    <row r="11" spans="1:16" ht="15" customHeight="1" x14ac:dyDescent="0.25"/>
    <row r="12" spans="1:16" ht="15" customHeight="1" x14ac:dyDescent="0.25">
      <c r="A12" s="671" t="s">
        <v>298</v>
      </c>
      <c r="B12" s="671"/>
      <c r="C12" s="671"/>
      <c r="D12" s="671"/>
      <c r="E12" s="671"/>
      <c r="F12" s="799" t="s">
        <v>108</v>
      </c>
      <c r="G12" s="799"/>
      <c r="H12" s="799"/>
      <c r="I12" s="799"/>
      <c r="J12" s="799"/>
      <c r="K12" s="799"/>
      <c r="L12" s="799"/>
      <c r="M12" s="799"/>
      <c r="N12" s="799"/>
      <c r="O12" s="799"/>
      <c r="P12" s="799"/>
    </row>
    <row r="13" spans="1:16" ht="15" customHeight="1" x14ac:dyDescent="0.25"/>
    <row r="14" spans="1:16" ht="27.2" customHeight="1" x14ac:dyDescent="0.25">
      <c r="A14" s="671" t="s">
        <v>566</v>
      </c>
      <c r="B14" s="671"/>
      <c r="C14" s="671"/>
      <c r="D14" s="671"/>
      <c r="E14" s="671"/>
      <c r="F14" s="671"/>
      <c r="G14" s="671"/>
      <c r="H14" s="671"/>
      <c r="I14" s="671"/>
      <c r="J14" s="671"/>
      <c r="K14" s="671"/>
      <c r="L14" s="671"/>
      <c r="M14" s="671"/>
      <c r="N14" s="671"/>
      <c r="O14" s="671"/>
      <c r="P14" s="671"/>
    </row>
    <row r="15" spans="1:16" ht="15" customHeight="1" x14ac:dyDescent="0.25"/>
    <row r="16" spans="1:16" ht="15" customHeight="1" x14ac:dyDescent="0.25">
      <c r="A16" s="671" t="s">
        <v>229</v>
      </c>
      <c r="B16" s="671"/>
      <c r="C16" s="671"/>
      <c r="D16" s="671"/>
      <c r="E16" s="671"/>
      <c r="F16" s="671"/>
      <c r="G16" s="671"/>
      <c r="H16" s="671"/>
      <c r="I16" s="671"/>
      <c r="J16" s="671"/>
      <c r="K16" s="671"/>
      <c r="L16" s="671"/>
      <c r="M16" s="671"/>
      <c r="N16" s="671"/>
      <c r="O16" s="671"/>
      <c r="P16" s="671"/>
    </row>
    <row r="17" spans="1:16" ht="15" customHeight="1" x14ac:dyDescent="0.25"/>
    <row r="18" spans="1:16" ht="15" customHeight="1" x14ac:dyDescent="0.25">
      <c r="A18" s="362" t="s">
        <v>228</v>
      </c>
      <c r="B18" s="678" t="s">
        <v>90</v>
      </c>
      <c r="C18" s="678"/>
      <c r="D18" s="678"/>
      <c r="E18" s="678"/>
      <c r="F18" s="678" t="s">
        <v>296</v>
      </c>
      <c r="G18" s="678"/>
      <c r="H18" s="678"/>
      <c r="I18" s="362" t="s">
        <v>634</v>
      </c>
      <c r="J18" s="362" t="s">
        <v>175</v>
      </c>
      <c r="K18" s="678" t="s">
        <v>226</v>
      </c>
      <c r="L18" s="678"/>
      <c r="M18" s="678"/>
      <c r="N18" s="678"/>
      <c r="O18" s="678" t="s">
        <v>225</v>
      </c>
      <c r="P18" s="678"/>
    </row>
    <row r="19" spans="1:16" ht="15" customHeight="1" x14ac:dyDescent="0.25">
      <c r="A19" s="362">
        <v>1</v>
      </c>
      <c r="B19" s="678">
        <v>2</v>
      </c>
      <c r="C19" s="678"/>
      <c r="D19" s="678"/>
      <c r="E19" s="678"/>
      <c r="F19" s="678">
        <v>3</v>
      </c>
      <c r="G19" s="678"/>
      <c r="H19" s="678"/>
      <c r="I19" s="362">
        <v>4</v>
      </c>
      <c r="J19" s="362">
        <v>5</v>
      </c>
      <c r="K19" s="678">
        <v>6</v>
      </c>
      <c r="L19" s="678"/>
      <c r="M19" s="678"/>
      <c r="N19" s="678"/>
      <c r="O19" s="678">
        <v>7</v>
      </c>
      <c r="P19" s="678"/>
    </row>
    <row r="20" spans="1:16" ht="15" customHeight="1" x14ac:dyDescent="0.25">
      <c r="A20" s="361" t="s">
        <v>223</v>
      </c>
      <c r="B20" s="669" t="s">
        <v>206</v>
      </c>
      <c r="C20" s="669"/>
      <c r="D20" s="669"/>
      <c r="E20" s="669"/>
      <c r="F20" s="669" t="s">
        <v>295</v>
      </c>
      <c r="G20" s="669"/>
      <c r="H20" s="669"/>
      <c r="I20" s="361"/>
      <c r="J20" s="361"/>
      <c r="K20" s="669"/>
      <c r="L20" s="669"/>
      <c r="M20" s="669"/>
      <c r="N20" s="669"/>
      <c r="O20" s="669"/>
      <c r="P20" s="669"/>
    </row>
    <row r="21" spans="1:16" ht="122.45" customHeight="1" x14ac:dyDescent="0.25">
      <c r="A21" s="367" t="s">
        <v>2</v>
      </c>
      <c r="B21" s="674" t="s">
        <v>565</v>
      </c>
      <c r="C21" s="675"/>
      <c r="D21" s="675"/>
      <c r="E21" s="675"/>
      <c r="F21" s="675" t="s">
        <v>1207</v>
      </c>
      <c r="G21" s="675"/>
      <c r="H21" s="675"/>
      <c r="I21" s="366" t="s">
        <v>1203</v>
      </c>
      <c r="J21" s="366" t="s">
        <v>798</v>
      </c>
      <c r="K21" s="675" t="s">
        <v>1206</v>
      </c>
      <c r="L21" s="675"/>
      <c r="M21" s="675"/>
      <c r="N21" s="675"/>
      <c r="O21" s="676">
        <f>ROUND(3270 * 15 * (1 + 0.1 + 1.5), 2)</f>
        <v>127530</v>
      </c>
      <c r="P21" s="675"/>
    </row>
    <row r="22" spans="1:16" ht="15" customHeight="1" x14ac:dyDescent="0.25">
      <c r="A22" s="365"/>
      <c r="B22" s="677" t="s">
        <v>204</v>
      </c>
      <c r="C22" s="677"/>
      <c r="D22" s="677"/>
      <c r="E22" s="677"/>
      <c r="F22" s="677" t="s">
        <v>199</v>
      </c>
      <c r="G22" s="677"/>
      <c r="H22" s="677"/>
      <c r="I22" s="365"/>
      <c r="J22" s="365"/>
      <c r="K22" s="677" t="s">
        <v>199</v>
      </c>
      <c r="L22" s="677"/>
      <c r="M22" s="677"/>
      <c r="N22" s="677"/>
      <c r="O22" s="677"/>
      <c r="P22" s="677"/>
    </row>
    <row r="23" spans="1:16" ht="40.9" customHeight="1" x14ac:dyDescent="0.25">
      <c r="A23" s="364"/>
      <c r="B23" s="673" t="s">
        <v>564</v>
      </c>
      <c r="C23" s="673"/>
      <c r="D23" s="673"/>
      <c r="E23" s="673"/>
      <c r="F23" s="673" t="s">
        <v>563</v>
      </c>
      <c r="G23" s="673"/>
      <c r="H23" s="673"/>
      <c r="I23" s="364"/>
      <c r="J23" s="364"/>
      <c r="K23" s="673" t="s">
        <v>199</v>
      </c>
      <c r="L23" s="673"/>
      <c r="M23" s="673"/>
      <c r="N23" s="673"/>
      <c r="O23" s="673"/>
      <c r="P23" s="673"/>
    </row>
    <row r="24" spans="1:16" ht="40.9" customHeight="1" x14ac:dyDescent="0.25">
      <c r="A24" s="364"/>
      <c r="B24" s="673" t="s">
        <v>562</v>
      </c>
      <c r="C24" s="673"/>
      <c r="D24" s="673"/>
      <c r="E24" s="673"/>
      <c r="F24" s="673" t="s">
        <v>561</v>
      </c>
      <c r="G24" s="673"/>
      <c r="H24" s="673"/>
      <c r="I24" s="364"/>
      <c r="J24" s="364"/>
      <c r="K24" s="673" t="s">
        <v>199</v>
      </c>
      <c r="L24" s="673"/>
      <c r="M24" s="673"/>
      <c r="N24" s="673"/>
      <c r="O24" s="673"/>
      <c r="P24" s="673"/>
    </row>
    <row r="25" spans="1:16" ht="15" customHeight="1" x14ac:dyDescent="0.25">
      <c r="A25" s="361" t="s">
        <v>3</v>
      </c>
      <c r="B25" s="669" t="s">
        <v>288</v>
      </c>
      <c r="C25" s="669"/>
      <c r="D25" s="669"/>
      <c r="E25" s="669"/>
      <c r="F25" s="669"/>
      <c r="G25" s="669"/>
      <c r="H25" s="669"/>
      <c r="I25" s="361"/>
      <c r="J25" s="361"/>
      <c r="K25" s="669" t="s">
        <v>199</v>
      </c>
      <c r="L25" s="669"/>
      <c r="M25" s="669"/>
      <c r="N25" s="669"/>
      <c r="O25" s="670">
        <f>ROUND($O$21,2)</f>
        <v>127530</v>
      </c>
      <c r="P25" s="669"/>
    </row>
    <row r="26" spans="1:16" ht="15" customHeight="1" x14ac:dyDescent="0.25">
      <c r="A26" s="361" t="s">
        <v>24</v>
      </c>
      <c r="B26" s="669" t="s">
        <v>287</v>
      </c>
      <c r="C26" s="669"/>
      <c r="D26" s="669"/>
      <c r="E26" s="669"/>
      <c r="F26" s="669"/>
      <c r="G26" s="669"/>
      <c r="H26" s="669"/>
      <c r="I26" s="361"/>
      <c r="J26" s="361"/>
      <c r="K26" s="669" t="s">
        <v>199</v>
      </c>
      <c r="L26" s="669"/>
      <c r="M26" s="669"/>
      <c r="N26" s="669"/>
      <c r="O26" s="670">
        <f>ROUND(($O$25),2)</f>
        <v>127530</v>
      </c>
      <c r="P26" s="669"/>
    </row>
    <row r="27" spans="1:16" ht="15" customHeight="1" x14ac:dyDescent="0.25">
      <c r="A27" s="361" t="s">
        <v>222</v>
      </c>
      <c r="B27" s="669" t="s">
        <v>206</v>
      </c>
      <c r="C27" s="669"/>
      <c r="D27" s="669"/>
      <c r="E27" s="669"/>
      <c r="F27" s="669" t="s">
        <v>286</v>
      </c>
      <c r="G27" s="669"/>
      <c r="H27" s="669"/>
      <c r="I27" s="361"/>
      <c r="J27" s="361"/>
      <c r="K27" s="669"/>
      <c r="L27" s="669"/>
      <c r="M27" s="669"/>
      <c r="N27" s="669"/>
      <c r="O27" s="669"/>
      <c r="P27" s="669"/>
    </row>
    <row r="28" spans="1:16" ht="54.4" customHeight="1" x14ac:dyDescent="0.25">
      <c r="A28" s="367" t="s">
        <v>5</v>
      </c>
      <c r="B28" s="674" t="s">
        <v>1205</v>
      </c>
      <c r="C28" s="675"/>
      <c r="D28" s="675"/>
      <c r="E28" s="675"/>
      <c r="F28" s="675" t="s">
        <v>1204</v>
      </c>
      <c r="G28" s="675"/>
      <c r="H28" s="675"/>
      <c r="I28" s="366" t="s">
        <v>1203</v>
      </c>
      <c r="J28" s="366" t="s">
        <v>798</v>
      </c>
      <c r="K28" s="675" t="s">
        <v>1202</v>
      </c>
      <c r="L28" s="675"/>
      <c r="M28" s="675"/>
      <c r="N28" s="675"/>
      <c r="O28" s="676">
        <f>ROUND(1706 * 15 * 1.35 * 0.5, 2)</f>
        <v>17273.25</v>
      </c>
      <c r="P28" s="675"/>
    </row>
    <row r="29" spans="1:16" ht="15" customHeight="1" x14ac:dyDescent="0.25">
      <c r="A29" s="365"/>
      <c r="B29" s="677" t="s">
        <v>204</v>
      </c>
      <c r="C29" s="677"/>
      <c r="D29" s="677"/>
      <c r="E29" s="677"/>
      <c r="F29" s="677" t="s">
        <v>199</v>
      </c>
      <c r="G29" s="677"/>
      <c r="H29" s="677"/>
      <c r="I29" s="365"/>
      <c r="J29" s="365"/>
      <c r="K29" s="677" t="s">
        <v>199</v>
      </c>
      <c r="L29" s="677"/>
      <c r="M29" s="677"/>
      <c r="N29" s="677"/>
      <c r="O29" s="677"/>
      <c r="P29" s="677"/>
    </row>
    <row r="30" spans="1:16" ht="163.15" customHeight="1" x14ac:dyDescent="0.25">
      <c r="A30" s="364"/>
      <c r="B30" s="673" t="s">
        <v>560</v>
      </c>
      <c r="C30" s="673"/>
      <c r="D30" s="673"/>
      <c r="E30" s="673"/>
      <c r="F30" s="673" t="s">
        <v>559</v>
      </c>
      <c r="G30" s="673"/>
      <c r="H30" s="673"/>
      <c r="I30" s="364"/>
      <c r="J30" s="364"/>
      <c r="K30" s="673" t="s">
        <v>199</v>
      </c>
      <c r="L30" s="673"/>
      <c r="M30" s="673"/>
      <c r="N30" s="673"/>
      <c r="O30" s="673"/>
      <c r="P30" s="673"/>
    </row>
    <row r="31" spans="1:16" ht="40.9" customHeight="1" x14ac:dyDescent="0.25">
      <c r="A31" s="364"/>
      <c r="B31" s="673" t="s">
        <v>558</v>
      </c>
      <c r="C31" s="673"/>
      <c r="D31" s="673"/>
      <c r="E31" s="673"/>
      <c r="F31" s="673" t="s">
        <v>557</v>
      </c>
      <c r="G31" s="673"/>
      <c r="H31" s="673"/>
      <c r="I31" s="364"/>
      <c r="J31" s="364"/>
      <c r="K31" s="673" t="s">
        <v>199</v>
      </c>
      <c r="L31" s="673"/>
      <c r="M31" s="673"/>
      <c r="N31" s="673"/>
      <c r="O31" s="673"/>
      <c r="P31" s="673"/>
    </row>
    <row r="32" spans="1:16" ht="15" customHeight="1" x14ac:dyDescent="0.25">
      <c r="A32" s="361" t="s">
        <v>6</v>
      </c>
      <c r="B32" s="669" t="s">
        <v>254</v>
      </c>
      <c r="C32" s="669"/>
      <c r="D32" s="669"/>
      <c r="E32" s="669"/>
      <c r="F32" s="669"/>
      <c r="G32" s="669"/>
      <c r="H32" s="669"/>
      <c r="I32" s="361"/>
      <c r="J32" s="361"/>
      <c r="K32" s="669" t="s">
        <v>199</v>
      </c>
      <c r="L32" s="669"/>
      <c r="M32" s="669"/>
      <c r="N32" s="669"/>
      <c r="O32" s="670">
        <f>ROUND($O$28,2)</f>
        <v>17273.25</v>
      </c>
      <c r="P32" s="669"/>
    </row>
    <row r="33" spans="1:16" ht="15" customHeight="1" x14ac:dyDescent="0.25">
      <c r="A33" s="361" t="s">
        <v>221</v>
      </c>
      <c r="B33" s="669" t="s">
        <v>252</v>
      </c>
      <c r="C33" s="669"/>
      <c r="D33" s="669"/>
      <c r="E33" s="669"/>
      <c r="F33" s="669"/>
      <c r="G33" s="669"/>
      <c r="H33" s="669"/>
      <c r="I33" s="361"/>
      <c r="J33" s="361"/>
      <c r="K33" s="669" t="s">
        <v>199</v>
      </c>
      <c r="L33" s="669"/>
      <c r="M33" s="669"/>
      <c r="N33" s="669"/>
      <c r="O33" s="670">
        <f>ROUND(($O$32),2)</f>
        <v>17273.25</v>
      </c>
      <c r="P33" s="669"/>
    </row>
    <row r="34" spans="1:16" ht="15" customHeight="1" x14ac:dyDescent="0.25">
      <c r="A34" s="361" t="s">
        <v>218</v>
      </c>
      <c r="B34" s="669" t="s">
        <v>206</v>
      </c>
      <c r="C34" s="669"/>
      <c r="D34" s="669"/>
      <c r="E34" s="669"/>
      <c r="F34" s="669" t="s">
        <v>251</v>
      </c>
      <c r="G34" s="669"/>
      <c r="H34" s="669"/>
      <c r="I34" s="361"/>
      <c r="J34" s="361"/>
      <c r="K34" s="669"/>
      <c r="L34" s="669"/>
      <c r="M34" s="669"/>
      <c r="N34" s="669"/>
      <c r="O34" s="669"/>
      <c r="P34" s="669"/>
    </row>
    <row r="35" spans="1:16" ht="95.25" customHeight="1" x14ac:dyDescent="0.25">
      <c r="A35" s="361" t="s">
        <v>217</v>
      </c>
      <c r="B35" s="797" t="s">
        <v>656</v>
      </c>
      <c r="C35" s="797"/>
      <c r="D35" s="797"/>
      <c r="E35" s="797"/>
      <c r="F35" s="797" t="s">
        <v>556</v>
      </c>
      <c r="G35" s="797"/>
      <c r="H35" s="797"/>
      <c r="I35" s="363"/>
      <c r="J35" s="363"/>
      <c r="K35" s="797" t="s">
        <v>1201</v>
      </c>
      <c r="L35" s="797"/>
      <c r="M35" s="797"/>
      <c r="N35" s="797"/>
      <c r="O35" s="798">
        <f>ROUND(($O$26) * 0.25,2)</f>
        <v>31882.5</v>
      </c>
      <c r="P35" s="797"/>
    </row>
    <row r="36" spans="1:16" ht="95.25" customHeight="1" x14ac:dyDescent="0.25">
      <c r="A36" s="361" t="s">
        <v>216</v>
      </c>
      <c r="B36" s="797" t="s">
        <v>1200</v>
      </c>
      <c r="C36" s="797"/>
      <c r="D36" s="797"/>
      <c r="E36" s="797"/>
      <c r="F36" s="797" t="s">
        <v>555</v>
      </c>
      <c r="G36" s="797"/>
      <c r="H36" s="797"/>
      <c r="I36" s="363"/>
      <c r="J36" s="363"/>
      <c r="K36" s="797" t="s">
        <v>1199</v>
      </c>
      <c r="L36" s="797"/>
      <c r="M36" s="797"/>
      <c r="N36" s="797"/>
      <c r="O36" s="798">
        <f>ROUND(($O$26+$O$35) * (8.75/100),2)</f>
        <v>13948.59</v>
      </c>
      <c r="P36" s="797"/>
    </row>
    <row r="37" spans="1:16" ht="95.25" customHeight="1" x14ac:dyDescent="0.25">
      <c r="A37" s="361" t="s">
        <v>215</v>
      </c>
      <c r="B37" s="797" t="s">
        <v>554</v>
      </c>
      <c r="C37" s="797"/>
      <c r="D37" s="797"/>
      <c r="E37" s="797"/>
      <c r="F37" s="797" t="s">
        <v>553</v>
      </c>
      <c r="G37" s="797"/>
      <c r="H37" s="797"/>
      <c r="I37" s="363"/>
      <c r="J37" s="363"/>
      <c r="K37" s="797" t="s">
        <v>1198</v>
      </c>
      <c r="L37" s="797"/>
      <c r="M37" s="797"/>
      <c r="N37" s="797"/>
      <c r="O37" s="798">
        <f>ROUND(($O$26+SUM($O$35:$O$36)) * (19.6/100),2)</f>
        <v>33978.769999999997</v>
      </c>
      <c r="P37" s="797"/>
    </row>
    <row r="38" spans="1:16" ht="81.599999999999994" customHeight="1" x14ac:dyDescent="0.25">
      <c r="A38" s="361" t="s">
        <v>214</v>
      </c>
      <c r="B38" s="797" t="s">
        <v>1197</v>
      </c>
      <c r="C38" s="797"/>
      <c r="D38" s="797"/>
      <c r="E38" s="797"/>
      <c r="F38" s="797" t="s">
        <v>1196</v>
      </c>
      <c r="G38" s="797"/>
      <c r="H38" s="797"/>
      <c r="I38" s="363"/>
      <c r="J38" s="363"/>
      <c r="K38" s="797" t="s">
        <v>1195</v>
      </c>
      <c r="L38" s="797"/>
      <c r="M38" s="797"/>
      <c r="N38" s="797"/>
      <c r="O38" s="798">
        <f>ROUND(($O$26+SUM($O$35:$O$36)) * (1 * 6/100),2)</f>
        <v>10401.67</v>
      </c>
      <c r="P38" s="797"/>
    </row>
    <row r="39" spans="1:16" ht="15" customHeight="1" x14ac:dyDescent="0.25">
      <c r="A39" s="361" t="s">
        <v>213</v>
      </c>
      <c r="B39" s="669" t="s">
        <v>240</v>
      </c>
      <c r="C39" s="669"/>
      <c r="D39" s="669"/>
      <c r="E39" s="669"/>
      <c r="F39" s="669"/>
      <c r="G39" s="669"/>
      <c r="H39" s="669"/>
      <c r="I39" s="361"/>
      <c r="J39" s="361"/>
      <c r="K39" s="669" t="s">
        <v>199</v>
      </c>
      <c r="L39" s="669"/>
      <c r="M39" s="669"/>
      <c r="N39" s="669"/>
      <c r="O39" s="670">
        <f>ROUND((SUM($O$35:$O$38)),2)</f>
        <v>90211.53</v>
      </c>
      <c r="P39" s="669"/>
    </row>
    <row r="40" spans="1:16" ht="15" customHeight="1" x14ac:dyDescent="0.25">
      <c r="A40" s="361" t="s">
        <v>212</v>
      </c>
      <c r="B40" s="669" t="s">
        <v>202</v>
      </c>
      <c r="C40" s="669"/>
      <c r="D40" s="669"/>
      <c r="E40" s="669"/>
      <c r="F40" s="669"/>
      <c r="G40" s="669"/>
      <c r="H40" s="669"/>
      <c r="I40" s="361"/>
      <c r="J40" s="361"/>
      <c r="K40" s="669" t="s">
        <v>199</v>
      </c>
      <c r="L40" s="669"/>
      <c r="M40" s="669"/>
      <c r="N40" s="669"/>
      <c r="O40" s="670">
        <f>ROUND($O$26+$O$33+$O$39,2)</f>
        <v>235014.78</v>
      </c>
      <c r="P40" s="669"/>
    </row>
    <row r="41" spans="1:16" ht="27.2" customHeight="1" x14ac:dyDescent="0.25">
      <c r="A41" s="361" t="s">
        <v>207</v>
      </c>
      <c r="B41" s="797" t="s">
        <v>552</v>
      </c>
      <c r="C41" s="797"/>
      <c r="D41" s="797"/>
      <c r="E41" s="797"/>
      <c r="F41" s="797" t="s">
        <v>199</v>
      </c>
      <c r="G41" s="797"/>
      <c r="H41" s="797"/>
      <c r="I41" s="363"/>
      <c r="J41" s="363"/>
      <c r="K41" s="797" t="s">
        <v>238</v>
      </c>
      <c r="L41" s="797"/>
      <c r="M41" s="797"/>
      <c r="N41" s="797"/>
      <c r="O41" s="798">
        <f>ROUND($O$40,2)</f>
        <v>235014.78</v>
      </c>
      <c r="P41" s="797"/>
    </row>
    <row r="42" spans="1:16" ht="40.9" customHeight="1" x14ac:dyDescent="0.25">
      <c r="A42" s="361" t="s">
        <v>203</v>
      </c>
      <c r="B42" s="797" t="s">
        <v>551</v>
      </c>
      <c r="C42" s="797"/>
      <c r="D42" s="797"/>
      <c r="E42" s="797"/>
      <c r="F42" s="797" t="s">
        <v>236</v>
      </c>
      <c r="G42" s="797"/>
      <c r="H42" s="797"/>
      <c r="I42" s="363"/>
      <c r="J42" s="363"/>
      <c r="K42" s="797" t="s">
        <v>550</v>
      </c>
      <c r="L42" s="797"/>
      <c r="M42" s="797"/>
      <c r="N42" s="797"/>
      <c r="O42" s="798">
        <f>ROUND(($O$41) * 7.07,2)</f>
        <v>1661554.49</v>
      </c>
      <c r="P42" s="797"/>
    </row>
    <row r="43" spans="1:16" ht="15" customHeight="1" x14ac:dyDescent="0.25">
      <c r="A43" s="361" t="s">
        <v>201</v>
      </c>
      <c r="B43" s="669" t="s">
        <v>200</v>
      </c>
      <c r="C43" s="669"/>
      <c r="D43" s="669"/>
      <c r="E43" s="669"/>
      <c r="F43" s="669"/>
      <c r="G43" s="669"/>
      <c r="H43" s="669"/>
      <c r="I43" s="361"/>
      <c r="J43" s="361"/>
      <c r="K43" s="669" t="s">
        <v>199</v>
      </c>
      <c r="L43" s="669"/>
      <c r="M43" s="669"/>
      <c r="N43" s="669"/>
      <c r="O43" s="670">
        <f>ROUND(($O$42),2)</f>
        <v>1661554.49</v>
      </c>
      <c r="P43" s="669"/>
    </row>
    <row r="44" spans="1:16" ht="15" customHeight="1" x14ac:dyDescent="0.25"/>
    <row r="45" spans="1:16" ht="30" customHeight="1" x14ac:dyDescent="0.25">
      <c r="A45" s="671" t="s">
        <v>198</v>
      </c>
      <c r="B45" s="671"/>
      <c r="C45" s="671"/>
      <c r="D45" s="671"/>
      <c r="E45" s="671"/>
      <c r="F45" s="672">
        <f>$O$43</f>
        <v>1661554.49</v>
      </c>
      <c r="G45" s="672"/>
      <c r="H45" s="672"/>
      <c r="I45" s="672"/>
      <c r="J45" s="672"/>
      <c r="K45" s="672"/>
      <c r="L45" s="672"/>
      <c r="M45" s="672"/>
      <c r="N45" s="672"/>
      <c r="O45" s="672"/>
      <c r="P45" s="672"/>
    </row>
    <row r="46" spans="1:16" ht="15" customHeight="1" x14ac:dyDescent="0.25"/>
    <row r="47" spans="1:16" ht="15" customHeight="1" x14ac:dyDescent="0.25"/>
    <row r="48" spans="1:16" ht="15" customHeight="1" x14ac:dyDescent="0.25"/>
    <row r="49" ht="15" customHeight="1" x14ac:dyDescent="0.25"/>
    <row r="50" ht="15" customHeight="1" x14ac:dyDescent="0.25"/>
  </sheetData>
  <mergeCells count="120">
    <mergeCell ref="K24:N24"/>
    <mergeCell ref="O24:P24"/>
    <mergeCell ref="A10:E10"/>
    <mergeCell ref="F10:P10"/>
    <mergeCell ref="O18:P18"/>
    <mergeCell ref="O19:P19"/>
    <mergeCell ref="A1:D1"/>
    <mergeCell ref="E1:P1"/>
    <mergeCell ref="A3:P3"/>
    <mergeCell ref="A4:P4"/>
    <mergeCell ref="A6:E6"/>
    <mergeCell ref="F6:P6"/>
    <mergeCell ref="A8:E8"/>
    <mergeCell ref="F8:P8"/>
    <mergeCell ref="A12:E12"/>
    <mergeCell ref="F12:P12"/>
    <mergeCell ref="A14:P14"/>
    <mergeCell ref="A16:P16"/>
    <mergeCell ref="B18:E18"/>
    <mergeCell ref="B19:E19"/>
    <mergeCell ref="F18:H18"/>
    <mergeCell ref="F19:H19"/>
    <mergeCell ref="K18:N18"/>
    <mergeCell ref="K19:N19"/>
    <mergeCell ref="K30:N30"/>
    <mergeCell ref="O30:P30"/>
    <mergeCell ref="B20:E20"/>
    <mergeCell ref="F20:H20"/>
    <mergeCell ref="K20:N20"/>
    <mergeCell ref="O20:P20"/>
    <mergeCell ref="B21:E21"/>
    <mergeCell ref="F21:H21"/>
    <mergeCell ref="B23:E23"/>
    <mergeCell ref="F23:H23"/>
    <mergeCell ref="K23:N23"/>
    <mergeCell ref="O23:P23"/>
    <mergeCell ref="K21:N21"/>
    <mergeCell ref="O21:P21"/>
    <mergeCell ref="B22:E22"/>
    <mergeCell ref="F22:H22"/>
    <mergeCell ref="K22:N22"/>
    <mergeCell ref="O22:P22"/>
    <mergeCell ref="B25:E25"/>
    <mergeCell ref="F25:H25"/>
    <mergeCell ref="K25:N25"/>
    <mergeCell ref="O25:P25"/>
    <mergeCell ref="B24:E24"/>
    <mergeCell ref="F24:H24"/>
    <mergeCell ref="K36:N36"/>
    <mergeCell ref="O36:P36"/>
    <mergeCell ref="B26:E26"/>
    <mergeCell ref="F26:H26"/>
    <mergeCell ref="K26:N26"/>
    <mergeCell ref="O26:P26"/>
    <mergeCell ref="B27:E27"/>
    <mergeCell ref="F27:H27"/>
    <mergeCell ref="B29:E29"/>
    <mergeCell ref="F29:H29"/>
    <mergeCell ref="K29:N29"/>
    <mergeCell ref="O29:P29"/>
    <mergeCell ref="K27:N27"/>
    <mergeCell ref="O27:P27"/>
    <mergeCell ref="B28:E28"/>
    <mergeCell ref="F28:H28"/>
    <mergeCell ref="K28:N28"/>
    <mergeCell ref="O28:P28"/>
    <mergeCell ref="B31:E31"/>
    <mergeCell ref="F31:H31"/>
    <mergeCell ref="K31:N31"/>
    <mergeCell ref="O31:P31"/>
    <mergeCell ref="B30:E30"/>
    <mergeCell ref="F30:H30"/>
    <mergeCell ref="K43:N43"/>
    <mergeCell ref="O43:P43"/>
    <mergeCell ref="B32:E32"/>
    <mergeCell ref="F32:H32"/>
    <mergeCell ref="K32:N32"/>
    <mergeCell ref="O32:P32"/>
    <mergeCell ref="B33:E33"/>
    <mergeCell ref="F33:H33"/>
    <mergeCell ref="B35:E35"/>
    <mergeCell ref="F35:H35"/>
    <mergeCell ref="K35:N35"/>
    <mergeCell ref="O35:P35"/>
    <mergeCell ref="K33:N33"/>
    <mergeCell ref="O33:P33"/>
    <mergeCell ref="B34:E34"/>
    <mergeCell ref="F34:H34"/>
    <mergeCell ref="K34:N34"/>
    <mergeCell ref="O34:P34"/>
    <mergeCell ref="B37:E37"/>
    <mergeCell ref="F37:H37"/>
    <mergeCell ref="K37:N37"/>
    <mergeCell ref="O37:P37"/>
    <mergeCell ref="B36:E36"/>
    <mergeCell ref="F36:H36"/>
    <mergeCell ref="B38:E38"/>
    <mergeCell ref="F38:H38"/>
    <mergeCell ref="K38:N38"/>
    <mergeCell ref="O38:P38"/>
    <mergeCell ref="B39:E39"/>
    <mergeCell ref="F39:H39"/>
    <mergeCell ref="A45:E45"/>
    <mergeCell ref="F45:P45"/>
    <mergeCell ref="B41:E41"/>
    <mergeCell ref="F41:H41"/>
    <mergeCell ref="K41:N41"/>
    <mergeCell ref="O41:P41"/>
    <mergeCell ref="B42:E42"/>
    <mergeCell ref="F42:H42"/>
    <mergeCell ref="K42:N42"/>
    <mergeCell ref="O42:P42"/>
    <mergeCell ref="K39:N39"/>
    <mergeCell ref="O39:P39"/>
    <mergeCell ref="B40:E40"/>
    <mergeCell ref="F40:H40"/>
    <mergeCell ref="K40:N40"/>
    <mergeCell ref="O40:P40"/>
    <mergeCell ref="B43:E43"/>
    <mergeCell ref="F43:H43"/>
  </mergeCells>
  <pageMargins left="0.4" right="0.4" top="0.75" bottom="0.75" header="0.3" footer="0.3"/>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6"/>
  <sheetViews>
    <sheetView workbookViewId="0">
      <selection activeCell="B5" sqref="B5"/>
    </sheetView>
  </sheetViews>
  <sheetFormatPr defaultRowHeight="15" x14ac:dyDescent="0.25"/>
  <cols>
    <col min="1" max="1" width="46.5703125" customWidth="1"/>
    <col min="2" max="2" width="18.28515625" customWidth="1"/>
  </cols>
  <sheetData>
    <row r="1" spans="1:2" ht="15.75" x14ac:dyDescent="0.25">
      <c r="A1" s="802" t="s">
        <v>1141</v>
      </c>
      <c r="B1" s="802"/>
    </row>
    <row r="2" spans="1:2" ht="15.75" x14ac:dyDescent="0.25">
      <c r="A2" s="802" t="s">
        <v>1142</v>
      </c>
      <c r="B2" s="802"/>
    </row>
    <row r="3" spans="1:2" ht="35.25" customHeight="1" x14ac:dyDescent="0.25">
      <c r="A3" s="329" t="s">
        <v>1143</v>
      </c>
      <c r="B3" s="329" t="s">
        <v>570</v>
      </c>
    </row>
    <row r="4" spans="1:2" ht="32.25" customHeight="1" x14ac:dyDescent="0.25">
      <c r="A4" s="328" t="s">
        <v>1144</v>
      </c>
      <c r="B4" s="330">
        <f>[13]ОГС.СМР!L31</f>
        <v>37481.089999999997</v>
      </c>
    </row>
    <row r="5" spans="1:2" ht="38.25" customHeight="1" x14ac:dyDescent="0.25">
      <c r="A5" s="328" t="s">
        <v>1145</v>
      </c>
      <c r="B5" s="330">
        <v>97840.26</v>
      </c>
    </row>
    <row r="6" spans="1:2" ht="15.75" x14ac:dyDescent="0.25">
      <c r="A6" s="331" t="s">
        <v>85</v>
      </c>
      <c r="B6" s="332">
        <f>SUM(B4:B5)</f>
        <v>135321.35</v>
      </c>
    </row>
  </sheetData>
  <mergeCells count="2">
    <mergeCell ref="A1:B1"/>
    <mergeCell ref="A2:B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513"/>
  <sheetViews>
    <sheetView showRuler="0" topLeftCell="A2" workbookViewId="0">
      <selection activeCell="B13" sqref="B13:E13"/>
    </sheetView>
  </sheetViews>
  <sheetFormatPr defaultColWidth="8.85546875" defaultRowHeight="11.25" x14ac:dyDescent="0.2"/>
  <cols>
    <col min="1" max="1" width="7" style="293" customWidth="1"/>
    <col min="2" max="2" width="43.140625" style="293" customWidth="1"/>
    <col min="3" max="3" width="47.140625" style="293" customWidth="1"/>
    <col min="4" max="4" width="43.140625" style="293" customWidth="1"/>
    <col min="5" max="5" width="12.140625" style="293" customWidth="1"/>
    <col min="6" max="7" width="8.85546875" style="293"/>
    <col min="8" max="8" width="16" style="293" customWidth="1"/>
    <col min="9" max="12" width="8.85546875" style="293"/>
    <col min="13" max="17" width="152.5703125" style="294" hidden="1" customWidth="1"/>
    <col min="18" max="25" width="145.5703125" style="295" hidden="1" customWidth="1"/>
    <col min="26" max="16384" width="8.85546875" style="293"/>
  </cols>
  <sheetData>
    <row r="1" spans="1:25" customFormat="1" ht="6" hidden="1" customHeight="1" x14ac:dyDescent="0.25"/>
    <row r="2" spans="1:25" customFormat="1" ht="15" x14ac:dyDescent="0.25">
      <c r="E2" s="291" t="s">
        <v>658</v>
      </c>
    </row>
    <row r="3" spans="1:25" customFormat="1" ht="15" x14ac:dyDescent="0.25">
      <c r="E3" s="291" t="s">
        <v>659</v>
      </c>
    </row>
    <row r="4" spans="1:25" customFormat="1" ht="24.75" customHeight="1" x14ac:dyDescent="0.25">
      <c r="A4" s="811" t="s">
        <v>660</v>
      </c>
      <c r="B4" s="811"/>
      <c r="C4" s="811"/>
      <c r="D4" s="811"/>
      <c r="E4" s="811"/>
    </row>
    <row r="5" spans="1:25" customFormat="1" ht="18.75" customHeight="1" x14ac:dyDescent="0.25">
      <c r="A5" s="812" t="s">
        <v>661</v>
      </c>
      <c r="B5" s="812"/>
      <c r="C5" s="812"/>
      <c r="D5" s="812"/>
      <c r="E5" s="812"/>
    </row>
    <row r="6" spans="1:25" customFormat="1" ht="38.25" x14ac:dyDescent="0.25">
      <c r="A6" s="818" t="s">
        <v>1433</v>
      </c>
      <c r="B6" s="818"/>
      <c r="C6" s="818"/>
      <c r="D6" s="818"/>
      <c r="E6" s="818"/>
      <c r="M6" s="292" t="s">
        <v>662</v>
      </c>
      <c r="N6" s="292" t="s">
        <v>199</v>
      </c>
      <c r="O6" s="292" t="s">
        <v>199</v>
      </c>
      <c r="P6" s="292" t="s">
        <v>199</v>
      </c>
      <c r="Q6" s="292" t="s">
        <v>199</v>
      </c>
    </row>
    <row r="7" spans="1:25" customFormat="1" ht="11.25" customHeight="1" x14ac:dyDescent="0.25">
      <c r="A7" s="813" t="s">
        <v>663</v>
      </c>
      <c r="B7" s="813"/>
      <c r="C7" s="813"/>
      <c r="D7" s="813"/>
      <c r="E7" s="813"/>
    </row>
    <row r="8" spans="1:25" ht="11.25" customHeight="1" x14ac:dyDescent="0.2"/>
    <row r="9" spans="1:25" customFormat="1" ht="15" x14ac:dyDescent="0.25">
      <c r="A9" s="296" t="s">
        <v>197</v>
      </c>
      <c r="B9" s="297"/>
      <c r="C9" s="297"/>
      <c r="D9" s="297"/>
      <c r="E9" s="297"/>
    </row>
    <row r="10" spans="1:25" customFormat="1" ht="15" x14ac:dyDescent="0.25">
      <c r="A10" s="298"/>
      <c r="B10" s="814" t="s">
        <v>108</v>
      </c>
      <c r="C10" s="814"/>
      <c r="D10" s="814"/>
      <c r="E10" s="814"/>
      <c r="R10" s="299" t="s">
        <v>108</v>
      </c>
      <c r="S10" s="299" t="s">
        <v>199</v>
      </c>
      <c r="T10" s="299" t="s">
        <v>199</v>
      </c>
      <c r="U10" s="299" t="s">
        <v>199</v>
      </c>
    </row>
    <row r="11" spans="1:25" customFormat="1" ht="15" x14ac:dyDescent="0.25">
      <c r="A11" s="813" t="s">
        <v>664</v>
      </c>
      <c r="B11" s="813"/>
      <c r="C11" s="813"/>
      <c r="D11" s="813"/>
      <c r="E11" s="813"/>
    </row>
    <row r="12" spans="1:25" customFormat="1" ht="19.5" customHeight="1" x14ac:dyDescent="0.25">
      <c r="A12" s="300" t="s">
        <v>665</v>
      </c>
      <c r="B12" s="297"/>
      <c r="C12" s="301"/>
      <c r="D12" s="301"/>
      <c r="E12" s="301"/>
    </row>
    <row r="13" spans="1:25" customFormat="1" ht="15" x14ac:dyDescent="0.25">
      <c r="A13" s="298"/>
      <c r="B13" s="814"/>
      <c r="C13" s="814"/>
      <c r="D13" s="814"/>
      <c r="E13" s="814"/>
      <c r="V13" s="299" t="s">
        <v>199</v>
      </c>
      <c r="W13" s="299" t="s">
        <v>199</v>
      </c>
      <c r="X13" s="299" t="s">
        <v>199</v>
      </c>
      <c r="Y13" s="299" t="s">
        <v>199</v>
      </c>
    </row>
    <row r="14" spans="1:25" customFormat="1" ht="15" x14ac:dyDescent="0.25">
      <c r="A14" s="813" t="s">
        <v>664</v>
      </c>
      <c r="B14" s="813"/>
      <c r="C14" s="813"/>
      <c r="D14" s="813"/>
      <c r="E14" s="813"/>
    </row>
    <row r="15" spans="1:25" ht="11.25" customHeight="1" x14ac:dyDescent="0.2"/>
    <row r="16" spans="1:25" customFormat="1" ht="15" x14ac:dyDescent="0.25">
      <c r="A16" s="293" t="s">
        <v>666</v>
      </c>
    </row>
    <row r="17" spans="1:5" ht="11.25" customHeight="1" x14ac:dyDescent="0.2"/>
    <row r="18" spans="1:5" customFormat="1" ht="65.25" customHeight="1" x14ac:dyDescent="0.25">
      <c r="A18" s="302" t="s">
        <v>228</v>
      </c>
      <c r="B18" s="302" t="s">
        <v>667</v>
      </c>
      <c r="C18" s="302" t="s">
        <v>227</v>
      </c>
      <c r="D18" s="302" t="s">
        <v>226</v>
      </c>
      <c r="E18" s="302" t="s">
        <v>668</v>
      </c>
    </row>
    <row r="19" spans="1:5" customFormat="1" ht="15" x14ac:dyDescent="0.25">
      <c r="A19" s="303">
        <v>1</v>
      </c>
      <c r="B19" s="304">
        <v>2</v>
      </c>
      <c r="C19" s="304">
        <v>3</v>
      </c>
      <c r="D19" s="303">
        <v>4</v>
      </c>
      <c r="E19" s="303">
        <v>5</v>
      </c>
    </row>
    <row r="20" spans="1:5" customFormat="1" ht="12.75" customHeight="1" x14ac:dyDescent="0.25">
      <c r="A20" s="808" t="s">
        <v>669</v>
      </c>
      <c r="B20" s="809"/>
      <c r="C20" s="809"/>
      <c r="D20" s="809"/>
      <c r="E20" s="810"/>
    </row>
    <row r="21" spans="1:5" customFormat="1" ht="12.75" customHeight="1" x14ac:dyDescent="0.25">
      <c r="A21" s="805" t="s">
        <v>670</v>
      </c>
      <c r="B21" s="806"/>
      <c r="C21" s="806"/>
      <c r="D21" s="806"/>
      <c r="E21" s="807"/>
    </row>
    <row r="22" spans="1:5" customFormat="1" ht="12.75" customHeight="1" x14ac:dyDescent="0.25">
      <c r="A22" s="815" t="s">
        <v>671</v>
      </c>
      <c r="B22" s="816"/>
      <c r="C22" s="816"/>
      <c r="D22" s="816"/>
      <c r="E22" s="817"/>
    </row>
    <row r="23" spans="1:5" customFormat="1" ht="45" x14ac:dyDescent="0.25">
      <c r="A23" s="305" t="s">
        <v>223</v>
      </c>
      <c r="B23" s="306" t="s">
        <v>672</v>
      </c>
      <c r="C23" s="306" t="s">
        <v>673</v>
      </c>
      <c r="D23" s="307" t="s">
        <v>674</v>
      </c>
      <c r="E23" s="308">
        <v>2746016.82</v>
      </c>
    </row>
    <row r="24" spans="1:5" customFormat="1" ht="15" x14ac:dyDescent="0.25">
      <c r="A24" s="309"/>
      <c r="B24" s="310"/>
      <c r="C24" s="311" t="s">
        <v>675</v>
      </c>
      <c r="D24" s="312"/>
      <c r="E24" s="313"/>
    </row>
    <row r="25" spans="1:5" customFormat="1" ht="34.5" x14ac:dyDescent="0.25">
      <c r="A25" s="309"/>
      <c r="B25" s="310"/>
      <c r="C25" s="311" t="s">
        <v>676</v>
      </c>
      <c r="D25" s="312"/>
      <c r="E25" s="313"/>
    </row>
    <row r="26" spans="1:5" customFormat="1" ht="79.5" x14ac:dyDescent="0.25">
      <c r="A26" s="309"/>
      <c r="B26" s="310"/>
      <c r="C26" s="311" t="s">
        <v>677</v>
      </c>
      <c r="D26" s="312"/>
      <c r="E26" s="313"/>
    </row>
    <row r="27" spans="1:5" customFormat="1" ht="45.75" x14ac:dyDescent="0.25">
      <c r="A27" s="309"/>
      <c r="B27" s="310"/>
      <c r="C27" s="311" t="s">
        <v>678</v>
      </c>
      <c r="D27" s="312"/>
      <c r="E27" s="313"/>
    </row>
    <row r="28" spans="1:5" customFormat="1" ht="34.5" x14ac:dyDescent="0.25">
      <c r="A28" s="309"/>
      <c r="B28" s="310"/>
      <c r="C28" s="311" t="s">
        <v>679</v>
      </c>
      <c r="D28" s="312"/>
      <c r="E28" s="313"/>
    </row>
    <row r="29" spans="1:5" customFormat="1" ht="15" x14ac:dyDescent="0.25">
      <c r="A29" s="309"/>
      <c r="B29" s="310"/>
      <c r="C29" s="311" t="s">
        <v>680</v>
      </c>
      <c r="D29" s="312"/>
      <c r="E29" s="313"/>
    </row>
    <row r="30" spans="1:5" customFormat="1" ht="45.75" x14ac:dyDescent="0.25">
      <c r="A30" s="309"/>
      <c r="B30" s="310"/>
      <c r="C30" s="311" t="s">
        <v>681</v>
      </c>
      <c r="D30" s="312"/>
      <c r="E30" s="313"/>
    </row>
    <row r="31" spans="1:5" customFormat="1" ht="15" x14ac:dyDescent="0.25">
      <c r="A31" s="309"/>
      <c r="B31" s="310"/>
      <c r="C31" s="311" t="s">
        <v>682</v>
      </c>
      <c r="D31" s="312"/>
      <c r="E31" s="309"/>
    </row>
    <row r="32" spans="1:5" customFormat="1" ht="45" x14ac:dyDescent="0.25">
      <c r="A32" s="305" t="s">
        <v>2</v>
      </c>
      <c r="B32" s="306" t="s">
        <v>683</v>
      </c>
      <c r="C32" s="306" t="s">
        <v>673</v>
      </c>
      <c r="D32" s="307" t="s">
        <v>684</v>
      </c>
      <c r="E32" s="308">
        <v>474875.09</v>
      </c>
    </row>
    <row r="33" spans="1:5" customFormat="1" ht="15" x14ac:dyDescent="0.25">
      <c r="A33" s="309"/>
      <c r="B33" s="310"/>
      <c r="C33" s="311" t="s">
        <v>675</v>
      </c>
      <c r="D33" s="312"/>
      <c r="E33" s="313"/>
    </row>
    <row r="34" spans="1:5" customFormat="1" ht="15" x14ac:dyDescent="0.25">
      <c r="A34" s="309"/>
      <c r="B34" s="310"/>
      <c r="C34" s="311" t="s">
        <v>680</v>
      </c>
      <c r="D34" s="312"/>
      <c r="E34" s="313"/>
    </row>
    <row r="35" spans="1:5" customFormat="1" ht="45.75" x14ac:dyDescent="0.25">
      <c r="A35" s="309"/>
      <c r="B35" s="310"/>
      <c r="C35" s="311" t="s">
        <v>681</v>
      </c>
      <c r="D35" s="312"/>
      <c r="E35" s="313"/>
    </row>
    <row r="36" spans="1:5" customFormat="1" ht="15" x14ac:dyDescent="0.25">
      <c r="A36" s="309"/>
      <c r="B36" s="310"/>
      <c r="C36" s="311" t="s">
        <v>685</v>
      </c>
      <c r="D36" s="312"/>
      <c r="E36" s="309"/>
    </row>
    <row r="37" spans="1:5" customFormat="1" ht="12.75" customHeight="1" x14ac:dyDescent="0.25">
      <c r="A37" s="805" t="s">
        <v>686</v>
      </c>
      <c r="B37" s="806"/>
      <c r="C37" s="806"/>
      <c r="D37" s="806"/>
      <c r="E37" s="807"/>
    </row>
    <row r="38" spans="1:5" customFormat="1" ht="12.75" customHeight="1" x14ac:dyDescent="0.25">
      <c r="A38" s="815" t="s">
        <v>687</v>
      </c>
      <c r="B38" s="816"/>
      <c r="C38" s="816"/>
      <c r="D38" s="816"/>
      <c r="E38" s="817"/>
    </row>
    <row r="39" spans="1:5" customFormat="1" ht="45" x14ac:dyDescent="0.25">
      <c r="A39" s="305" t="s">
        <v>222</v>
      </c>
      <c r="B39" s="306" t="s">
        <v>688</v>
      </c>
      <c r="C39" s="306" t="s">
        <v>673</v>
      </c>
      <c r="D39" s="307" t="s">
        <v>689</v>
      </c>
      <c r="E39" s="308">
        <v>832994.84</v>
      </c>
    </row>
    <row r="40" spans="1:5" customFormat="1" ht="23.25" x14ac:dyDescent="0.25">
      <c r="A40" s="309"/>
      <c r="B40" s="310"/>
      <c r="C40" s="311" t="s">
        <v>690</v>
      </c>
      <c r="D40" s="312"/>
      <c r="E40" s="313"/>
    </row>
    <row r="41" spans="1:5" customFormat="1" ht="34.5" x14ac:dyDescent="0.25">
      <c r="A41" s="309"/>
      <c r="B41" s="310"/>
      <c r="C41" s="311" t="s">
        <v>676</v>
      </c>
      <c r="D41" s="312"/>
      <c r="E41" s="313"/>
    </row>
    <row r="42" spans="1:5" customFormat="1" ht="79.5" x14ac:dyDescent="0.25">
      <c r="A42" s="309"/>
      <c r="B42" s="310"/>
      <c r="C42" s="311" t="s">
        <v>677</v>
      </c>
      <c r="D42" s="312"/>
      <c r="E42" s="313"/>
    </row>
    <row r="43" spans="1:5" customFormat="1" ht="45.75" x14ac:dyDescent="0.25">
      <c r="A43" s="309"/>
      <c r="B43" s="310"/>
      <c r="C43" s="311" t="s">
        <v>678</v>
      </c>
      <c r="D43" s="312"/>
      <c r="E43" s="313"/>
    </row>
    <row r="44" spans="1:5" customFormat="1" ht="34.5" x14ac:dyDescent="0.25">
      <c r="A44" s="309"/>
      <c r="B44" s="310"/>
      <c r="C44" s="311" t="s">
        <v>679</v>
      </c>
      <c r="D44" s="312"/>
      <c r="E44" s="313"/>
    </row>
    <row r="45" spans="1:5" customFormat="1" ht="57" x14ac:dyDescent="0.25">
      <c r="A45" s="309"/>
      <c r="B45" s="310"/>
      <c r="C45" s="311" t="s">
        <v>691</v>
      </c>
      <c r="D45" s="312"/>
      <c r="E45" s="313"/>
    </row>
    <row r="46" spans="1:5" customFormat="1" ht="15" x14ac:dyDescent="0.25">
      <c r="A46" s="309"/>
      <c r="B46" s="310"/>
      <c r="C46" s="311" t="s">
        <v>680</v>
      </c>
      <c r="D46" s="312"/>
      <c r="E46" s="313"/>
    </row>
    <row r="47" spans="1:5" customFormat="1" ht="45.75" x14ac:dyDescent="0.25">
      <c r="A47" s="309"/>
      <c r="B47" s="310"/>
      <c r="C47" s="311" t="s">
        <v>681</v>
      </c>
      <c r="D47" s="312"/>
      <c r="E47" s="313"/>
    </row>
    <row r="48" spans="1:5" customFormat="1" ht="15" x14ac:dyDescent="0.25">
      <c r="A48" s="309"/>
      <c r="B48" s="310"/>
      <c r="C48" s="311" t="s">
        <v>682</v>
      </c>
      <c r="D48" s="312"/>
      <c r="E48" s="309"/>
    </row>
    <row r="49" spans="1:5" customFormat="1" ht="45" x14ac:dyDescent="0.25">
      <c r="A49" s="305" t="s">
        <v>5</v>
      </c>
      <c r="B49" s="306" t="s">
        <v>692</v>
      </c>
      <c r="C49" s="306" t="s">
        <v>673</v>
      </c>
      <c r="D49" s="307" t="s">
        <v>693</v>
      </c>
      <c r="E49" s="308">
        <v>144051.74</v>
      </c>
    </row>
    <row r="50" spans="1:5" customFormat="1" ht="23.25" x14ac:dyDescent="0.25">
      <c r="A50" s="309"/>
      <c r="B50" s="310"/>
      <c r="C50" s="311" t="s">
        <v>690</v>
      </c>
      <c r="D50" s="312"/>
      <c r="E50" s="313"/>
    </row>
    <row r="51" spans="1:5" customFormat="1" ht="57" x14ac:dyDescent="0.25">
      <c r="A51" s="309"/>
      <c r="B51" s="310"/>
      <c r="C51" s="311" t="s">
        <v>694</v>
      </c>
      <c r="D51" s="312"/>
      <c r="E51" s="313"/>
    </row>
    <row r="52" spans="1:5" customFormat="1" ht="15" x14ac:dyDescent="0.25">
      <c r="A52" s="309"/>
      <c r="B52" s="310"/>
      <c r="C52" s="311" t="s">
        <v>680</v>
      </c>
      <c r="D52" s="312"/>
      <c r="E52" s="313"/>
    </row>
    <row r="53" spans="1:5" customFormat="1" ht="45.75" x14ac:dyDescent="0.25">
      <c r="A53" s="309"/>
      <c r="B53" s="310"/>
      <c r="C53" s="311" t="s">
        <v>681</v>
      </c>
      <c r="D53" s="312"/>
      <c r="E53" s="313"/>
    </row>
    <row r="54" spans="1:5" customFormat="1" ht="15" x14ac:dyDescent="0.25">
      <c r="A54" s="309"/>
      <c r="B54" s="310"/>
      <c r="C54" s="311" t="s">
        <v>685</v>
      </c>
      <c r="D54" s="312"/>
      <c r="E54" s="309"/>
    </row>
    <row r="55" spans="1:5" customFormat="1" ht="12.75" customHeight="1" x14ac:dyDescent="0.25">
      <c r="A55" s="808" t="s">
        <v>695</v>
      </c>
      <c r="B55" s="809"/>
      <c r="C55" s="809"/>
      <c r="D55" s="809"/>
      <c r="E55" s="810"/>
    </row>
    <row r="56" spans="1:5" customFormat="1" ht="12.75" customHeight="1" x14ac:dyDescent="0.25">
      <c r="A56" s="805" t="s">
        <v>1149</v>
      </c>
      <c r="B56" s="806"/>
      <c r="C56" s="806"/>
      <c r="D56" s="806"/>
      <c r="E56" s="807"/>
    </row>
    <row r="57" spans="1:5" customFormat="1" ht="45" x14ac:dyDescent="0.25">
      <c r="A57" s="305" t="s">
        <v>218</v>
      </c>
      <c r="B57" s="306" t="s">
        <v>696</v>
      </c>
      <c r="C57" s="306" t="s">
        <v>697</v>
      </c>
      <c r="D57" s="307" t="s">
        <v>698</v>
      </c>
      <c r="E57" s="308">
        <v>127012.03</v>
      </c>
    </row>
    <row r="58" spans="1:5" customFormat="1" ht="34.5" x14ac:dyDescent="0.25">
      <c r="A58" s="309"/>
      <c r="B58" s="310"/>
      <c r="C58" s="311" t="s">
        <v>676</v>
      </c>
      <c r="D58" s="312"/>
      <c r="E58" s="313"/>
    </row>
    <row r="59" spans="1:5" customFormat="1" ht="79.5" x14ac:dyDescent="0.25">
      <c r="A59" s="309"/>
      <c r="B59" s="310"/>
      <c r="C59" s="311" t="s">
        <v>677</v>
      </c>
      <c r="D59" s="312"/>
      <c r="E59" s="313"/>
    </row>
    <row r="60" spans="1:5" customFormat="1" ht="45.75" x14ac:dyDescent="0.25">
      <c r="A60" s="309"/>
      <c r="B60" s="310"/>
      <c r="C60" s="311" t="s">
        <v>678</v>
      </c>
      <c r="D60" s="312"/>
      <c r="E60" s="313"/>
    </row>
    <row r="61" spans="1:5" customFormat="1" ht="34.5" x14ac:dyDescent="0.25">
      <c r="A61" s="309"/>
      <c r="B61" s="310"/>
      <c r="C61" s="311" t="s">
        <v>679</v>
      </c>
      <c r="D61" s="312"/>
      <c r="E61" s="313"/>
    </row>
    <row r="62" spans="1:5" customFormat="1" ht="15" x14ac:dyDescent="0.25">
      <c r="A62" s="309"/>
      <c r="B62" s="310"/>
      <c r="C62" s="311" t="s">
        <v>680</v>
      </c>
      <c r="D62" s="312"/>
      <c r="E62" s="313"/>
    </row>
    <row r="63" spans="1:5" customFormat="1" ht="45.75" x14ac:dyDescent="0.25">
      <c r="A63" s="309"/>
      <c r="B63" s="310"/>
      <c r="C63" s="311" t="s">
        <v>699</v>
      </c>
      <c r="D63" s="312"/>
      <c r="E63" s="313"/>
    </row>
    <row r="64" spans="1:5" customFormat="1" ht="15" x14ac:dyDescent="0.25">
      <c r="A64" s="309"/>
      <c r="B64" s="310"/>
      <c r="C64" s="311" t="s">
        <v>700</v>
      </c>
      <c r="D64" s="312"/>
      <c r="E64" s="309"/>
    </row>
    <row r="65" spans="1:5" customFormat="1" ht="45" x14ac:dyDescent="0.25">
      <c r="A65" s="305" t="s">
        <v>217</v>
      </c>
      <c r="B65" s="306" t="s">
        <v>701</v>
      </c>
      <c r="C65" s="306" t="s">
        <v>697</v>
      </c>
      <c r="D65" s="307" t="s">
        <v>702</v>
      </c>
      <c r="E65" s="308">
        <v>34154.5</v>
      </c>
    </row>
    <row r="66" spans="1:5" customFormat="1" ht="15" x14ac:dyDescent="0.25">
      <c r="A66" s="309"/>
      <c r="B66" s="310"/>
      <c r="C66" s="311" t="s">
        <v>680</v>
      </c>
      <c r="D66" s="312"/>
      <c r="E66" s="313"/>
    </row>
    <row r="67" spans="1:5" customFormat="1" ht="45.75" x14ac:dyDescent="0.25">
      <c r="A67" s="309"/>
      <c r="B67" s="310"/>
      <c r="C67" s="311" t="s">
        <v>699</v>
      </c>
      <c r="D67" s="312"/>
      <c r="E67" s="313"/>
    </row>
    <row r="68" spans="1:5" customFormat="1" ht="15" x14ac:dyDescent="0.25">
      <c r="A68" s="309"/>
      <c r="B68" s="310"/>
      <c r="C68" s="311" t="s">
        <v>703</v>
      </c>
      <c r="D68" s="312"/>
      <c r="E68" s="309"/>
    </row>
    <row r="69" spans="1:5" customFormat="1" ht="12.75" customHeight="1" x14ac:dyDescent="0.25">
      <c r="A69" s="808" t="s">
        <v>704</v>
      </c>
      <c r="B69" s="809"/>
      <c r="C69" s="809"/>
      <c r="D69" s="809"/>
      <c r="E69" s="810"/>
    </row>
    <row r="70" spans="1:5" customFormat="1" ht="12.75" customHeight="1" x14ac:dyDescent="0.25">
      <c r="A70" s="805" t="s">
        <v>1150</v>
      </c>
      <c r="B70" s="806"/>
      <c r="C70" s="806"/>
      <c r="D70" s="806"/>
      <c r="E70" s="807"/>
    </row>
    <row r="71" spans="1:5" customFormat="1" ht="45" x14ac:dyDescent="0.25">
      <c r="A71" s="305" t="s">
        <v>212</v>
      </c>
      <c r="B71" s="306" t="s">
        <v>705</v>
      </c>
      <c r="C71" s="306" t="s">
        <v>706</v>
      </c>
      <c r="D71" s="307" t="s">
        <v>707</v>
      </c>
      <c r="E71" s="308">
        <v>65330.09</v>
      </c>
    </row>
    <row r="72" spans="1:5" customFormat="1" ht="23.25" x14ac:dyDescent="0.25">
      <c r="A72" s="309"/>
      <c r="B72" s="310"/>
      <c r="C72" s="311" t="s">
        <v>708</v>
      </c>
      <c r="D72" s="312"/>
      <c r="E72" s="313"/>
    </row>
    <row r="73" spans="1:5" customFormat="1" ht="34.5" x14ac:dyDescent="0.25">
      <c r="A73" s="309"/>
      <c r="B73" s="310"/>
      <c r="C73" s="311" t="s">
        <v>709</v>
      </c>
      <c r="D73" s="312"/>
      <c r="E73" s="313"/>
    </row>
    <row r="74" spans="1:5" customFormat="1" ht="79.5" x14ac:dyDescent="0.25">
      <c r="A74" s="309"/>
      <c r="B74" s="310"/>
      <c r="C74" s="311" t="s">
        <v>710</v>
      </c>
      <c r="D74" s="312"/>
      <c r="E74" s="313"/>
    </row>
    <row r="75" spans="1:5" customFormat="1" ht="45.75" x14ac:dyDescent="0.25">
      <c r="A75" s="309"/>
      <c r="B75" s="310"/>
      <c r="C75" s="311" t="s">
        <v>711</v>
      </c>
      <c r="D75" s="312"/>
      <c r="E75" s="313"/>
    </row>
    <row r="76" spans="1:5" customFormat="1" ht="34.5" x14ac:dyDescent="0.25">
      <c r="A76" s="309"/>
      <c r="B76" s="310"/>
      <c r="C76" s="311" t="s">
        <v>712</v>
      </c>
      <c r="D76" s="312"/>
      <c r="E76" s="313"/>
    </row>
    <row r="77" spans="1:5" customFormat="1" ht="15" x14ac:dyDescent="0.25">
      <c r="A77" s="309"/>
      <c r="B77" s="310"/>
      <c r="C77" s="311" t="s">
        <v>680</v>
      </c>
      <c r="D77" s="312"/>
      <c r="E77" s="313"/>
    </row>
    <row r="78" spans="1:5" customFormat="1" ht="45.75" x14ac:dyDescent="0.25">
      <c r="A78" s="309"/>
      <c r="B78" s="310"/>
      <c r="C78" s="311" t="s">
        <v>681</v>
      </c>
      <c r="D78" s="312"/>
      <c r="E78" s="313"/>
    </row>
    <row r="79" spans="1:5" customFormat="1" ht="15" x14ac:dyDescent="0.25">
      <c r="A79" s="309"/>
      <c r="B79" s="310"/>
      <c r="C79" s="311" t="s">
        <v>713</v>
      </c>
      <c r="D79" s="312"/>
      <c r="E79" s="309"/>
    </row>
    <row r="80" spans="1:5" customFormat="1" ht="33.75" x14ac:dyDescent="0.25">
      <c r="A80" s="305" t="s">
        <v>211</v>
      </c>
      <c r="B80" s="306" t="s">
        <v>714</v>
      </c>
      <c r="C80" s="306" t="s">
        <v>706</v>
      </c>
      <c r="D80" s="307" t="s">
        <v>715</v>
      </c>
      <c r="E80" s="308">
        <v>9923.56</v>
      </c>
    </row>
    <row r="81" spans="1:5" customFormat="1" ht="23.25" x14ac:dyDescent="0.25">
      <c r="A81" s="309"/>
      <c r="B81" s="310"/>
      <c r="C81" s="311" t="s">
        <v>716</v>
      </c>
      <c r="D81" s="312"/>
      <c r="E81" s="313"/>
    </row>
    <row r="82" spans="1:5" customFormat="1" ht="15" x14ac:dyDescent="0.25">
      <c r="A82" s="309"/>
      <c r="B82" s="310"/>
      <c r="C82" s="311" t="s">
        <v>680</v>
      </c>
      <c r="D82" s="312"/>
      <c r="E82" s="313"/>
    </row>
    <row r="83" spans="1:5" customFormat="1" ht="45.75" x14ac:dyDescent="0.25">
      <c r="A83" s="309"/>
      <c r="B83" s="310"/>
      <c r="C83" s="311" t="s">
        <v>681</v>
      </c>
      <c r="D83" s="312"/>
      <c r="E83" s="313"/>
    </row>
    <row r="84" spans="1:5" customFormat="1" ht="15" x14ac:dyDescent="0.25">
      <c r="A84" s="309"/>
      <c r="B84" s="310"/>
      <c r="C84" s="311" t="s">
        <v>717</v>
      </c>
      <c r="D84" s="312"/>
      <c r="E84" s="309"/>
    </row>
    <row r="85" spans="1:5" customFormat="1" ht="12.75" customHeight="1" x14ac:dyDescent="0.25">
      <c r="A85" s="815" t="s">
        <v>1151</v>
      </c>
      <c r="B85" s="816"/>
      <c r="C85" s="816"/>
      <c r="D85" s="816"/>
      <c r="E85" s="817"/>
    </row>
    <row r="86" spans="1:5" customFormat="1" ht="33.75" x14ac:dyDescent="0.25">
      <c r="A86" s="305" t="s">
        <v>207</v>
      </c>
      <c r="B86" s="306" t="s">
        <v>1152</v>
      </c>
      <c r="C86" s="306" t="s">
        <v>1153</v>
      </c>
      <c r="D86" s="307" t="s">
        <v>1154</v>
      </c>
      <c r="E86" s="308">
        <v>16533.32</v>
      </c>
    </row>
    <row r="87" spans="1:5" customFormat="1" ht="34.5" x14ac:dyDescent="0.25">
      <c r="A87" s="309"/>
      <c r="B87" s="310"/>
      <c r="C87" s="311" t="s">
        <v>709</v>
      </c>
      <c r="D87" s="312"/>
      <c r="E87" s="313"/>
    </row>
    <row r="88" spans="1:5" customFormat="1" ht="45.75" x14ac:dyDescent="0.25">
      <c r="A88" s="309"/>
      <c r="B88" s="310"/>
      <c r="C88" s="311" t="s">
        <v>1155</v>
      </c>
      <c r="D88" s="312"/>
      <c r="E88" s="313"/>
    </row>
    <row r="89" spans="1:5" customFormat="1" ht="15" x14ac:dyDescent="0.25">
      <c r="A89" s="309"/>
      <c r="B89" s="310"/>
      <c r="C89" s="311" t="s">
        <v>680</v>
      </c>
      <c r="D89" s="312"/>
      <c r="E89" s="313"/>
    </row>
    <row r="90" spans="1:5" customFormat="1" ht="45.75" x14ac:dyDescent="0.25">
      <c r="A90" s="309"/>
      <c r="B90" s="310"/>
      <c r="C90" s="311" t="s">
        <v>681</v>
      </c>
      <c r="D90" s="312"/>
      <c r="E90" s="313"/>
    </row>
    <row r="91" spans="1:5" customFormat="1" ht="15" x14ac:dyDescent="0.25">
      <c r="A91" s="309"/>
      <c r="B91" s="310"/>
      <c r="C91" s="311" t="s">
        <v>1156</v>
      </c>
      <c r="D91" s="312"/>
      <c r="E91" s="309"/>
    </row>
    <row r="92" spans="1:5" customFormat="1" ht="33.75" x14ac:dyDescent="0.25">
      <c r="A92" s="305" t="s">
        <v>205</v>
      </c>
      <c r="B92" s="306" t="s">
        <v>1157</v>
      </c>
      <c r="C92" s="306" t="s">
        <v>1153</v>
      </c>
      <c r="D92" s="307" t="s">
        <v>1158</v>
      </c>
      <c r="E92" s="308">
        <v>3692.3</v>
      </c>
    </row>
    <row r="93" spans="1:5" customFormat="1" ht="45.75" x14ac:dyDescent="0.25">
      <c r="A93" s="309"/>
      <c r="B93" s="310"/>
      <c r="C93" s="311" t="s">
        <v>1155</v>
      </c>
      <c r="D93" s="312"/>
      <c r="E93" s="313"/>
    </row>
    <row r="94" spans="1:5" customFormat="1" ht="15" x14ac:dyDescent="0.25">
      <c r="A94" s="309"/>
      <c r="B94" s="310"/>
      <c r="C94" s="311" t="s">
        <v>680</v>
      </c>
      <c r="D94" s="312"/>
      <c r="E94" s="313"/>
    </row>
    <row r="95" spans="1:5" customFormat="1" ht="45.75" x14ac:dyDescent="0.25">
      <c r="A95" s="309"/>
      <c r="B95" s="310"/>
      <c r="C95" s="311" t="s">
        <v>681</v>
      </c>
      <c r="D95" s="312"/>
      <c r="E95" s="313"/>
    </row>
    <row r="96" spans="1:5" customFormat="1" ht="15" x14ac:dyDescent="0.25">
      <c r="A96" s="309"/>
      <c r="B96" s="310"/>
      <c r="C96" s="311" t="s">
        <v>1159</v>
      </c>
      <c r="D96" s="312"/>
      <c r="E96" s="309"/>
    </row>
    <row r="97" spans="1:5" customFormat="1" ht="12.75" customHeight="1" x14ac:dyDescent="0.25">
      <c r="A97" s="805" t="s">
        <v>718</v>
      </c>
      <c r="B97" s="806"/>
      <c r="C97" s="806"/>
      <c r="D97" s="806"/>
      <c r="E97" s="807"/>
    </row>
    <row r="98" spans="1:5" customFormat="1" ht="33.75" x14ac:dyDescent="0.25">
      <c r="A98" s="305" t="s">
        <v>203</v>
      </c>
      <c r="B98" s="306" t="s">
        <v>719</v>
      </c>
      <c r="C98" s="306" t="s">
        <v>720</v>
      </c>
      <c r="D98" s="307" t="s">
        <v>721</v>
      </c>
      <c r="E98" s="308">
        <v>41053.39</v>
      </c>
    </row>
    <row r="99" spans="1:5" customFormat="1" ht="34.5" x14ac:dyDescent="0.25">
      <c r="A99" s="309"/>
      <c r="B99" s="310"/>
      <c r="C99" s="311" t="s">
        <v>709</v>
      </c>
      <c r="D99" s="312"/>
      <c r="E99" s="313"/>
    </row>
    <row r="100" spans="1:5" customFormat="1" ht="15" x14ac:dyDescent="0.25">
      <c r="A100" s="309"/>
      <c r="B100" s="310"/>
      <c r="C100" s="311" t="s">
        <v>680</v>
      </c>
      <c r="D100" s="312"/>
      <c r="E100" s="313"/>
    </row>
    <row r="101" spans="1:5" customFormat="1" ht="45.75" x14ac:dyDescent="0.25">
      <c r="A101" s="309"/>
      <c r="B101" s="310"/>
      <c r="C101" s="311" t="s">
        <v>681</v>
      </c>
      <c r="D101" s="312"/>
      <c r="E101" s="313"/>
    </row>
    <row r="102" spans="1:5" customFormat="1" ht="15" x14ac:dyDescent="0.25">
      <c r="A102" s="309"/>
      <c r="B102" s="310"/>
      <c r="C102" s="311" t="s">
        <v>722</v>
      </c>
      <c r="D102" s="312"/>
      <c r="E102" s="309"/>
    </row>
    <row r="103" spans="1:5" customFormat="1" ht="33.75" x14ac:dyDescent="0.25">
      <c r="A103" s="305" t="s">
        <v>730</v>
      </c>
      <c r="B103" s="306" t="s">
        <v>723</v>
      </c>
      <c r="C103" s="306" t="s">
        <v>720</v>
      </c>
      <c r="D103" s="307" t="s">
        <v>724</v>
      </c>
      <c r="E103" s="308">
        <v>7649.7</v>
      </c>
    </row>
    <row r="104" spans="1:5" customFormat="1" ht="15" x14ac:dyDescent="0.25">
      <c r="A104" s="309"/>
      <c r="B104" s="310"/>
      <c r="C104" s="311" t="s">
        <v>680</v>
      </c>
      <c r="D104" s="312"/>
      <c r="E104" s="313"/>
    </row>
    <row r="105" spans="1:5" customFormat="1" ht="45.75" x14ac:dyDescent="0.25">
      <c r="A105" s="309"/>
      <c r="B105" s="310"/>
      <c r="C105" s="311" t="s">
        <v>681</v>
      </c>
      <c r="D105" s="312"/>
      <c r="E105" s="313"/>
    </row>
    <row r="106" spans="1:5" customFormat="1" ht="15" x14ac:dyDescent="0.25">
      <c r="A106" s="309"/>
      <c r="B106" s="310"/>
      <c r="C106" s="311" t="s">
        <v>725</v>
      </c>
      <c r="D106" s="312"/>
      <c r="E106" s="309"/>
    </row>
    <row r="107" spans="1:5" customFormat="1" ht="12.75" customHeight="1" x14ac:dyDescent="0.25">
      <c r="A107" s="805" t="s">
        <v>726</v>
      </c>
      <c r="B107" s="806"/>
      <c r="C107" s="806"/>
      <c r="D107" s="806"/>
      <c r="E107" s="807"/>
    </row>
    <row r="108" spans="1:5" customFormat="1" ht="45" x14ac:dyDescent="0.25">
      <c r="A108" s="305" t="s">
        <v>201</v>
      </c>
      <c r="B108" s="306" t="s">
        <v>727</v>
      </c>
      <c r="C108" s="306" t="s">
        <v>728</v>
      </c>
      <c r="D108" s="307" t="s">
        <v>729</v>
      </c>
      <c r="E108" s="308">
        <v>166981.93</v>
      </c>
    </row>
    <row r="109" spans="1:5" customFormat="1" ht="23.25" x14ac:dyDescent="0.25">
      <c r="A109" s="309"/>
      <c r="B109" s="310"/>
      <c r="C109" s="311" t="s">
        <v>708</v>
      </c>
      <c r="D109" s="312"/>
      <c r="E109" s="313"/>
    </row>
    <row r="110" spans="1:5" customFormat="1" ht="34.5" x14ac:dyDescent="0.25">
      <c r="A110" s="309"/>
      <c r="B110" s="310"/>
      <c r="C110" s="311" t="s">
        <v>709</v>
      </c>
      <c r="D110" s="312"/>
      <c r="E110" s="313"/>
    </row>
    <row r="111" spans="1:5" customFormat="1" ht="79.5" x14ac:dyDescent="0.25">
      <c r="A111" s="309"/>
      <c r="B111" s="310"/>
      <c r="C111" s="311" t="s">
        <v>710</v>
      </c>
      <c r="D111" s="312"/>
      <c r="E111" s="313"/>
    </row>
    <row r="112" spans="1:5" customFormat="1" ht="45.75" x14ac:dyDescent="0.25">
      <c r="A112" s="309"/>
      <c r="B112" s="310"/>
      <c r="C112" s="311" t="s">
        <v>711</v>
      </c>
      <c r="D112" s="312"/>
      <c r="E112" s="313"/>
    </row>
    <row r="113" spans="1:5" customFormat="1" ht="34.5" x14ac:dyDescent="0.25">
      <c r="A113" s="309"/>
      <c r="B113" s="310"/>
      <c r="C113" s="311" t="s">
        <v>712</v>
      </c>
      <c r="D113" s="312"/>
      <c r="E113" s="313"/>
    </row>
    <row r="114" spans="1:5" customFormat="1" ht="15" x14ac:dyDescent="0.25">
      <c r="A114" s="309"/>
      <c r="B114" s="310"/>
      <c r="C114" s="311" t="s">
        <v>680</v>
      </c>
      <c r="D114" s="312"/>
      <c r="E114" s="313"/>
    </row>
    <row r="115" spans="1:5" customFormat="1" ht="45.75" x14ac:dyDescent="0.25">
      <c r="A115" s="309"/>
      <c r="B115" s="310"/>
      <c r="C115" s="311" t="s">
        <v>681</v>
      </c>
      <c r="D115" s="312"/>
      <c r="E115" s="313"/>
    </row>
    <row r="116" spans="1:5" customFormat="1" ht="15" x14ac:dyDescent="0.25">
      <c r="A116" s="309"/>
      <c r="B116" s="310"/>
      <c r="C116" s="311" t="s">
        <v>713</v>
      </c>
      <c r="D116" s="312"/>
      <c r="E116" s="309"/>
    </row>
    <row r="117" spans="1:5" customFormat="1" ht="33.75" x14ac:dyDescent="0.25">
      <c r="A117" s="305" t="s">
        <v>733</v>
      </c>
      <c r="B117" s="306" t="s">
        <v>731</v>
      </c>
      <c r="C117" s="306" t="s">
        <v>728</v>
      </c>
      <c r="D117" s="307" t="s">
        <v>732</v>
      </c>
      <c r="E117" s="308">
        <v>25364.34</v>
      </c>
    </row>
    <row r="118" spans="1:5" customFormat="1" ht="23.25" x14ac:dyDescent="0.25">
      <c r="A118" s="309"/>
      <c r="B118" s="310"/>
      <c r="C118" s="311" t="s">
        <v>716</v>
      </c>
      <c r="D118" s="312"/>
      <c r="E118" s="313"/>
    </row>
    <row r="119" spans="1:5" customFormat="1" ht="15" x14ac:dyDescent="0.25">
      <c r="A119" s="309"/>
      <c r="B119" s="310"/>
      <c r="C119" s="311" t="s">
        <v>680</v>
      </c>
      <c r="D119" s="312"/>
      <c r="E119" s="313"/>
    </row>
    <row r="120" spans="1:5" customFormat="1" ht="45.75" x14ac:dyDescent="0.25">
      <c r="A120" s="309"/>
      <c r="B120" s="310"/>
      <c r="C120" s="311" t="s">
        <v>681</v>
      </c>
      <c r="D120" s="312"/>
      <c r="E120" s="313"/>
    </row>
    <row r="121" spans="1:5" customFormat="1" ht="15" x14ac:dyDescent="0.25">
      <c r="A121" s="309"/>
      <c r="B121" s="310"/>
      <c r="C121" s="311" t="s">
        <v>717</v>
      </c>
      <c r="D121" s="312"/>
      <c r="E121" s="309"/>
    </row>
    <row r="122" spans="1:5" customFormat="1" ht="12.75" customHeight="1" x14ac:dyDescent="0.25">
      <c r="A122" s="805" t="s">
        <v>1160</v>
      </c>
      <c r="B122" s="806"/>
      <c r="C122" s="806"/>
      <c r="D122" s="806"/>
      <c r="E122" s="807"/>
    </row>
    <row r="123" spans="1:5" customFormat="1" ht="33.75" x14ac:dyDescent="0.25">
      <c r="A123" s="305" t="s">
        <v>736</v>
      </c>
      <c r="B123" s="306" t="s">
        <v>1161</v>
      </c>
      <c r="C123" s="306" t="s">
        <v>728</v>
      </c>
      <c r="D123" s="307" t="s">
        <v>1162</v>
      </c>
      <c r="E123" s="308">
        <v>165840.4</v>
      </c>
    </row>
    <row r="124" spans="1:5" customFormat="1" ht="23.25" x14ac:dyDescent="0.25">
      <c r="A124" s="309"/>
      <c r="B124" s="310"/>
      <c r="C124" s="311" t="s">
        <v>708</v>
      </c>
      <c r="D124" s="312"/>
      <c r="E124" s="313"/>
    </row>
    <row r="125" spans="1:5" customFormat="1" ht="34.5" x14ac:dyDescent="0.25">
      <c r="A125" s="309"/>
      <c r="B125" s="310"/>
      <c r="C125" s="311" t="s">
        <v>709</v>
      </c>
      <c r="D125" s="312"/>
      <c r="E125" s="313"/>
    </row>
    <row r="126" spans="1:5" customFormat="1" ht="79.5" x14ac:dyDescent="0.25">
      <c r="A126" s="309"/>
      <c r="B126" s="310"/>
      <c r="C126" s="311" t="s">
        <v>710</v>
      </c>
      <c r="D126" s="312"/>
      <c r="E126" s="313"/>
    </row>
    <row r="127" spans="1:5" customFormat="1" ht="45.75" x14ac:dyDescent="0.25">
      <c r="A127" s="309"/>
      <c r="B127" s="310"/>
      <c r="C127" s="311" t="s">
        <v>711</v>
      </c>
      <c r="D127" s="312"/>
      <c r="E127" s="313"/>
    </row>
    <row r="128" spans="1:5" customFormat="1" ht="34.5" x14ac:dyDescent="0.25">
      <c r="A128" s="309"/>
      <c r="B128" s="310"/>
      <c r="C128" s="311" t="s">
        <v>712</v>
      </c>
      <c r="D128" s="312"/>
      <c r="E128" s="313"/>
    </row>
    <row r="129" spans="1:5" customFormat="1" ht="15" x14ac:dyDescent="0.25">
      <c r="A129" s="309"/>
      <c r="B129" s="310"/>
      <c r="C129" s="311" t="s">
        <v>680</v>
      </c>
      <c r="D129" s="312"/>
      <c r="E129" s="313"/>
    </row>
    <row r="130" spans="1:5" customFormat="1" ht="45.75" x14ac:dyDescent="0.25">
      <c r="A130" s="309"/>
      <c r="B130" s="310"/>
      <c r="C130" s="311" t="s">
        <v>681</v>
      </c>
      <c r="D130" s="312"/>
      <c r="E130" s="313"/>
    </row>
    <row r="131" spans="1:5" customFormat="1" ht="15" x14ac:dyDescent="0.25">
      <c r="A131" s="309"/>
      <c r="B131" s="310"/>
      <c r="C131" s="311" t="s">
        <v>713</v>
      </c>
      <c r="D131" s="312"/>
      <c r="E131" s="309"/>
    </row>
    <row r="132" spans="1:5" customFormat="1" ht="33.75" x14ac:dyDescent="0.25">
      <c r="A132" s="305" t="s">
        <v>744</v>
      </c>
      <c r="B132" s="306" t="s">
        <v>1163</v>
      </c>
      <c r="C132" s="306" t="s">
        <v>728</v>
      </c>
      <c r="D132" s="307" t="s">
        <v>1164</v>
      </c>
      <c r="E132" s="308">
        <v>22296.959999999999</v>
      </c>
    </row>
    <row r="133" spans="1:5" customFormat="1" ht="23.25" x14ac:dyDescent="0.25">
      <c r="A133" s="309"/>
      <c r="B133" s="310"/>
      <c r="C133" s="311" t="s">
        <v>716</v>
      </c>
      <c r="D133" s="312"/>
      <c r="E133" s="313"/>
    </row>
    <row r="134" spans="1:5" customFormat="1" ht="15" x14ac:dyDescent="0.25">
      <c r="A134" s="309"/>
      <c r="B134" s="310"/>
      <c r="C134" s="311" t="s">
        <v>680</v>
      </c>
      <c r="D134" s="312"/>
      <c r="E134" s="313"/>
    </row>
    <row r="135" spans="1:5" customFormat="1" ht="45.75" x14ac:dyDescent="0.25">
      <c r="A135" s="309"/>
      <c r="B135" s="310"/>
      <c r="C135" s="311" t="s">
        <v>681</v>
      </c>
      <c r="D135" s="312"/>
      <c r="E135" s="313"/>
    </row>
    <row r="136" spans="1:5" customFormat="1" ht="15" x14ac:dyDescent="0.25">
      <c r="A136" s="309"/>
      <c r="B136" s="310"/>
      <c r="C136" s="311" t="s">
        <v>717</v>
      </c>
      <c r="D136" s="312"/>
      <c r="E136" s="309"/>
    </row>
    <row r="137" spans="1:5" customFormat="1" ht="12.75" customHeight="1" x14ac:dyDescent="0.25">
      <c r="A137" s="805" t="s">
        <v>1165</v>
      </c>
      <c r="B137" s="806"/>
      <c r="C137" s="806"/>
      <c r="D137" s="806"/>
      <c r="E137" s="807"/>
    </row>
    <row r="138" spans="1:5" customFormat="1" ht="45" x14ac:dyDescent="0.25">
      <c r="A138" s="305" t="s">
        <v>748</v>
      </c>
      <c r="B138" s="306" t="s">
        <v>1166</v>
      </c>
      <c r="C138" s="306" t="s">
        <v>1167</v>
      </c>
      <c r="D138" s="307" t="s">
        <v>1168</v>
      </c>
      <c r="E138" s="308">
        <v>48140.160000000003</v>
      </c>
    </row>
    <row r="139" spans="1:5" customFormat="1" ht="15" x14ac:dyDescent="0.25">
      <c r="A139" s="309"/>
      <c r="B139" s="310"/>
      <c r="C139" s="311" t="s">
        <v>1169</v>
      </c>
      <c r="D139" s="312"/>
      <c r="E139" s="313"/>
    </row>
    <row r="140" spans="1:5" customFormat="1" ht="34.5" x14ac:dyDescent="0.25">
      <c r="A140" s="309"/>
      <c r="B140" s="310"/>
      <c r="C140" s="311" t="s">
        <v>709</v>
      </c>
      <c r="D140" s="312"/>
      <c r="E140" s="313"/>
    </row>
    <row r="141" spans="1:5" customFormat="1" ht="45.75" x14ac:dyDescent="0.25">
      <c r="A141" s="309"/>
      <c r="B141" s="310"/>
      <c r="C141" s="311" t="s">
        <v>1155</v>
      </c>
      <c r="D141" s="312"/>
      <c r="E141" s="313"/>
    </row>
    <row r="142" spans="1:5" customFormat="1" ht="15" x14ac:dyDescent="0.25">
      <c r="A142" s="309"/>
      <c r="B142" s="310"/>
      <c r="C142" s="311" t="s">
        <v>680</v>
      </c>
      <c r="D142" s="312"/>
      <c r="E142" s="313"/>
    </row>
    <row r="143" spans="1:5" customFormat="1" ht="45.75" x14ac:dyDescent="0.25">
      <c r="A143" s="309"/>
      <c r="B143" s="310"/>
      <c r="C143" s="311" t="s">
        <v>681</v>
      </c>
      <c r="D143" s="312"/>
      <c r="E143" s="313"/>
    </row>
    <row r="144" spans="1:5" customFormat="1" ht="15" x14ac:dyDescent="0.25">
      <c r="A144" s="309"/>
      <c r="B144" s="310"/>
      <c r="C144" s="311" t="s">
        <v>1170</v>
      </c>
      <c r="D144" s="312"/>
      <c r="E144" s="309"/>
    </row>
    <row r="145" spans="1:5" customFormat="1" ht="45" x14ac:dyDescent="0.25">
      <c r="A145" s="305" t="s">
        <v>752</v>
      </c>
      <c r="B145" s="306" t="s">
        <v>1171</v>
      </c>
      <c r="C145" s="306" t="s">
        <v>1167</v>
      </c>
      <c r="D145" s="307" t="s">
        <v>1172</v>
      </c>
      <c r="E145" s="308">
        <v>9548.85</v>
      </c>
    </row>
    <row r="146" spans="1:5" customFormat="1" ht="15" x14ac:dyDescent="0.25">
      <c r="A146" s="309"/>
      <c r="B146" s="310"/>
      <c r="C146" s="311" t="s">
        <v>1169</v>
      </c>
      <c r="D146" s="312"/>
      <c r="E146" s="313"/>
    </row>
    <row r="147" spans="1:5" customFormat="1" ht="45.75" x14ac:dyDescent="0.25">
      <c r="A147" s="309"/>
      <c r="B147" s="310"/>
      <c r="C147" s="311" t="s">
        <v>1155</v>
      </c>
      <c r="D147" s="312"/>
      <c r="E147" s="313"/>
    </row>
    <row r="148" spans="1:5" customFormat="1" ht="15" x14ac:dyDescent="0.25">
      <c r="A148" s="309"/>
      <c r="B148" s="310"/>
      <c r="C148" s="311" t="s">
        <v>680</v>
      </c>
      <c r="D148" s="312"/>
      <c r="E148" s="313"/>
    </row>
    <row r="149" spans="1:5" customFormat="1" ht="45.75" x14ac:dyDescent="0.25">
      <c r="A149" s="309"/>
      <c r="B149" s="310"/>
      <c r="C149" s="311" t="s">
        <v>681</v>
      </c>
      <c r="D149" s="312"/>
      <c r="E149" s="313"/>
    </row>
    <row r="150" spans="1:5" customFormat="1" ht="15" x14ac:dyDescent="0.25">
      <c r="A150" s="309"/>
      <c r="B150" s="310"/>
      <c r="C150" s="311" t="s">
        <v>1173</v>
      </c>
      <c r="D150" s="312"/>
      <c r="E150" s="309"/>
    </row>
    <row r="151" spans="1:5" customFormat="1" ht="12.75" customHeight="1" x14ac:dyDescent="0.25">
      <c r="A151" s="808" t="s">
        <v>734</v>
      </c>
      <c r="B151" s="809"/>
      <c r="C151" s="809"/>
      <c r="D151" s="809"/>
      <c r="E151" s="810"/>
    </row>
    <row r="152" spans="1:5" customFormat="1" ht="12.75" customHeight="1" x14ac:dyDescent="0.25">
      <c r="A152" s="805" t="s">
        <v>735</v>
      </c>
      <c r="B152" s="806"/>
      <c r="C152" s="806"/>
      <c r="D152" s="806"/>
      <c r="E152" s="807"/>
    </row>
    <row r="153" spans="1:5" customFormat="1" ht="33.75" x14ac:dyDescent="0.25">
      <c r="A153" s="305" t="s">
        <v>584</v>
      </c>
      <c r="B153" s="306" t="s">
        <v>737</v>
      </c>
      <c r="C153" s="306" t="s">
        <v>738</v>
      </c>
      <c r="D153" s="307" t="s">
        <v>739</v>
      </c>
      <c r="E153" s="308">
        <v>164440.07999999999</v>
      </c>
    </row>
    <row r="154" spans="1:5" customFormat="1" ht="34.5" x14ac:dyDescent="0.25">
      <c r="A154" s="309"/>
      <c r="B154" s="310"/>
      <c r="C154" s="311" t="s">
        <v>740</v>
      </c>
      <c r="D154" s="312"/>
      <c r="E154" s="313"/>
    </row>
    <row r="155" spans="1:5" customFormat="1" ht="79.5" x14ac:dyDescent="0.25">
      <c r="A155" s="309"/>
      <c r="B155" s="310"/>
      <c r="C155" s="311" t="s">
        <v>741</v>
      </c>
      <c r="D155" s="312"/>
      <c r="E155" s="313"/>
    </row>
    <row r="156" spans="1:5" customFormat="1" ht="45.75" x14ac:dyDescent="0.25">
      <c r="A156" s="309"/>
      <c r="B156" s="310"/>
      <c r="C156" s="311" t="s">
        <v>742</v>
      </c>
      <c r="D156" s="312"/>
      <c r="E156" s="313"/>
    </row>
    <row r="157" spans="1:5" customFormat="1" ht="34.5" x14ac:dyDescent="0.25">
      <c r="A157" s="309"/>
      <c r="B157" s="310"/>
      <c r="C157" s="311" t="s">
        <v>743</v>
      </c>
      <c r="D157" s="312"/>
      <c r="E157" s="313"/>
    </row>
    <row r="158" spans="1:5" customFormat="1" ht="15" x14ac:dyDescent="0.25">
      <c r="A158" s="309"/>
      <c r="B158" s="310"/>
      <c r="C158" s="311" t="s">
        <v>680</v>
      </c>
      <c r="D158" s="312"/>
      <c r="E158" s="313"/>
    </row>
    <row r="159" spans="1:5" customFormat="1" ht="45.75" x14ac:dyDescent="0.25">
      <c r="A159" s="309"/>
      <c r="B159" s="310"/>
      <c r="C159" s="311" t="s">
        <v>681</v>
      </c>
      <c r="D159" s="312"/>
      <c r="E159" s="313"/>
    </row>
    <row r="160" spans="1:5" customFormat="1" ht="15" x14ac:dyDescent="0.25">
      <c r="A160" s="309"/>
      <c r="B160" s="310"/>
      <c r="C160" s="311" t="s">
        <v>713</v>
      </c>
      <c r="D160" s="312"/>
      <c r="E160" s="309"/>
    </row>
    <row r="161" spans="1:5" customFormat="1" ht="45" x14ac:dyDescent="0.25">
      <c r="A161" s="305" t="s">
        <v>756</v>
      </c>
      <c r="B161" s="306" t="s">
        <v>745</v>
      </c>
      <c r="C161" s="306" t="s">
        <v>738</v>
      </c>
      <c r="D161" s="307" t="s">
        <v>746</v>
      </c>
      <c r="E161" s="308">
        <v>24978.240000000002</v>
      </c>
    </row>
    <row r="162" spans="1:5" customFormat="1" ht="15" x14ac:dyDescent="0.25">
      <c r="A162" s="309"/>
      <c r="B162" s="310"/>
      <c r="C162" s="311" t="s">
        <v>680</v>
      </c>
      <c r="D162" s="312"/>
      <c r="E162" s="313"/>
    </row>
    <row r="163" spans="1:5" customFormat="1" ht="45.75" x14ac:dyDescent="0.25">
      <c r="A163" s="309"/>
      <c r="B163" s="310"/>
      <c r="C163" s="311" t="s">
        <v>681</v>
      </c>
      <c r="D163" s="312"/>
      <c r="E163" s="313"/>
    </row>
    <row r="164" spans="1:5" customFormat="1" ht="15" x14ac:dyDescent="0.25">
      <c r="A164" s="309"/>
      <c r="B164" s="310"/>
      <c r="C164" s="311" t="s">
        <v>717</v>
      </c>
      <c r="D164" s="312"/>
      <c r="E164" s="309"/>
    </row>
    <row r="165" spans="1:5" customFormat="1" ht="12.75" customHeight="1" x14ac:dyDescent="0.25">
      <c r="A165" s="805" t="s">
        <v>747</v>
      </c>
      <c r="B165" s="806"/>
      <c r="C165" s="806"/>
      <c r="D165" s="806"/>
      <c r="E165" s="807"/>
    </row>
    <row r="166" spans="1:5" customFormat="1" ht="45" x14ac:dyDescent="0.25">
      <c r="A166" s="305" t="s">
        <v>758</v>
      </c>
      <c r="B166" s="306" t="s">
        <v>749</v>
      </c>
      <c r="C166" s="306" t="s">
        <v>750</v>
      </c>
      <c r="D166" s="307" t="s">
        <v>751</v>
      </c>
      <c r="E166" s="308">
        <v>139707.25</v>
      </c>
    </row>
    <row r="167" spans="1:5" customFormat="1" ht="34.5" x14ac:dyDescent="0.25">
      <c r="A167" s="309"/>
      <c r="B167" s="310"/>
      <c r="C167" s="311" t="s">
        <v>676</v>
      </c>
      <c r="D167" s="312"/>
      <c r="E167" s="313"/>
    </row>
    <row r="168" spans="1:5" customFormat="1" ht="15" x14ac:dyDescent="0.25">
      <c r="A168" s="309"/>
      <c r="B168" s="310"/>
      <c r="C168" s="311" t="s">
        <v>680</v>
      </c>
      <c r="D168" s="312"/>
      <c r="E168" s="313"/>
    </row>
    <row r="169" spans="1:5" customFormat="1" ht="45.75" x14ac:dyDescent="0.25">
      <c r="A169" s="309"/>
      <c r="B169" s="310"/>
      <c r="C169" s="311" t="s">
        <v>681</v>
      </c>
      <c r="D169" s="312"/>
      <c r="E169" s="313"/>
    </row>
    <row r="170" spans="1:5" customFormat="1" ht="15" x14ac:dyDescent="0.25">
      <c r="A170" s="309"/>
      <c r="B170" s="310"/>
      <c r="C170" s="311" t="s">
        <v>722</v>
      </c>
      <c r="D170" s="312"/>
      <c r="E170" s="309"/>
    </row>
    <row r="171" spans="1:5" customFormat="1" ht="45" x14ac:dyDescent="0.25">
      <c r="A171" s="305" t="s">
        <v>762</v>
      </c>
      <c r="B171" s="306" t="s">
        <v>753</v>
      </c>
      <c r="C171" s="306" t="s">
        <v>750</v>
      </c>
      <c r="D171" s="307" t="s">
        <v>754</v>
      </c>
      <c r="E171" s="308">
        <v>26032.41</v>
      </c>
    </row>
    <row r="172" spans="1:5" customFormat="1" ht="15" x14ac:dyDescent="0.25">
      <c r="A172" s="309"/>
      <c r="B172" s="310"/>
      <c r="C172" s="311" t="s">
        <v>680</v>
      </c>
      <c r="D172" s="312"/>
      <c r="E172" s="313"/>
    </row>
    <row r="173" spans="1:5" customFormat="1" ht="45.75" x14ac:dyDescent="0.25">
      <c r="A173" s="309"/>
      <c r="B173" s="310"/>
      <c r="C173" s="311" t="s">
        <v>681</v>
      </c>
      <c r="D173" s="312"/>
      <c r="E173" s="313"/>
    </row>
    <row r="174" spans="1:5" customFormat="1" ht="15" x14ac:dyDescent="0.25">
      <c r="A174" s="309"/>
      <c r="B174" s="310"/>
      <c r="C174" s="311" t="s">
        <v>725</v>
      </c>
      <c r="D174" s="312"/>
      <c r="E174" s="309"/>
    </row>
    <row r="175" spans="1:5" customFormat="1" ht="12.75" customHeight="1" x14ac:dyDescent="0.25">
      <c r="A175" s="805" t="s">
        <v>755</v>
      </c>
      <c r="B175" s="806"/>
      <c r="C175" s="806"/>
      <c r="D175" s="806"/>
      <c r="E175" s="807"/>
    </row>
    <row r="176" spans="1:5" customFormat="1" ht="45" x14ac:dyDescent="0.25">
      <c r="A176" s="305" t="s">
        <v>767</v>
      </c>
      <c r="B176" s="306" t="s">
        <v>749</v>
      </c>
      <c r="C176" s="306" t="s">
        <v>750</v>
      </c>
      <c r="D176" s="307" t="s">
        <v>751</v>
      </c>
      <c r="E176" s="308">
        <v>139707.25</v>
      </c>
    </row>
    <row r="177" spans="1:5" customFormat="1" ht="34.5" x14ac:dyDescent="0.25">
      <c r="A177" s="309"/>
      <c r="B177" s="310"/>
      <c r="C177" s="311" t="s">
        <v>676</v>
      </c>
      <c r="D177" s="312"/>
      <c r="E177" s="313"/>
    </row>
    <row r="178" spans="1:5" customFormat="1" ht="15" x14ac:dyDescent="0.25">
      <c r="A178" s="309"/>
      <c r="B178" s="310"/>
      <c r="C178" s="311" t="s">
        <v>680</v>
      </c>
      <c r="D178" s="312"/>
      <c r="E178" s="313"/>
    </row>
    <row r="179" spans="1:5" customFormat="1" ht="45.75" x14ac:dyDescent="0.25">
      <c r="A179" s="309"/>
      <c r="B179" s="310"/>
      <c r="C179" s="311" t="s">
        <v>681</v>
      </c>
      <c r="D179" s="312"/>
      <c r="E179" s="313"/>
    </row>
    <row r="180" spans="1:5" customFormat="1" ht="15" x14ac:dyDescent="0.25">
      <c r="A180" s="309"/>
      <c r="B180" s="310"/>
      <c r="C180" s="311" t="s">
        <v>722</v>
      </c>
      <c r="D180" s="312"/>
      <c r="E180" s="309"/>
    </row>
    <row r="181" spans="1:5" customFormat="1" ht="45" x14ac:dyDescent="0.25">
      <c r="A181" s="305" t="s">
        <v>772</v>
      </c>
      <c r="B181" s="306" t="s">
        <v>753</v>
      </c>
      <c r="C181" s="306" t="s">
        <v>750</v>
      </c>
      <c r="D181" s="307" t="s">
        <v>754</v>
      </c>
      <c r="E181" s="308">
        <v>26032.41</v>
      </c>
    </row>
    <row r="182" spans="1:5" customFormat="1" ht="15" x14ac:dyDescent="0.25">
      <c r="A182" s="309"/>
      <c r="B182" s="310"/>
      <c r="C182" s="311" t="s">
        <v>680</v>
      </c>
      <c r="D182" s="312"/>
      <c r="E182" s="313"/>
    </row>
    <row r="183" spans="1:5" customFormat="1" ht="45.75" x14ac:dyDescent="0.25">
      <c r="A183" s="309"/>
      <c r="B183" s="310"/>
      <c r="C183" s="311" t="s">
        <v>681</v>
      </c>
      <c r="D183" s="312"/>
      <c r="E183" s="313"/>
    </row>
    <row r="184" spans="1:5" customFormat="1" ht="15" x14ac:dyDescent="0.25">
      <c r="A184" s="309"/>
      <c r="B184" s="310"/>
      <c r="C184" s="311" t="s">
        <v>725</v>
      </c>
      <c r="D184" s="312"/>
      <c r="E184" s="309"/>
    </row>
    <row r="185" spans="1:5" customFormat="1" ht="12.75" customHeight="1" x14ac:dyDescent="0.25">
      <c r="A185" s="805" t="s">
        <v>757</v>
      </c>
      <c r="B185" s="806"/>
      <c r="C185" s="806"/>
      <c r="D185" s="806"/>
      <c r="E185" s="807"/>
    </row>
    <row r="186" spans="1:5" customFormat="1" ht="45" x14ac:dyDescent="0.25">
      <c r="A186" s="305" t="s">
        <v>777</v>
      </c>
      <c r="B186" s="306" t="s">
        <v>759</v>
      </c>
      <c r="C186" s="306" t="s">
        <v>760</v>
      </c>
      <c r="D186" s="307" t="s">
        <v>761</v>
      </c>
      <c r="E186" s="308">
        <v>52936.7</v>
      </c>
    </row>
    <row r="187" spans="1:5" customFormat="1" ht="34.5" x14ac:dyDescent="0.25">
      <c r="A187" s="309"/>
      <c r="B187" s="310"/>
      <c r="C187" s="311" t="s">
        <v>740</v>
      </c>
      <c r="D187" s="312"/>
      <c r="E187" s="313"/>
    </row>
    <row r="188" spans="1:5" customFormat="1" ht="79.5" x14ac:dyDescent="0.25">
      <c r="A188" s="309"/>
      <c r="B188" s="310"/>
      <c r="C188" s="311" t="s">
        <v>741</v>
      </c>
      <c r="D188" s="312"/>
      <c r="E188" s="313"/>
    </row>
    <row r="189" spans="1:5" customFormat="1" ht="45.75" x14ac:dyDescent="0.25">
      <c r="A189" s="309"/>
      <c r="B189" s="310"/>
      <c r="C189" s="311" t="s">
        <v>742</v>
      </c>
      <c r="D189" s="312"/>
      <c r="E189" s="313"/>
    </row>
    <row r="190" spans="1:5" customFormat="1" ht="34.5" x14ac:dyDescent="0.25">
      <c r="A190" s="309"/>
      <c r="B190" s="310"/>
      <c r="C190" s="311" t="s">
        <v>743</v>
      </c>
      <c r="D190" s="312"/>
      <c r="E190" s="313"/>
    </row>
    <row r="191" spans="1:5" customFormat="1" ht="15" x14ac:dyDescent="0.25">
      <c r="A191" s="309"/>
      <c r="B191" s="310"/>
      <c r="C191" s="311" t="s">
        <v>680</v>
      </c>
      <c r="D191" s="312"/>
      <c r="E191" s="313"/>
    </row>
    <row r="192" spans="1:5" customFormat="1" ht="45.75" x14ac:dyDescent="0.25">
      <c r="A192" s="309"/>
      <c r="B192" s="310"/>
      <c r="C192" s="311" t="s">
        <v>681</v>
      </c>
      <c r="D192" s="312"/>
      <c r="E192" s="313"/>
    </row>
    <row r="193" spans="1:5" customFormat="1" ht="15" x14ac:dyDescent="0.25">
      <c r="A193" s="309"/>
      <c r="B193" s="310"/>
      <c r="C193" s="311" t="s">
        <v>713</v>
      </c>
      <c r="D193" s="312"/>
      <c r="E193" s="309"/>
    </row>
    <row r="194" spans="1:5" customFormat="1" ht="45" x14ac:dyDescent="0.25">
      <c r="A194" s="305" t="s">
        <v>782</v>
      </c>
      <c r="B194" s="306" t="s">
        <v>763</v>
      </c>
      <c r="C194" s="306" t="s">
        <v>760</v>
      </c>
      <c r="D194" s="307" t="s">
        <v>764</v>
      </c>
      <c r="E194" s="308">
        <v>8041.02</v>
      </c>
    </row>
    <row r="195" spans="1:5" customFormat="1" ht="15" x14ac:dyDescent="0.25">
      <c r="A195" s="309"/>
      <c r="B195" s="310"/>
      <c r="C195" s="311" t="s">
        <v>680</v>
      </c>
      <c r="D195" s="312"/>
      <c r="E195" s="313"/>
    </row>
    <row r="196" spans="1:5" customFormat="1" ht="45.75" x14ac:dyDescent="0.25">
      <c r="A196" s="309"/>
      <c r="B196" s="310"/>
      <c r="C196" s="311" t="s">
        <v>681</v>
      </c>
      <c r="D196" s="312"/>
      <c r="E196" s="313"/>
    </row>
    <row r="197" spans="1:5" customFormat="1" ht="15" x14ac:dyDescent="0.25">
      <c r="A197" s="309"/>
      <c r="B197" s="310"/>
      <c r="C197" s="311" t="s">
        <v>717</v>
      </c>
      <c r="D197" s="312"/>
      <c r="E197" s="309"/>
    </row>
    <row r="198" spans="1:5" customFormat="1" ht="12.75" customHeight="1" x14ac:dyDescent="0.25">
      <c r="A198" s="808" t="s">
        <v>765</v>
      </c>
      <c r="B198" s="809"/>
      <c r="C198" s="809"/>
      <c r="D198" s="809"/>
      <c r="E198" s="810"/>
    </row>
    <row r="199" spans="1:5" customFormat="1" ht="12.75" customHeight="1" x14ac:dyDescent="0.25">
      <c r="A199" s="805" t="s">
        <v>766</v>
      </c>
      <c r="B199" s="806"/>
      <c r="C199" s="806"/>
      <c r="D199" s="806"/>
      <c r="E199" s="807"/>
    </row>
    <row r="200" spans="1:5" customFormat="1" ht="67.5" x14ac:dyDescent="0.25">
      <c r="A200" s="305" t="s">
        <v>788</v>
      </c>
      <c r="B200" s="306" t="s">
        <v>768</v>
      </c>
      <c r="C200" s="306" t="s">
        <v>769</v>
      </c>
      <c r="D200" s="307" t="s">
        <v>770</v>
      </c>
      <c r="E200" s="308">
        <v>94837.14</v>
      </c>
    </row>
    <row r="201" spans="1:5" customFormat="1" ht="34.5" x14ac:dyDescent="0.25">
      <c r="A201" s="309"/>
      <c r="B201" s="310"/>
      <c r="C201" s="311" t="s">
        <v>676</v>
      </c>
      <c r="D201" s="312"/>
      <c r="E201" s="313"/>
    </row>
    <row r="202" spans="1:5" customFormat="1" ht="15" x14ac:dyDescent="0.25">
      <c r="A202" s="309"/>
      <c r="B202" s="310"/>
      <c r="C202" s="311" t="s">
        <v>680</v>
      </c>
      <c r="D202" s="312"/>
      <c r="E202" s="313"/>
    </row>
    <row r="203" spans="1:5" customFormat="1" ht="45.75" x14ac:dyDescent="0.25">
      <c r="A203" s="309"/>
      <c r="B203" s="310"/>
      <c r="C203" s="311" t="s">
        <v>681</v>
      </c>
      <c r="D203" s="312"/>
      <c r="E203" s="313"/>
    </row>
    <row r="204" spans="1:5" customFormat="1" ht="15" x14ac:dyDescent="0.25">
      <c r="A204" s="309"/>
      <c r="B204" s="310"/>
      <c r="C204" s="311" t="s">
        <v>771</v>
      </c>
      <c r="D204" s="312"/>
      <c r="E204" s="309"/>
    </row>
    <row r="205" spans="1:5" customFormat="1" ht="67.5" x14ac:dyDescent="0.25">
      <c r="A205" s="305" t="s">
        <v>793</v>
      </c>
      <c r="B205" s="306" t="s">
        <v>773</v>
      </c>
      <c r="C205" s="306" t="s">
        <v>769</v>
      </c>
      <c r="D205" s="307" t="s">
        <v>774</v>
      </c>
      <c r="E205" s="308">
        <v>59687.71</v>
      </c>
    </row>
    <row r="206" spans="1:5" customFormat="1" ht="15" x14ac:dyDescent="0.25">
      <c r="A206" s="309"/>
      <c r="B206" s="310"/>
      <c r="C206" s="311" t="s">
        <v>680</v>
      </c>
      <c r="D206" s="312"/>
      <c r="E206" s="313"/>
    </row>
    <row r="207" spans="1:5" customFormat="1" ht="45.75" x14ac:dyDescent="0.25">
      <c r="A207" s="309"/>
      <c r="B207" s="310"/>
      <c r="C207" s="311" t="s">
        <v>681</v>
      </c>
      <c r="D207" s="312"/>
      <c r="E207" s="313"/>
    </row>
    <row r="208" spans="1:5" customFormat="1" ht="15" x14ac:dyDescent="0.25">
      <c r="A208" s="309"/>
      <c r="B208" s="310"/>
      <c r="C208" s="311" t="s">
        <v>775</v>
      </c>
      <c r="D208" s="312"/>
      <c r="E208" s="309"/>
    </row>
    <row r="209" spans="1:5" customFormat="1" ht="12.75" customHeight="1" x14ac:dyDescent="0.25">
      <c r="A209" s="805" t="s">
        <v>776</v>
      </c>
      <c r="B209" s="806"/>
      <c r="C209" s="806"/>
      <c r="D209" s="806"/>
      <c r="E209" s="807"/>
    </row>
    <row r="210" spans="1:5" customFormat="1" ht="56.25" x14ac:dyDescent="0.25">
      <c r="A210" s="305" t="s">
        <v>798</v>
      </c>
      <c r="B210" s="306" t="s">
        <v>778</v>
      </c>
      <c r="C210" s="306" t="s">
        <v>779</v>
      </c>
      <c r="D210" s="307" t="s">
        <v>780</v>
      </c>
      <c r="E210" s="308">
        <v>106791.05</v>
      </c>
    </row>
    <row r="211" spans="1:5" customFormat="1" ht="34.5" x14ac:dyDescent="0.25">
      <c r="A211" s="309"/>
      <c r="B211" s="310"/>
      <c r="C211" s="311" t="s">
        <v>676</v>
      </c>
      <c r="D211" s="312"/>
      <c r="E211" s="313"/>
    </row>
    <row r="212" spans="1:5" customFormat="1" ht="15" x14ac:dyDescent="0.25">
      <c r="A212" s="309"/>
      <c r="B212" s="310"/>
      <c r="C212" s="311" t="s">
        <v>680</v>
      </c>
      <c r="D212" s="312"/>
      <c r="E212" s="313"/>
    </row>
    <row r="213" spans="1:5" customFormat="1" ht="45.75" x14ac:dyDescent="0.25">
      <c r="A213" s="309"/>
      <c r="B213" s="310"/>
      <c r="C213" s="311" t="s">
        <v>681</v>
      </c>
      <c r="D213" s="312"/>
      <c r="E213" s="313"/>
    </row>
    <row r="214" spans="1:5" customFormat="1" ht="15" x14ac:dyDescent="0.25">
      <c r="A214" s="309"/>
      <c r="B214" s="310"/>
      <c r="C214" s="311" t="s">
        <v>781</v>
      </c>
      <c r="D214" s="312"/>
      <c r="E214" s="309"/>
    </row>
    <row r="215" spans="1:5" customFormat="1" ht="56.25" x14ac:dyDescent="0.25">
      <c r="A215" s="305" t="s">
        <v>803</v>
      </c>
      <c r="B215" s="306" t="s">
        <v>783</v>
      </c>
      <c r="C215" s="306" t="s">
        <v>784</v>
      </c>
      <c r="D215" s="307" t="s">
        <v>785</v>
      </c>
      <c r="E215" s="308">
        <v>39552.239999999998</v>
      </c>
    </row>
    <row r="216" spans="1:5" customFormat="1" ht="15" x14ac:dyDescent="0.25">
      <c r="A216" s="309"/>
      <c r="B216" s="310"/>
      <c r="C216" s="311" t="s">
        <v>680</v>
      </c>
      <c r="D216" s="312"/>
      <c r="E216" s="313"/>
    </row>
    <row r="217" spans="1:5" customFormat="1" ht="45.75" x14ac:dyDescent="0.25">
      <c r="A217" s="309"/>
      <c r="B217" s="310"/>
      <c r="C217" s="311" t="s">
        <v>681</v>
      </c>
      <c r="D217" s="312"/>
      <c r="E217" s="313"/>
    </row>
    <row r="218" spans="1:5" customFormat="1" ht="15" x14ac:dyDescent="0.25">
      <c r="A218" s="309"/>
      <c r="B218" s="310"/>
      <c r="C218" s="311" t="s">
        <v>786</v>
      </c>
      <c r="D218" s="312"/>
      <c r="E218" s="309"/>
    </row>
    <row r="219" spans="1:5" customFormat="1" ht="12.75" customHeight="1" x14ac:dyDescent="0.25">
      <c r="A219" s="815" t="s">
        <v>787</v>
      </c>
      <c r="B219" s="816"/>
      <c r="C219" s="816"/>
      <c r="D219" s="816"/>
      <c r="E219" s="817"/>
    </row>
    <row r="220" spans="1:5" customFormat="1" ht="56.25" x14ac:dyDescent="0.25">
      <c r="A220" s="305" t="s">
        <v>808</v>
      </c>
      <c r="B220" s="306" t="s">
        <v>789</v>
      </c>
      <c r="C220" s="306" t="s">
        <v>790</v>
      </c>
      <c r="D220" s="307" t="s">
        <v>791</v>
      </c>
      <c r="E220" s="308">
        <v>9953.7999999999993</v>
      </c>
    </row>
    <row r="221" spans="1:5" customFormat="1" ht="34.5" x14ac:dyDescent="0.25">
      <c r="A221" s="309"/>
      <c r="B221" s="310"/>
      <c r="C221" s="311" t="s">
        <v>676</v>
      </c>
      <c r="D221" s="312"/>
      <c r="E221" s="313"/>
    </row>
    <row r="222" spans="1:5" customFormat="1" ht="15" x14ac:dyDescent="0.25">
      <c r="A222" s="309"/>
      <c r="B222" s="310"/>
      <c r="C222" s="311" t="s">
        <v>680</v>
      </c>
      <c r="D222" s="312"/>
      <c r="E222" s="313"/>
    </row>
    <row r="223" spans="1:5" customFormat="1" ht="45.75" x14ac:dyDescent="0.25">
      <c r="A223" s="309"/>
      <c r="B223" s="310"/>
      <c r="C223" s="311" t="s">
        <v>681</v>
      </c>
      <c r="D223" s="312"/>
      <c r="E223" s="313"/>
    </row>
    <row r="224" spans="1:5" customFormat="1" ht="15" x14ac:dyDescent="0.25">
      <c r="A224" s="309"/>
      <c r="B224" s="310"/>
      <c r="C224" s="311" t="s">
        <v>792</v>
      </c>
      <c r="D224" s="312"/>
      <c r="E224" s="309"/>
    </row>
    <row r="225" spans="1:5" customFormat="1" ht="56.25" x14ac:dyDescent="0.25">
      <c r="A225" s="305" t="s">
        <v>813</v>
      </c>
      <c r="B225" s="306" t="s">
        <v>794</v>
      </c>
      <c r="C225" s="306" t="s">
        <v>790</v>
      </c>
      <c r="D225" s="307" t="s">
        <v>795</v>
      </c>
      <c r="E225" s="308">
        <v>6522.43</v>
      </c>
    </row>
    <row r="226" spans="1:5" customFormat="1" ht="15" x14ac:dyDescent="0.25">
      <c r="A226" s="309"/>
      <c r="B226" s="310"/>
      <c r="C226" s="311" t="s">
        <v>680</v>
      </c>
      <c r="D226" s="312"/>
      <c r="E226" s="313"/>
    </row>
    <row r="227" spans="1:5" customFormat="1" ht="45.75" x14ac:dyDescent="0.25">
      <c r="A227" s="309"/>
      <c r="B227" s="310"/>
      <c r="C227" s="311" t="s">
        <v>681</v>
      </c>
      <c r="D227" s="312"/>
      <c r="E227" s="313"/>
    </row>
    <row r="228" spans="1:5" customFormat="1" ht="15" x14ac:dyDescent="0.25">
      <c r="A228" s="309"/>
      <c r="B228" s="310"/>
      <c r="C228" s="311" t="s">
        <v>796</v>
      </c>
      <c r="D228" s="312"/>
      <c r="E228" s="309"/>
    </row>
    <row r="229" spans="1:5" customFormat="1" ht="12.75" customHeight="1" x14ac:dyDescent="0.25">
      <c r="A229" s="815" t="s">
        <v>797</v>
      </c>
      <c r="B229" s="816"/>
      <c r="C229" s="816"/>
      <c r="D229" s="816"/>
      <c r="E229" s="817"/>
    </row>
    <row r="230" spans="1:5" customFormat="1" ht="56.25" x14ac:dyDescent="0.25">
      <c r="A230" s="305" t="s">
        <v>818</v>
      </c>
      <c r="B230" s="306" t="s">
        <v>799</v>
      </c>
      <c r="C230" s="306" t="s">
        <v>800</v>
      </c>
      <c r="D230" s="307" t="s">
        <v>801</v>
      </c>
      <c r="E230" s="308">
        <v>53844.86</v>
      </c>
    </row>
    <row r="231" spans="1:5" customFormat="1" ht="34.5" x14ac:dyDescent="0.25">
      <c r="A231" s="309"/>
      <c r="B231" s="310"/>
      <c r="C231" s="311" t="s">
        <v>676</v>
      </c>
      <c r="D231" s="312"/>
      <c r="E231" s="313"/>
    </row>
    <row r="232" spans="1:5" customFormat="1" ht="15" x14ac:dyDescent="0.25">
      <c r="A232" s="309"/>
      <c r="B232" s="310"/>
      <c r="C232" s="311" t="s">
        <v>680</v>
      </c>
      <c r="D232" s="312"/>
      <c r="E232" s="313"/>
    </row>
    <row r="233" spans="1:5" customFormat="1" ht="45.75" x14ac:dyDescent="0.25">
      <c r="A233" s="309"/>
      <c r="B233" s="310"/>
      <c r="C233" s="311" t="s">
        <v>681</v>
      </c>
      <c r="D233" s="312"/>
      <c r="E233" s="313"/>
    </row>
    <row r="234" spans="1:5" customFormat="1" ht="15" x14ac:dyDescent="0.25">
      <c r="A234" s="309"/>
      <c r="B234" s="310"/>
      <c r="C234" s="311" t="s">
        <v>802</v>
      </c>
      <c r="D234" s="312"/>
      <c r="E234" s="309"/>
    </row>
    <row r="235" spans="1:5" customFormat="1" ht="56.25" x14ac:dyDescent="0.25">
      <c r="A235" s="305" t="s">
        <v>1174</v>
      </c>
      <c r="B235" s="306" t="s">
        <v>804</v>
      </c>
      <c r="C235" s="306" t="s">
        <v>800</v>
      </c>
      <c r="D235" s="307" t="s">
        <v>805</v>
      </c>
      <c r="E235" s="308">
        <v>52929.68</v>
      </c>
    </row>
    <row r="236" spans="1:5" customFormat="1" ht="15" x14ac:dyDescent="0.25">
      <c r="A236" s="309"/>
      <c r="B236" s="310"/>
      <c r="C236" s="311" t="s">
        <v>680</v>
      </c>
      <c r="D236" s="312"/>
      <c r="E236" s="313"/>
    </row>
    <row r="237" spans="1:5" customFormat="1" ht="45.75" x14ac:dyDescent="0.25">
      <c r="A237" s="309"/>
      <c r="B237" s="310"/>
      <c r="C237" s="311" t="s">
        <v>681</v>
      </c>
      <c r="D237" s="312"/>
      <c r="E237" s="313"/>
    </row>
    <row r="238" spans="1:5" customFormat="1" ht="15" x14ac:dyDescent="0.25">
      <c r="A238" s="309"/>
      <c r="B238" s="310"/>
      <c r="C238" s="311" t="s">
        <v>806</v>
      </c>
      <c r="D238" s="312"/>
      <c r="E238" s="309"/>
    </row>
    <row r="239" spans="1:5" customFormat="1" ht="12.75" customHeight="1" x14ac:dyDescent="0.25">
      <c r="A239" s="805" t="s">
        <v>807</v>
      </c>
      <c r="B239" s="806"/>
      <c r="C239" s="806"/>
      <c r="D239" s="806"/>
      <c r="E239" s="807"/>
    </row>
    <row r="240" spans="1:5" customFormat="1" ht="56.25" x14ac:dyDescent="0.25">
      <c r="A240" s="305" t="s">
        <v>823</v>
      </c>
      <c r="B240" s="306" t="s">
        <v>809</v>
      </c>
      <c r="C240" s="306" t="s">
        <v>810</v>
      </c>
      <c r="D240" s="307" t="s">
        <v>811</v>
      </c>
      <c r="E240" s="308">
        <v>69086.83</v>
      </c>
    </row>
    <row r="241" spans="1:5" customFormat="1" ht="34.5" x14ac:dyDescent="0.25">
      <c r="A241" s="309"/>
      <c r="B241" s="310"/>
      <c r="C241" s="311" t="s">
        <v>676</v>
      </c>
      <c r="D241" s="312"/>
      <c r="E241" s="313"/>
    </row>
    <row r="242" spans="1:5" customFormat="1" ht="15" x14ac:dyDescent="0.25">
      <c r="A242" s="309"/>
      <c r="B242" s="310"/>
      <c r="C242" s="311" t="s">
        <v>680</v>
      </c>
      <c r="D242" s="312"/>
      <c r="E242" s="313"/>
    </row>
    <row r="243" spans="1:5" customFormat="1" ht="45.75" x14ac:dyDescent="0.25">
      <c r="A243" s="309"/>
      <c r="B243" s="310"/>
      <c r="C243" s="311" t="s">
        <v>681</v>
      </c>
      <c r="D243" s="312"/>
      <c r="E243" s="313"/>
    </row>
    <row r="244" spans="1:5" customFormat="1" ht="15" x14ac:dyDescent="0.25">
      <c r="A244" s="309"/>
      <c r="B244" s="310"/>
      <c r="C244" s="311" t="s">
        <v>812</v>
      </c>
      <c r="D244" s="312"/>
      <c r="E244" s="309"/>
    </row>
    <row r="245" spans="1:5" customFormat="1" ht="56.25" x14ac:dyDescent="0.25">
      <c r="A245" s="305" t="s">
        <v>1175</v>
      </c>
      <c r="B245" s="306" t="s">
        <v>814</v>
      </c>
      <c r="C245" s="306" t="s">
        <v>810</v>
      </c>
      <c r="D245" s="307" t="s">
        <v>815</v>
      </c>
      <c r="E245" s="308">
        <v>31345.5</v>
      </c>
    </row>
    <row r="246" spans="1:5" customFormat="1" ht="15" x14ac:dyDescent="0.25">
      <c r="A246" s="309"/>
      <c r="B246" s="310"/>
      <c r="C246" s="311" t="s">
        <v>680</v>
      </c>
      <c r="D246" s="312"/>
      <c r="E246" s="313"/>
    </row>
    <row r="247" spans="1:5" customFormat="1" ht="45.75" x14ac:dyDescent="0.25">
      <c r="A247" s="309"/>
      <c r="B247" s="310"/>
      <c r="C247" s="311" t="s">
        <v>681</v>
      </c>
      <c r="D247" s="312"/>
      <c r="E247" s="313"/>
    </row>
    <row r="248" spans="1:5" customFormat="1" ht="15" x14ac:dyDescent="0.25">
      <c r="A248" s="309"/>
      <c r="B248" s="310"/>
      <c r="C248" s="311" t="s">
        <v>816</v>
      </c>
      <c r="D248" s="312"/>
      <c r="E248" s="309"/>
    </row>
    <row r="249" spans="1:5" customFormat="1" ht="12.75" customHeight="1" x14ac:dyDescent="0.25">
      <c r="A249" s="805" t="s">
        <v>817</v>
      </c>
      <c r="B249" s="806"/>
      <c r="C249" s="806"/>
      <c r="D249" s="806"/>
      <c r="E249" s="807"/>
    </row>
    <row r="250" spans="1:5" customFormat="1" ht="33.75" x14ac:dyDescent="0.25">
      <c r="A250" s="305" t="s">
        <v>826</v>
      </c>
      <c r="B250" s="306" t="s">
        <v>819</v>
      </c>
      <c r="C250" s="306" t="s">
        <v>820</v>
      </c>
      <c r="D250" s="307" t="s">
        <v>821</v>
      </c>
      <c r="E250" s="314"/>
    </row>
    <row r="251" spans="1:5" customFormat="1" ht="12.75" customHeight="1" x14ac:dyDescent="0.25">
      <c r="A251" s="805" t="s">
        <v>822</v>
      </c>
      <c r="B251" s="806"/>
      <c r="C251" s="806"/>
      <c r="D251" s="806"/>
      <c r="E251" s="807"/>
    </row>
    <row r="252" spans="1:5" customFormat="1" ht="33.75" x14ac:dyDescent="0.25">
      <c r="A252" s="305" t="s">
        <v>587</v>
      </c>
      <c r="B252" s="306" t="s">
        <v>824</v>
      </c>
      <c r="C252" s="306" t="s">
        <v>820</v>
      </c>
      <c r="D252" s="307" t="s">
        <v>821</v>
      </c>
      <c r="E252" s="314"/>
    </row>
    <row r="253" spans="1:5" customFormat="1" ht="12.75" customHeight="1" x14ac:dyDescent="0.25">
      <c r="A253" s="805" t="s">
        <v>825</v>
      </c>
      <c r="B253" s="806"/>
      <c r="C253" s="806"/>
      <c r="D253" s="806"/>
      <c r="E253" s="807"/>
    </row>
    <row r="254" spans="1:5" customFormat="1" ht="45" x14ac:dyDescent="0.25">
      <c r="A254" s="305" t="s">
        <v>845</v>
      </c>
      <c r="B254" s="306" t="s">
        <v>827</v>
      </c>
      <c r="C254" s="306" t="s">
        <v>828</v>
      </c>
      <c r="D254" s="307" t="s">
        <v>829</v>
      </c>
      <c r="E254" s="308">
        <v>44826.18</v>
      </c>
    </row>
    <row r="255" spans="1:5" customFormat="1" ht="45.75" x14ac:dyDescent="0.25">
      <c r="A255" s="309"/>
      <c r="B255" s="310"/>
      <c r="C255" s="311" t="s">
        <v>830</v>
      </c>
      <c r="D255" s="312"/>
      <c r="E255" s="313"/>
    </row>
    <row r="256" spans="1:5" customFormat="1" ht="34.5" x14ac:dyDescent="0.25">
      <c r="A256" s="309"/>
      <c r="B256" s="310"/>
      <c r="C256" s="311" t="s">
        <v>740</v>
      </c>
      <c r="D256" s="312"/>
      <c r="E256" s="313"/>
    </row>
    <row r="257" spans="1:5" customFormat="1" ht="79.5" x14ac:dyDescent="0.25">
      <c r="A257" s="309"/>
      <c r="B257" s="310"/>
      <c r="C257" s="311" t="s">
        <v>741</v>
      </c>
      <c r="D257" s="312"/>
      <c r="E257" s="313"/>
    </row>
    <row r="258" spans="1:5" customFormat="1" ht="45.75" x14ac:dyDescent="0.25">
      <c r="A258" s="309"/>
      <c r="B258" s="310"/>
      <c r="C258" s="311" t="s">
        <v>742</v>
      </c>
      <c r="D258" s="312"/>
      <c r="E258" s="313"/>
    </row>
    <row r="259" spans="1:5" customFormat="1" ht="34.5" x14ac:dyDescent="0.25">
      <c r="A259" s="309"/>
      <c r="B259" s="310"/>
      <c r="C259" s="311" t="s">
        <v>743</v>
      </c>
      <c r="D259" s="312"/>
      <c r="E259" s="313"/>
    </row>
    <row r="260" spans="1:5" customFormat="1" ht="15" x14ac:dyDescent="0.25">
      <c r="A260" s="309"/>
      <c r="B260" s="310"/>
      <c r="C260" s="311" t="s">
        <v>680</v>
      </c>
      <c r="D260" s="312"/>
      <c r="E260" s="313"/>
    </row>
    <row r="261" spans="1:5" customFormat="1" ht="45.75" x14ac:dyDescent="0.25">
      <c r="A261" s="309"/>
      <c r="B261" s="310"/>
      <c r="C261" s="311" t="s">
        <v>681</v>
      </c>
      <c r="D261" s="312"/>
      <c r="E261" s="313"/>
    </row>
    <row r="262" spans="1:5" customFormat="1" ht="15" x14ac:dyDescent="0.25">
      <c r="A262" s="309"/>
      <c r="B262" s="310"/>
      <c r="C262" s="311" t="s">
        <v>713</v>
      </c>
      <c r="D262" s="312"/>
      <c r="E262" s="309"/>
    </row>
    <row r="263" spans="1:5" customFormat="1" ht="33.75" x14ac:dyDescent="0.25">
      <c r="A263" s="305" t="s">
        <v>850</v>
      </c>
      <c r="B263" s="306" t="s">
        <v>831</v>
      </c>
      <c r="C263" s="306" t="s">
        <v>828</v>
      </c>
      <c r="D263" s="307" t="s">
        <v>832</v>
      </c>
      <c r="E263" s="308">
        <v>6809.04</v>
      </c>
    </row>
    <row r="264" spans="1:5" customFormat="1" ht="45.75" x14ac:dyDescent="0.25">
      <c r="A264" s="309"/>
      <c r="B264" s="310"/>
      <c r="C264" s="311" t="s">
        <v>830</v>
      </c>
      <c r="D264" s="312"/>
      <c r="E264" s="313"/>
    </row>
    <row r="265" spans="1:5" customFormat="1" ht="15" x14ac:dyDescent="0.25">
      <c r="A265" s="309"/>
      <c r="B265" s="310"/>
      <c r="C265" s="311" t="s">
        <v>680</v>
      </c>
      <c r="D265" s="312"/>
      <c r="E265" s="313"/>
    </row>
    <row r="266" spans="1:5" customFormat="1" ht="45.75" x14ac:dyDescent="0.25">
      <c r="A266" s="309"/>
      <c r="B266" s="310"/>
      <c r="C266" s="311" t="s">
        <v>681</v>
      </c>
      <c r="D266" s="312"/>
      <c r="E266" s="313"/>
    </row>
    <row r="267" spans="1:5" customFormat="1" ht="15" x14ac:dyDescent="0.25">
      <c r="A267" s="309"/>
      <c r="B267" s="310"/>
      <c r="C267" s="311" t="s">
        <v>717</v>
      </c>
      <c r="D267" s="312"/>
      <c r="E267" s="309"/>
    </row>
    <row r="268" spans="1:5" customFormat="1" ht="12.75" customHeight="1" x14ac:dyDescent="0.25">
      <c r="A268" s="805" t="s">
        <v>833</v>
      </c>
      <c r="B268" s="806"/>
      <c r="C268" s="806"/>
      <c r="D268" s="806"/>
      <c r="E268" s="807"/>
    </row>
    <row r="269" spans="1:5" customFormat="1" ht="56.25" x14ac:dyDescent="0.25">
      <c r="A269" s="305" t="s">
        <v>855</v>
      </c>
      <c r="B269" s="306" t="s">
        <v>834</v>
      </c>
      <c r="C269" s="306" t="s">
        <v>835</v>
      </c>
      <c r="D269" s="307" t="s">
        <v>836</v>
      </c>
      <c r="E269" s="308">
        <v>32337.7</v>
      </c>
    </row>
    <row r="270" spans="1:5" customFormat="1" ht="34.5" x14ac:dyDescent="0.25">
      <c r="A270" s="309"/>
      <c r="B270" s="310"/>
      <c r="C270" s="311" t="s">
        <v>676</v>
      </c>
      <c r="D270" s="312"/>
      <c r="E270" s="313"/>
    </row>
    <row r="271" spans="1:5" customFormat="1" ht="34.5" x14ac:dyDescent="0.25">
      <c r="A271" s="309"/>
      <c r="B271" s="310"/>
      <c r="C271" s="311" t="s">
        <v>837</v>
      </c>
      <c r="D271" s="312"/>
      <c r="E271" s="313"/>
    </row>
    <row r="272" spans="1:5" customFormat="1" ht="15" x14ac:dyDescent="0.25">
      <c r="A272" s="309"/>
      <c r="B272" s="310"/>
      <c r="C272" s="311" t="s">
        <v>838</v>
      </c>
      <c r="D272" s="312"/>
      <c r="E272" s="313"/>
    </row>
    <row r="273" spans="1:5" customFormat="1" ht="15" x14ac:dyDescent="0.25">
      <c r="A273" s="309"/>
      <c r="B273" s="310"/>
      <c r="C273" s="311" t="s">
        <v>680</v>
      </c>
      <c r="D273" s="312"/>
      <c r="E273" s="313"/>
    </row>
    <row r="274" spans="1:5" customFormat="1" ht="45.75" x14ac:dyDescent="0.25">
      <c r="A274" s="309"/>
      <c r="B274" s="310"/>
      <c r="C274" s="311" t="s">
        <v>681</v>
      </c>
      <c r="D274" s="312"/>
      <c r="E274" s="313"/>
    </row>
    <row r="275" spans="1:5" customFormat="1" ht="15" x14ac:dyDescent="0.25">
      <c r="A275" s="309"/>
      <c r="B275" s="310"/>
      <c r="C275" s="311" t="s">
        <v>839</v>
      </c>
      <c r="D275" s="312"/>
      <c r="E275" s="309"/>
    </row>
    <row r="276" spans="1:5" customFormat="1" ht="56.25" x14ac:dyDescent="0.25">
      <c r="A276" s="305" t="s">
        <v>863</v>
      </c>
      <c r="B276" s="306" t="s">
        <v>840</v>
      </c>
      <c r="C276" s="306" t="s">
        <v>835</v>
      </c>
      <c r="D276" s="307" t="s">
        <v>841</v>
      </c>
      <c r="E276" s="308">
        <v>25377.68</v>
      </c>
    </row>
    <row r="277" spans="1:5" customFormat="1" ht="34.5" x14ac:dyDescent="0.25">
      <c r="A277" s="309"/>
      <c r="B277" s="310"/>
      <c r="C277" s="311" t="s">
        <v>842</v>
      </c>
      <c r="D277" s="312"/>
      <c r="E277" s="313"/>
    </row>
    <row r="278" spans="1:5" customFormat="1" ht="15" x14ac:dyDescent="0.25">
      <c r="A278" s="309"/>
      <c r="B278" s="310"/>
      <c r="C278" s="311" t="s">
        <v>838</v>
      </c>
      <c r="D278" s="312"/>
      <c r="E278" s="313"/>
    </row>
    <row r="279" spans="1:5" customFormat="1" ht="15" x14ac:dyDescent="0.25">
      <c r="A279" s="309"/>
      <c r="B279" s="310"/>
      <c r="C279" s="311" t="s">
        <v>680</v>
      </c>
      <c r="D279" s="312"/>
      <c r="E279" s="313"/>
    </row>
    <row r="280" spans="1:5" customFormat="1" ht="45.75" x14ac:dyDescent="0.25">
      <c r="A280" s="309"/>
      <c r="B280" s="310"/>
      <c r="C280" s="311" t="s">
        <v>681</v>
      </c>
      <c r="D280" s="312"/>
      <c r="E280" s="313"/>
    </row>
    <row r="281" spans="1:5" customFormat="1" ht="15" x14ac:dyDescent="0.25">
      <c r="A281" s="309"/>
      <c r="B281" s="310"/>
      <c r="C281" s="311" t="s">
        <v>843</v>
      </c>
      <c r="D281" s="312"/>
      <c r="E281" s="309"/>
    </row>
    <row r="282" spans="1:5" customFormat="1" ht="12.75" customHeight="1" x14ac:dyDescent="0.25">
      <c r="A282" s="805" t="s">
        <v>844</v>
      </c>
      <c r="B282" s="806"/>
      <c r="C282" s="806"/>
      <c r="D282" s="806"/>
      <c r="E282" s="807"/>
    </row>
    <row r="283" spans="1:5" customFormat="1" ht="56.25" x14ac:dyDescent="0.25">
      <c r="A283" s="305" t="s">
        <v>869</v>
      </c>
      <c r="B283" s="306" t="s">
        <v>846</v>
      </c>
      <c r="C283" s="306" t="s">
        <v>847</v>
      </c>
      <c r="D283" s="307" t="s">
        <v>848</v>
      </c>
      <c r="E283" s="308">
        <v>25371.27</v>
      </c>
    </row>
    <row r="284" spans="1:5" customFormat="1" ht="34.5" x14ac:dyDescent="0.25">
      <c r="A284" s="309"/>
      <c r="B284" s="310"/>
      <c r="C284" s="311" t="s">
        <v>676</v>
      </c>
      <c r="D284" s="312"/>
      <c r="E284" s="313"/>
    </row>
    <row r="285" spans="1:5" customFormat="1" ht="15" x14ac:dyDescent="0.25">
      <c r="A285" s="309"/>
      <c r="B285" s="310"/>
      <c r="C285" s="311" t="s">
        <v>680</v>
      </c>
      <c r="D285" s="312"/>
      <c r="E285" s="313"/>
    </row>
    <row r="286" spans="1:5" customFormat="1" ht="45.75" x14ac:dyDescent="0.25">
      <c r="A286" s="309"/>
      <c r="B286" s="310"/>
      <c r="C286" s="311" t="s">
        <v>681</v>
      </c>
      <c r="D286" s="312"/>
      <c r="E286" s="313"/>
    </row>
    <row r="287" spans="1:5" customFormat="1" ht="15" x14ac:dyDescent="0.25">
      <c r="A287" s="309"/>
      <c r="B287" s="310"/>
      <c r="C287" s="311" t="s">
        <v>849</v>
      </c>
      <c r="D287" s="312"/>
      <c r="E287" s="309"/>
    </row>
    <row r="288" spans="1:5" customFormat="1" ht="56.25" x14ac:dyDescent="0.25">
      <c r="A288" s="305" t="s">
        <v>876</v>
      </c>
      <c r="B288" s="306" t="s">
        <v>851</v>
      </c>
      <c r="C288" s="306" t="s">
        <v>847</v>
      </c>
      <c r="D288" s="307" t="s">
        <v>852</v>
      </c>
      <c r="E288" s="308">
        <v>12269.24</v>
      </c>
    </row>
    <row r="289" spans="1:5" customFormat="1" ht="15" x14ac:dyDescent="0.25">
      <c r="A289" s="309"/>
      <c r="B289" s="310"/>
      <c r="C289" s="311" t="s">
        <v>680</v>
      </c>
      <c r="D289" s="312"/>
      <c r="E289" s="313"/>
    </row>
    <row r="290" spans="1:5" customFormat="1" ht="45.75" x14ac:dyDescent="0.25">
      <c r="A290" s="309"/>
      <c r="B290" s="310"/>
      <c r="C290" s="311" t="s">
        <v>681</v>
      </c>
      <c r="D290" s="312"/>
      <c r="E290" s="313"/>
    </row>
    <row r="291" spans="1:5" customFormat="1" ht="15" x14ac:dyDescent="0.25">
      <c r="A291" s="309"/>
      <c r="B291" s="310"/>
      <c r="C291" s="311" t="s">
        <v>853</v>
      </c>
      <c r="D291" s="312"/>
      <c r="E291" s="309"/>
    </row>
    <row r="292" spans="1:5" customFormat="1" ht="12.75" customHeight="1" x14ac:dyDescent="0.25">
      <c r="A292" s="805" t="s">
        <v>854</v>
      </c>
      <c r="B292" s="806"/>
      <c r="C292" s="806"/>
      <c r="D292" s="806"/>
      <c r="E292" s="807"/>
    </row>
    <row r="293" spans="1:5" customFormat="1" ht="67.5" x14ac:dyDescent="0.25">
      <c r="A293" s="305" t="s">
        <v>880</v>
      </c>
      <c r="B293" s="306" t="s">
        <v>856</v>
      </c>
      <c r="C293" s="306" t="s">
        <v>857</v>
      </c>
      <c r="D293" s="307" t="s">
        <v>858</v>
      </c>
      <c r="E293" s="308">
        <v>351441.16</v>
      </c>
    </row>
    <row r="294" spans="1:5" customFormat="1" ht="15" x14ac:dyDescent="0.25">
      <c r="A294" s="309"/>
      <c r="B294" s="310"/>
      <c r="C294" s="311" t="s">
        <v>859</v>
      </c>
      <c r="D294" s="312"/>
      <c r="E294" s="313"/>
    </row>
    <row r="295" spans="1:5" customFormat="1" ht="15" x14ac:dyDescent="0.25">
      <c r="A295" s="309"/>
      <c r="B295" s="310"/>
      <c r="C295" s="311" t="s">
        <v>860</v>
      </c>
      <c r="D295" s="312"/>
      <c r="E295" s="313"/>
    </row>
    <row r="296" spans="1:5" customFormat="1" ht="45.75" x14ac:dyDescent="0.25">
      <c r="A296" s="309"/>
      <c r="B296" s="310"/>
      <c r="C296" s="311" t="s">
        <v>861</v>
      </c>
      <c r="D296" s="312"/>
      <c r="E296" s="313"/>
    </row>
    <row r="297" spans="1:5" customFormat="1" ht="15" x14ac:dyDescent="0.25">
      <c r="A297" s="309"/>
      <c r="B297" s="310"/>
      <c r="C297" s="311" t="s">
        <v>862</v>
      </c>
      <c r="D297" s="312"/>
      <c r="E297" s="309"/>
    </row>
    <row r="298" spans="1:5" customFormat="1" ht="56.25" x14ac:dyDescent="0.25">
      <c r="A298" s="305" t="s">
        <v>883</v>
      </c>
      <c r="B298" s="306" t="s">
        <v>864</v>
      </c>
      <c r="C298" s="306" t="s">
        <v>857</v>
      </c>
      <c r="D298" s="307" t="s">
        <v>865</v>
      </c>
      <c r="E298" s="308">
        <v>106612.7</v>
      </c>
    </row>
    <row r="299" spans="1:5" customFormat="1" ht="15" x14ac:dyDescent="0.25">
      <c r="A299" s="309"/>
      <c r="B299" s="310"/>
      <c r="C299" s="311" t="s">
        <v>866</v>
      </c>
      <c r="D299" s="312"/>
      <c r="E299" s="313"/>
    </row>
    <row r="300" spans="1:5" customFormat="1" ht="45.75" x14ac:dyDescent="0.25">
      <c r="A300" s="309"/>
      <c r="B300" s="310"/>
      <c r="C300" s="311" t="s">
        <v>861</v>
      </c>
      <c r="D300" s="312"/>
      <c r="E300" s="313"/>
    </row>
    <row r="301" spans="1:5" customFormat="1" ht="15" x14ac:dyDescent="0.25">
      <c r="A301" s="309"/>
      <c r="B301" s="310"/>
      <c r="C301" s="311" t="s">
        <v>867</v>
      </c>
      <c r="D301" s="312"/>
      <c r="E301" s="309"/>
    </row>
    <row r="302" spans="1:5" customFormat="1" ht="12.75" customHeight="1" x14ac:dyDescent="0.25">
      <c r="A302" s="805" t="s">
        <v>868</v>
      </c>
      <c r="B302" s="806"/>
      <c r="C302" s="806"/>
      <c r="D302" s="806"/>
      <c r="E302" s="807"/>
    </row>
    <row r="303" spans="1:5" customFormat="1" ht="33.75" x14ac:dyDescent="0.25">
      <c r="A303" s="305" t="s">
        <v>886</v>
      </c>
      <c r="B303" s="306" t="s">
        <v>870</v>
      </c>
      <c r="C303" s="306" t="s">
        <v>871</v>
      </c>
      <c r="D303" s="307" t="s">
        <v>872</v>
      </c>
      <c r="E303" s="308">
        <v>122320.58</v>
      </c>
    </row>
    <row r="304" spans="1:5" customFormat="1" ht="15" x14ac:dyDescent="0.25">
      <c r="A304" s="309"/>
      <c r="B304" s="310"/>
      <c r="C304" s="311" t="s">
        <v>873</v>
      </c>
      <c r="D304" s="312"/>
      <c r="E304" s="313"/>
    </row>
    <row r="305" spans="1:5" customFormat="1" ht="15" x14ac:dyDescent="0.25">
      <c r="A305" s="309"/>
      <c r="B305" s="310"/>
      <c r="C305" s="311" t="s">
        <v>874</v>
      </c>
      <c r="D305" s="312"/>
      <c r="E305" s="313"/>
    </row>
    <row r="306" spans="1:5" customFormat="1" ht="45.75" x14ac:dyDescent="0.25">
      <c r="A306" s="309"/>
      <c r="B306" s="310"/>
      <c r="C306" s="311" t="s">
        <v>861</v>
      </c>
      <c r="D306" s="312"/>
      <c r="E306" s="313"/>
    </row>
    <row r="307" spans="1:5" customFormat="1" ht="15" x14ac:dyDescent="0.25">
      <c r="A307" s="309"/>
      <c r="B307" s="310"/>
      <c r="C307" s="311" t="s">
        <v>875</v>
      </c>
      <c r="D307" s="312"/>
      <c r="E307" s="309"/>
    </row>
    <row r="308" spans="1:5" customFormat="1" ht="33.75" x14ac:dyDescent="0.25">
      <c r="A308" s="305" t="s">
        <v>1176</v>
      </c>
      <c r="B308" s="306" t="s">
        <v>877</v>
      </c>
      <c r="C308" s="306" t="s">
        <v>871</v>
      </c>
      <c r="D308" s="307" t="s">
        <v>878</v>
      </c>
      <c r="E308" s="308">
        <v>69331.5</v>
      </c>
    </row>
    <row r="309" spans="1:5" customFormat="1" ht="15" x14ac:dyDescent="0.25">
      <c r="A309" s="309"/>
      <c r="B309" s="310"/>
      <c r="C309" s="311" t="s">
        <v>873</v>
      </c>
      <c r="D309" s="312"/>
      <c r="E309" s="313"/>
    </row>
    <row r="310" spans="1:5" customFormat="1" ht="45.75" x14ac:dyDescent="0.25">
      <c r="A310" s="309"/>
      <c r="B310" s="310"/>
      <c r="C310" s="311" t="s">
        <v>861</v>
      </c>
      <c r="D310" s="312"/>
      <c r="E310" s="313"/>
    </row>
    <row r="311" spans="1:5" customFormat="1" ht="15" x14ac:dyDescent="0.25">
      <c r="A311" s="309"/>
      <c r="B311" s="310"/>
      <c r="C311" s="311" t="s">
        <v>867</v>
      </c>
      <c r="D311" s="312"/>
      <c r="E311" s="309"/>
    </row>
    <row r="312" spans="1:5" customFormat="1" ht="12.75" customHeight="1" x14ac:dyDescent="0.25">
      <c r="A312" s="805" t="s">
        <v>879</v>
      </c>
      <c r="B312" s="806"/>
      <c r="C312" s="806"/>
      <c r="D312" s="806"/>
      <c r="E312" s="807"/>
    </row>
    <row r="313" spans="1:5" customFormat="1" ht="67.5" x14ac:dyDescent="0.25">
      <c r="A313" s="305" t="s">
        <v>893</v>
      </c>
      <c r="B313" s="306" t="s">
        <v>881</v>
      </c>
      <c r="C313" s="306" t="s">
        <v>857</v>
      </c>
      <c r="D313" s="307" t="s">
        <v>882</v>
      </c>
      <c r="E313" s="308">
        <v>720445.29</v>
      </c>
    </row>
    <row r="314" spans="1:5" customFormat="1" ht="15" x14ac:dyDescent="0.25">
      <c r="A314" s="309"/>
      <c r="B314" s="310"/>
      <c r="C314" s="311" t="s">
        <v>859</v>
      </c>
      <c r="D314" s="312"/>
      <c r="E314" s="313"/>
    </row>
    <row r="315" spans="1:5" customFormat="1" ht="15" x14ac:dyDescent="0.25">
      <c r="A315" s="309"/>
      <c r="B315" s="310"/>
      <c r="C315" s="311" t="s">
        <v>860</v>
      </c>
      <c r="D315" s="312"/>
      <c r="E315" s="313"/>
    </row>
    <row r="316" spans="1:5" customFormat="1" ht="45.75" x14ac:dyDescent="0.25">
      <c r="A316" s="309"/>
      <c r="B316" s="310"/>
      <c r="C316" s="311" t="s">
        <v>861</v>
      </c>
      <c r="D316" s="312"/>
      <c r="E316" s="313"/>
    </row>
    <row r="317" spans="1:5" customFormat="1" ht="15" x14ac:dyDescent="0.25">
      <c r="A317" s="309"/>
      <c r="B317" s="310"/>
      <c r="C317" s="311" t="s">
        <v>862</v>
      </c>
      <c r="D317" s="312"/>
      <c r="E317" s="309"/>
    </row>
    <row r="318" spans="1:5" customFormat="1" ht="56.25" x14ac:dyDescent="0.25">
      <c r="A318" s="305" t="s">
        <v>1177</v>
      </c>
      <c r="B318" s="306" t="s">
        <v>884</v>
      </c>
      <c r="C318" s="306" t="s">
        <v>857</v>
      </c>
      <c r="D318" s="307" t="s">
        <v>885</v>
      </c>
      <c r="E318" s="308">
        <v>218553.28</v>
      </c>
    </row>
    <row r="319" spans="1:5" customFormat="1" ht="15" x14ac:dyDescent="0.25">
      <c r="A319" s="309"/>
      <c r="B319" s="310"/>
      <c r="C319" s="311" t="s">
        <v>866</v>
      </c>
      <c r="D319" s="312"/>
      <c r="E319" s="313"/>
    </row>
    <row r="320" spans="1:5" customFormat="1" ht="45.75" x14ac:dyDescent="0.25">
      <c r="A320" s="309"/>
      <c r="B320" s="310"/>
      <c r="C320" s="311" t="s">
        <v>861</v>
      </c>
      <c r="D320" s="312"/>
      <c r="E320" s="313"/>
    </row>
    <row r="321" spans="1:5" customFormat="1" ht="15" x14ac:dyDescent="0.25">
      <c r="A321" s="309"/>
      <c r="B321" s="310"/>
      <c r="C321" s="311" t="s">
        <v>867</v>
      </c>
      <c r="D321" s="312"/>
      <c r="E321" s="309"/>
    </row>
    <row r="322" spans="1:5" customFormat="1" ht="56.25" x14ac:dyDescent="0.25">
      <c r="A322" s="305" t="s">
        <v>631</v>
      </c>
      <c r="B322" s="306" t="s">
        <v>887</v>
      </c>
      <c r="C322" s="306" t="s">
        <v>888</v>
      </c>
      <c r="D322" s="307" t="s">
        <v>889</v>
      </c>
      <c r="E322" s="308">
        <v>2474393.88</v>
      </c>
    </row>
    <row r="323" spans="1:5" customFormat="1" ht="34.5" x14ac:dyDescent="0.25">
      <c r="A323" s="309"/>
      <c r="B323" s="310"/>
      <c r="C323" s="311" t="s">
        <v>740</v>
      </c>
      <c r="D323" s="312"/>
      <c r="E323" s="313"/>
    </row>
    <row r="324" spans="1:5" customFormat="1" ht="15" x14ac:dyDescent="0.25">
      <c r="A324" s="309"/>
      <c r="B324" s="310"/>
      <c r="C324" s="311" t="s">
        <v>680</v>
      </c>
      <c r="D324" s="312"/>
      <c r="E324" s="313"/>
    </row>
    <row r="325" spans="1:5" customFormat="1" ht="45.75" x14ac:dyDescent="0.25">
      <c r="A325" s="309"/>
      <c r="B325" s="310"/>
      <c r="C325" s="311" t="s">
        <v>890</v>
      </c>
      <c r="D325" s="312"/>
      <c r="E325" s="313"/>
    </row>
    <row r="326" spans="1:5" customFormat="1" ht="15" x14ac:dyDescent="0.25">
      <c r="A326" s="309"/>
      <c r="B326" s="310"/>
      <c r="C326" s="311" t="s">
        <v>891</v>
      </c>
      <c r="D326" s="312"/>
      <c r="E326" s="309"/>
    </row>
    <row r="327" spans="1:5" customFormat="1" ht="12.75" customHeight="1" x14ac:dyDescent="0.25">
      <c r="A327" s="805" t="s">
        <v>892</v>
      </c>
      <c r="B327" s="806"/>
      <c r="C327" s="806"/>
      <c r="D327" s="806"/>
      <c r="E327" s="807"/>
    </row>
    <row r="328" spans="1:5" customFormat="1" ht="33.75" x14ac:dyDescent="0.25">
      <c r="A328" s="305" t="s">
        <v>902</v>
      </c>
      <c r="B328" s="306" t="s">
        <v>894</v>
      </c>
      <c r="C328" s="306" t="s">
        <v>895</v>
      </c>
      <c r="D328" s="307" t="s">
        <v>896</v>
      </c>
      <c r="E328" s="308">
        <v>9596.16</v>
      </c>
    </row>
    <row r="329" spans="1:5" customFormat="1" ht="15" x14ac:dyDescent="0.25">
      <c r="A329" s="309"/>
      <c r="B329" s="310"/>
      <c r="C329" s="311" t="s">
        <v>897</v>
      </c>
      <c r="D329" s="312"/>
      <c r="E329" s="313"/>
    </row>
    <row r="330" spans="1:5" customFormat="1" ht="15" x14ac:dyDescent="0.25">
      <c r="A330" s="309"/>
      <c r="B330" s="310"/>
      <c r="C330" s="311" t="s">
        <v>680</v>
      </c>
      <c r="D330" s="312"/>
      <c r="E330" s="313"/>
    </row>
    <row r="331" spans="1:5" customFormat="1" ht="45.75" x14ac:dyDescent="0.25">
      <c r="A331" s="309"/>
      <c r="B331" s="310"/>
      <c r="C331" s="311" t="s">
        <v>699</v>
      </c>
      <c r="D331" s="312"/>
      <c r="E331" s="313"/>
    </row>
    <row r="332" spans="1:5" customFormat="1" ht="12.75" customHeight="1" x14ac:dyDescent="0.25">
      <c r="A332" s="805" t="s">
        <v>898</v>
      </c>
      <c r="B332" s="806"/>
      <c r="C332" s="806"/>
      <c r="D332" s="806"/>
      <c r="E332" s="807"/>
    </row>
    <row r="333" spans="1:5" customFormat="1" ht="33.75" x14ac:dyDescent="0.25">
      <c r="A333" s="305" t="s">
        <v>908</v>
      </c>
      <c r="B333" s="306" t="s">
        <v>899</v>
      </c>
      <c r="C333" s="306" t="s">
        <v>820</v>
      </c>
      <c r="D333" s="307" t="s">
        <v>821</v>
      </c>
      <c r="E333" s="314"/>
    </row>
    <row r="334" spans="1:5" customFormat="1" ht="12.75" customHeight="1" x14ac:dyDescent="0.25">
      <c r="A334" s="805" t="s">
        <v>900</v>
      </c>
      <c r="B334" s="806"/>
      <c r="C334" s="806"/>
      <c r="D334" s="806"/>
      <c r="E334" s="807"/>
    </row>
    <row r="335" spans="1:5" customFormat="1" ht="12.75" customHeight="1" x14ac:dyDescent="0.25">
      <c r="A335" s="815" t="s">
        <v>901</v>
      </c>
      <c r="B335" s="816"/>
      <c r="C335" s="816"/>
      <c r="D335" s="816"/>
      <c r="E335" s="817"/>
    </row>
    <row r="336" spans="1:5" customFormat="1" ht="67.5" x14ac:dyDescent="0.25">
      <c r="A336" s="305" t="s">
        <v>912</v>
      </c>
      <c r="B336" s="306" t="s">
        <v>903</v>
      </c>
      <c r="C336" s="306" t="s">
        <v>769</v>
      </c>
      <c r="D336" s="307" t="s">
        <v>904</v>
      </c>
      <c r="E336" s="308">
        <v>109712.8</v>
      </c>
    </row>
    <row r="337" spans="1:5" customFormat="1" ht="34.5" x14ac:dyDescent="0.25">
      <c r="A337" s="309"/>
      <c r="B337" s="310"/>
      <c r="C337" s="311" t="s">
        <v>676</v>
      </c>
      <c r="D337" s="312"/>
      <c r="E337" s="313"/>
    </row>
    <row r="338" spans="1:5" customFormat="1" ht="15" x14ac:dyDescent="0.25">
      <c r="A338" s="309"/>
      <c r="B338" s="310"/>
      <c r="C338" s="311" t="s">
        <v>680</v>
      </c>
      <c r="D338" s="312"/>
      <c r="E338" s="313"/>
    </row>
    <row r="339" spans="1:5" customFormat="1" ht="45.75" x14ac:dyDescent="0.25">
      <c r="A339" s="309"/>
      <c r="B339" s="310"/>
      <c r="C339" s="311" t="s">
        <v>681</v>
      </c>
      <c r="D339" s="312"/>
      <c r="E339" s="313"/>
    </row>
    <row r="340" spans="1:5" customFormat="1" ht="15" x14ac:dyDescent="0.25">
      <c r="A340" s="309"/>
      <c r="B340" s="310"/>
      <c r="C340" s="311" t="s">
        <v>771</v>
      </c>
      <c r="D340" s="312"/>
      <c r="E340" s="309"/>
    </row>
    <row r="341" spans="1:5" customFormat="1" ht="67.5" x14ac:dyDescent="0.25">
      <c r="A341" s="305" t="s">
        <v>915</v>
      </c>
      <c r="B341" s="306" t="s">
        <v>905</v>
      </c>
      <c r="C341" s="306" t="s">
        <v>769</v>
      </c>
      <c r="D341" s="307" t="s">
        <v>906</v>
      </c>
      <c r="E341" s="308">
        <v>69050.02</v>
      </c>
    </row>
    <row r="342" spans="1:5" customFormat="1" ht="15" x14ac:dyDescent="0.25">
      <c r="A342" s="309"/>
      <c r="B342" s="310"/>
      <c r="C342" s="311" t="s">
        <v>680</v>
      </c>
      <c r="D342" s="312"/>
      <c r="E342" s="313"/>
    </row>
    <row r="343" spans="1:5" customFormat="1" ht="45.75" x14ac:dyDescent="0.25">
      <c r="A343" s="309"/>
      <c r="B343" s="310"/>
      <c r="C343" s="311" t="s">
        <v>681</v>
      </c>
      <c r="D343" s="312"/>
      <c r="E343" s="313"/>
    </row>
    <row r="344" spans="1:5" customFormat="1" ht="15" x14ac:dyDescent="0.25">
      <c r="A344" s="309"/>
      <c r="B344" s="310"/>
      <c r="C344" s="311" t="s">
        <v>775</v>
      </c>
      <c r="D344" s="312"/>
      <c r="E344" s="309"/>
    </row>
    <row r="345" spans="1:5" customFormat="1" ht="12.75" customHeight="1" x14ac:dyDescent="0.25">
      <c r="A345" s="815" t="s">
        <v>907</v>
      </c>
      <c r="B345" s="816"/>
      <c r="C345" s="816"/>
      <c r="D345" s="816"/>
      <c r="E345" s="817"/>
    </row>
    <row r="346" spans="1:5" customFormat="1" ht="56.25" x14ac:dyDescent="0.25">
      <c r="A346" s="305" t="s">
        <v>919</v>
      </c>
      <c r="B346" s="306" t="s">
        <v>834</v>
      </c>
      <c r="C346" s="306" t="s">
        <v>835</v>
      </c>
      <c r="D346" s="307" t="s">
        <v>909</v>
      </c>
      <c r="E346" s="308">
        <v>21558.46</v>
      </c>
    </row>
    <row r="347" spans="1:5" customFormat="1" ht="34.5" x14ac:dyDescent="0.25">
      <c r="A347" s="309"/>
      <c r="B347" s="310"/>
      <c r="C347" s="311" t="s">
        <v>676</v>
      </c>
      <c r="D347" s="312"/>
      <c r="E347" s="313"/>
    </row>
    <row r="348" spans="1:5" customFormat="1" ht="15" x14ac:dyDescent="0.25">
      <c r="A348" s="309"/>
      <c r="B348" s="310"/>
      <c r="C348" s="311" t="s">
        <v>680</v>
      </c>
      <c r="D348" s="312"/>
      <c r="E348" s="313"/>
    </row>
    <row r="349" spans="1:5" customFormat="1" ht="45.75" x14ac:dyDescent="0.25">
      <c r="A349" s="309"/>
      <c r="B349" s="310"/>
      <c r="C349" s="311" t="s">
        <v>681</v>
      </c>
      <c r="D349" s="312"/>
      <c r="E349" s="313"/>
    </row>
    <row r="350" spans="1:5" customFormat="1" ht="15" x14ac:dyDescent="0.25">
      <c r="A350" s="309"/>
      <c r="B350" s="310"/>
      <c r="C350" s="311" t="s">
        <v>839</v>
      </c>
      <c r="D350" s="312"/>
      <c r="E350" s="309"/>
    </row>
    <row r="351" spans="1:5" customFormat="1" ht="56.25" x14ac:dyDescent="0.25">
      <c r="A351" s="305" t="s">
        <v>1178</v>
      </c>
      <c r="B351" s="306" t="s">
        <v>840</v>
      </c>
      <c r="C351" s="306" t="s">
        <v>835</v>
      </c>
      <c r="D351" s="307" t="s">
        <v>910</v>
      </c>
      <c r="E351" s="308">
        <v>16918.45</v>
      </c>
    </row>
    <row r="352" spans="1:5" customFormat="1" ht="15" x14ac:dyDescent="0.25">
      <c r="A352" s="309"/>
      <c r="B352" s="310"/>
      <c r="C352" s="311" t="s">
        <v>680</v>
      </c>
      <c r="D352" s="312"/>
      <c r="E352" s="313"/>
    </row>
    <row r="353" spans="1:5" customFormat="1" ht="45.75" x14ac:dyDescent="0.25">
      <c r="A353" s="309"/>
      <c r="B353" s="310"/>
      <c r="C353" s="311" t="s">
        <v>681</v>
      </c>
      <c r="D353" s="312"/>
      <c r="E353" s="313"/>
    </row>
    <row r="354" spans="1:5" customFormat="1" ht="15" x14ac:dyDescent="0.25">
      <c r="A354" s="309"/>
      <c r="B354" s="310"/>
      <c r="C354" s="311" t="s">
        <v>843</v>
      </c>
      <c r="D354" s="312"/>
      <c r="E354" s="309"/>
    </row>
    <row r="355" spans="1:5" customFormat="1" ht="12.75" customHeight="1" x14ac:dyDescent="0.25">
      <c r="A355" s="815" t="s">
        <v>911</v>
      </c>
      <c r="B355" s="816"/>
      <c r="C355" s="816"/>
      <c r="D355" s="816"/>
      <c r="E355" s="817"/>
    </row>
    <row r="356" spans="1:5" customFormat="1" ht="56.25" x14ac:dyDescent="0.25">
      <c r="A356" s="305" t="s">
        <v>922</v>
      </c>
      <c r="B356" s="306" t="s">
        <v>913</v>
      </c>
      <c r="C356" s="306" t="s">
        <v>835</v>
      </c>
      <c r="D356" s="307" t="s">
        <v>914</v>
      </c>
      <c r="E356" s="308">
        <v>15807.12</v>
      </c>
    </row>
    <row r="357" spans="1:5" customFormat="1" ht="34.5" x14ac:dyDescent="0.25">
      <c r="A357" s="309"/>
      <c r="B357" s="310"/>
      <c r="C357" s="311" t="s">
        <v>676</v>
      </c>
      <c r="D357" s="312"/>
      <c r="E357" s="313"/>
    </row>
    <row r="358" spans="1:5" customFormat="1" ht="34.5" x14ac:dyDescent="0.25">
      <c r="A358" s="309"/>
      <c r="B358" s="310"/>
      <c r="C358" s="311" t="s">
        <v>837</v>
      </c>
      <c r="D358" s="312"/>
      <c r="E358" s="313"/>
    </row>
    <row r="359" spans="1:5" customFormat="1" ht="15" x14ac:dyDescent="0.25">
      <c r="A359" s="309"/>
      <c r="B359" s="310"/>
      <c r="C359" s="311" t="s">
        <v>680</v>
      </c>
      <c r="D359" s="312"/>
      <c r="E359" s="313"/>
    </row>
    <row r="360" spans="1:5" customFormat="1" ht="45.75" x14ac:dyDescent="0.25">
      <c r="A360" s="309"/>
      <c r="B360" s="310"/>
      <c r="C360" s="311" t="s">
        <v>681</v>
      </c>
      <c r="D360" s="312"/>
      <c r="E360" s="313"/>
    </row>
    <row r="361" spans="1:5" customFormat="1" ht="15" x14ac:dyDescent="0.25">
      <c r="A361" s="309"/>
      <c r="B361" s="310"/>
      <c r="C361" s="311" t="s">
        <v>839</v>
      </c>
      <c r="D361" s="312"/>
      <c r="E361" s="309"/>
    </row>
    <row r="362" spans="1:5" customFormat="1" ht="56.25" x14ac:dyDescent="0.25">
      <c r="A362" s="305" t="s">
        <v>1179</v>
      </c>
      <c r="B362" s="306" t="s">
        <v>916</v>
      </c>
      <c r="C362" s="306" t="s">
        <v>835</v>
      </c>
      <c r="D362" s="307" t="s">
        <v>917</v>
      </c>
      <c r="E362" s="308">
        <v>12404.97</v>
      </c>
    </row>
    <row r="363" spans="1:5" customFormat="1" ht="34.5" x14ac:dyDescent="0.25">
      <c r="A363" s="309"/>
      <c r="B363" s="310"/>
      <c r="C363" s="311" t="s">
        <v>842</v>
      </c>
      <c r="D363" s="312"/>
      <c r="E363" s="313"/>
    </row>
    <row r="364" spans="1:5" customFormat="1" ht="15" x14ac:dyDescent="0.25">
      <c r="A364" s="309"/>
      <c r="B364" s="310"/>
      <c r="C364" s="311" t="s">
        <v>680</v>
      </c>
      <c r="D364" s="312"/>
      <c r="E364" s="313"/>
    </row>
    <row r="365" spans="1:5" customFormat="1" ht="45.75" x14ac:dyDescent="0.25">
      <c r="A365" s="309"/>
      <c r="B365" s="310"/>
      <c r="C365" s="311" t="s">
        <v>681</v>
      </c>
      <c r="D365" s="312"/>
      <c r="E365" s="313"/>
    </row>
    <row r="366" spans="1:5" customFormat="1" ht="15" x14ac:dyDescent="0.25">
      <c r="A366" s="309"/>
      <c r="B366" s="310"/>
      <c r="C366" s="311" t="s">
        <v>843</v>
      </c>
      <c r="D366" s="312"/>
      <c r="E366" s="309"/>
    </row>
    <row r="367" spans="1:5" customFormat="1" ht="12.75" customHeight="1" x14ac:dyDescent="0.25">
      <c r="A367" s="805" t="s">
        <v>918</v>
      </c>
      <c r="B367" s="806"/>
      <c r="C367" s="806"/>
      <c r="D367" s="806"/>
      <c r="E367" s="807"/>
    </row>
    <row r="368" spans="1:5" customFormat="1" ht="33.75" x14ac:dyDescent="0.25">
      <c r="A368" s="305" t="s">
        <v>927</v>
      </c>
      <c r="B368" s="306" t="s">
        <v>920</v>
      </c>
      <c r="C368" s="306" t="s">
        <v>820</v>
      </c>
      <c r="D368" s="307" t="s">
        <v>821</v>
      </c>
      <c r="E368" s="314"/>
    </row>
    <row r="369" spans="1:5" customFormat="1" ht="12.75" customHeight="1" x14ac:dyDescent="0.25">
      <c r="A369" s="805" t="s">
        <v>921</v>
      </c>
      <c r="B369" s="806"/>
      <c r="C369" s="806"/>
      <c r="D369" s="806"/>
      <c r="E369" s="807"/>
    </row>
    <row r="370" spans="1:5" customFormat="1" ht="56.25" x14ac:dyDescent="0.25">
      <c r="A370" s="305" t="s">
        <v>931</v>
      </c>
      <c r="B370" s="306" t="s">
        <v>923</v>
      </c>
      <c r="C370" s="306" t="s">
        <v>924</v>
      </c>
      <c r="D370" s="307" t="s">
        <v>925</v>
      </c>
      <c r="E370" s="308">
        <v>19017.490000000002</v>
      </c>
    </row>
    <row r="371" spans="1:5" customFormat="1" ht="15" x14ac:dyDescent="0.25">
      <c r="A371" s="309"/>
      <c r="B371" s="310"/>
      <c r="C371" s="311" t="s">
        <v>874</v>
      </c>
      <c r="D371" s="312"/>
      <c r="E371" s="313"/>
    </row>
    <row r="372" spans="1:5" customFormat="1" ht="15" x14ac:dyDescent="0.25">
      <c r="A372" s="309"/>
      <c r="B372" s="310"/>
      <c r="C372" s="311" t="s">
        <v>680</v>
      </c>
      <c r="D372" s="312"/>
      <c r="E372" s="313"/>
    </row>
    <row r="373" spans="1:5" customFormat="1" ht="45.75" x14ac:dyDescent="0.25">
      <c r="A373" s="309"/>
      <c r="B373" s="310"/>
      <c r="C373" s="311" t="s">
        <v>861</v>
      </c>
      <c r="D373" s="312"/>
      <c r="E373" s="313"/>
    </row>
    <row r="374" spans="1:5" customFormat="1" ht="15" x14ac:dyDescent="0.25">
      <c r="A374" s="309"/>
      <c r="B374" s="310"/>
      <c r="C374" s="311" t="s">
        <v>926</v>
      </c>
      <c r="D374" s="312"/>
      <c r="E374" s="309"/>
    </row>
    <row r="375" spans="1:5" customFormat="1" ht="45" x14ac:dyDescent="0.25">
      <c r="A375" s="305" t="s">
        <v>937</v>
      </c>
      <c r="B375" s="306" t="s">
        <v>928</v>
      </c>
      <c r="C375" s="306" t="s">
        <v>924</v>
      </c>
      <c r="D375" s="307" t="s">
        <v>929</v>
      </c>
      <c r="E375" s="308">
        <v>8192.15</v>
      </c>
    </row>
    <row r="376" spans="1:5" customFormat="1" ht="15" x14ac:dyDescent="0.25">
      <c r="A376" s="309"/>
      <c r="B376" s="310"/>
      <c r="C376" s="311" t="s">
        <v>680</v>
      </c>
      <c r="D376" s="312"/>
      <c r="E376" s="313"/>
    </row>
    <row r="377" spans="1:5" customFormat="1" ht="45.75" x14ac:dyDescent="0.25">
      <c r="A377" s="309"/>
      <c r="B377" s="310"/>
      <c r="C377" s="311" t="s">
        <v>861</v>
      </c>
      <c r="D377" s="312"/>
      <c r="E377" s="313"/>
    </row>
    <row r="378" spans="1:5" customFormat="1" ht="15" x14ac:dyDescent="0.25">
      <c r="A378" s="309"/>
      <c r="B378" s="310"/>
      <c r="C378" s="311" t="s">
        <v>867</v>
      </c>
      <c r="D378" s="312"/>
      <c r="E378" s="309"/>
    </row>
    <row r="379" spans="1:5" customFormat="1" ht="12.75" customHeight="1" x14ac:dyDescent="0.25">
      <c r="A379" s="805" t="s">
        <v>930</v>
      </c>
      <c r="B379" s="806"/>
      <c r="C379" s="806"/>
      <c r="D379" s="806"/>
      <c r="E379" s="807"/>
    </row>
    <row r="380" spans="1:5" customFormat="1" ht="33.75" x14ac:dyDescent="0.25">
      <c r="A380" s="305" t="s">
        <v>940</v>
      </c>
      <c r="B380" s="306" t="s">
        <v>932</v>
      </c>
      <c r="C380" s="306" t="s">
        <v>933</v>
      </c>
      <c r="D380" s="307" t="s">
        <v>934</v>
      </c>
      <c r="E380" s="308">
        <v>44676</v>
      </c>
    </row>
    <row r="381" spans="1:5" customFormat="1" ht="15" x14ac:dyDescent="0.25">
      <c r="A381" s="309"/>
      <c r="B381" s="310"/>
      <c r="C381" s="311" t="s">
        <v>680</v>
      </c>
      <c r="D381" s="312"/>
      <c r="E381" s="313"/>
    </row>
    <row r="382" spans="1:5" customFormat="1" ht="45.75" x14ac:dyDescent="0.25">
      <c r="A382" s="309"/>
      <c r="B382" s="310"/>
      <c r="C382" s="311" t="s">
        <v>699</v>
      </c>
      <c r="D382" s="312"/>
      <c r="E382" s="313"/>
    </row>
    <row r="383" spans="1:5" customFormat="1" ht="12.75" customHeight="1" x14ac:dyDescent="0.25">
      <c r="A383" s="805" t="s">
        <v>935</v>
      </c>
      <c r="B383" s="806"/>
      <c r="C383" s="806"/>
      <c r="D383" s="806"/>
      <c r="E383" s="807"/>
    </row>
    <row r="384" spans="1:5" customFormat="1" ht="12.75" customHeight="1" x14ac:dyDescent="0.25">
      <c r="A384" s="805" t="s">
        <v>936</v>
      </c>
      <c r="B384" s="806"/>
      <c r="C384" s="806"/>
      <c r="D384" s="806"/>
      <c r="E384" s="807"/>
    </row>
    <row r="385" spans="1:5" customFormat="1" ht="56.25" x14ac:dyDescent="0.25">
      <c r="A385" s="305" t="s">
        <v>945</v>
      </c>
      <c r="B385" s="306" t="s">
        <v>938</v>
      </c>
      <c r="C385" s="306" t="s">
        <v>847</v>
      </c>
      <c r="D385" s="307" t="s">
        <v>848</v>
      </c>
      <c r="E385" s="308">
        <v>25371.27</v>
      </c>
    </row>
    <row r="386" spans="1:5" customFormat="1" ht="34.5" x14ac:dyDescent="0.25">
      <c r="A386" s="309"/>
      <c r="B386" s="310"/>
      <c r="C386" s="311" t="s">
        <v>676</v>
      </c>
      <c r="D386" s="312"/>
      <c r="E386" s="313"/>
    </row>
    <row r="387" spans="1:5" customFormat="1" ht="15" x14ac:dyDescent="0.25">
      <c r="A387" s="309"/>
      <c r="B387" s="310"/>
      <c r="C387" s="311" t="s">
        <v>680</v>
      </c>
      <c r="D387" s="312"/>
      <c r="E387" s="313"/>
    </row>
    <row r="388" spans="1:5" customFormat="1" ht="45.75" x14ac:dyDescent="0.25">
      <c r="A388" s="309"/>
      <c r="B388" s="310"/>
      <c r="C388" s="311" t="s">
        <v>681</v>
      </c>
      <c r="D388" s="312"/>
      <c r="E388" s="313"/>
    </row>
    <row r="389" spans="1:5" customFormat="1" ht="15" x14ac:dyDescent="0.25">
      <c r="A389" s="309"/>
      <c r="B389" s="310"/>
      <c r="C389" s="311" t="s">
        <v>849</v>
      </c>
      <c r="D389" s="312"/>
      <c r="E389" s="309"/>
    </row>
    <row r="390" spans="1:5" customFormat="1" ht="56.25" x14ac:dyDescent="0.25">
      <c r="A390" s="305" t="s">
        <v>948</v>
      </c>
      <c r="B390" s="306" t="s">
        <v>939</v>
      </c>
      <c r="C390" s="306" t="s">
        <v>847</v>
      </c>
      <c r="D390" s="307" t="s">
        <v>852</v>
      </c>
      <c r="E390" s="308">
        <v>12269.24</v>
      </c>
    </row>
    <row r="391" spans="1:5" customFormat="1" ht="15" x14ac:dyDescent="0.25">
      <c r="A391" s="309"/>
      <c r="B391" s="310"/>
      <c r="C391" s="311" t="s">
        <v>680</v>
      </c>
      <c r="D391" s="312"/>
      <c r="E391" s="313"/>
    </row>
    <row r="392" spans="1:5" customFormat="1" ht="45.75" x14ac:dyDescent="0.25">
      <c r="A392" s="309"/>
      <c r="B392" s="310"/>
      <c r="C392" s="311" t="s">
        <v>681</v>
      </c>
      <c r="D392" s="312"/>
      <c r="E392" s="313"/>
    </row>
    <row r="393" spans="1:5" customFormat="1" ht="15" x14ac:dyDescent="0.25">
      <c r="A393" s="309"/>
      <c r="B393" s="310"/>
      <c r="C393" s="311" t="s">
        <v>853</v>
      </c>
      <c r="D393" s="312"/>
      <c r="E393" s="309"/>
    </row>
    <row r="394" spans="1:5" customFormat="1" ht="12.75" customHeight="1" x14ac:dyDescent="0.25">
      <c r="A394" s="805" t="s">
        <v>776</v>
      </c>
      <c r="B394" s="806"/>
      <c r="C394" s="806"/>
      <c r="D394" s="806"/>
      <c r="E394" s="807"/>
    </row>
    <row r="395" spans="1:5" customFormat="1" ht="56.25" x14ac:dyDescent="0.25">
      <c r="A395" s="305" t="s">
        <v>951</v>
      </c>
      <c r="B395" s="306" t="s">
        <v>941</v>
      </c>
      <c r="C395" s="306" t="s">
        <v>784</v>
      </c>
      <c r="D395" s="307" t="s">
        <v>942</v>
      </c>
      <c r="E395" s="308">
        <v>148717.29999999999</v>
      </c>
    </row>
    <row r="396" spans="1:5" customFormat="1" ht="34.5" x14ac:dyDescent="0.25">
      <c r="A396" s="309"/>
      <c r="B396" s="310"/>
      <c r="C396" s="311" t="s">
        <v>676</v>
      </c>
      <c r="D396" s="312"/>
      <c r="E396" s="313"/>
    </row>
    <row r="397" spans="1:5" customFormat="1" ht="15" x14ac:dyDescent="0.25">
      <c r="A397" s="309"/>
      <c r="B397" s="310"/>
      <c r="C397" s="311" t="s">
        <v>680</v>
      </c>
      <c r="D397" s="312"/>
      <c r="E397" s="313"/>
    </row>
    <row r="398" spans="1:5" customFormat="1" ht="45.75" x14ac:dyDescent="0.25">
      <c r="A398" s="309"/>
      <c r="B398" s="310"/>
      <c r="C398" s="311" t="s">
        <v>681</v>
      </c>
      <c r="D398" s="312"/>
      <c r="E398" s="313"/>
    </row>
    <row r="399" spans="1:5" customFormat="1" ht="15" x14ac:dyDescent="0.25">
      <c r="A399" s="309"/>
      <c r="B399" s="310"/>
      <c r="C399" s="311" t="s">
        <v>781</v>
      </c>
      <c r="D399" s="312"/>
      <c r="E399" s="309"/>
    </row>
    <row r="400" spans="1:5" customFormat="1" ht="56.25" x14ac:dyDescent="0.25">
      <c r="A400" s="305" t="s">
        <v>954</v>
      </c>
      <c r="B400" s="306" t="s">
        <v>943</v>
      </c>
      <c r="C400" s="306" t="s">
        <v>784</v>
      </c>
      <c r="D400" s="307" t="s">
        <v>944</v>
      </c>
      <c r="E400" s="308">
        <v>55080.480000000003</v>
      </c>
    </row>
    <row r="401" spans="1:5" customFormat="1" ht="15" x14ac:dyDescent="0.25">
      <c r="A401" s="309"/>
      <c r="B401" s="310"/>
      <c r="C401" s="311" t="s">
        <v>680</v>
      </c>
      <c r="D401" s="312"/>
      <c r="E401" s="313"/>
    </row>
    <row r="402" spans="1:5" customFormat="1" ht="45.75" x14ac:dyDescent="0.25">
      <c r="A402" s="309"/>
      <c r="B402" s="310"/>
      <c r="C402" s="311" t="s">
        <v>681</v>
      </c>
      <c r="D402" s="312"/>
      <c r="E402" s="313"/>
    </row>
    <row r="403" spans="1:5" customFormat="1" ht="15" x14ac:dyDescent="0.25">
      <c r="A403" s="309"/>
      <c r="B403" s="310"/>
      <c r="C403" s="311" t="s">
        <v>786</v>
      </c>
      <c r="D403" s="312"/>
      <c r="E403" s="309"/>
    </row>
    <row r="404" spans="1:5" customFormat="1" ht="12.75" customHeight="1" x14ac:dyDescent="0.25">
      <c r="A404" s="805" t="s">
        <v>825</v>
      </c>
      <c r="B404" s="806"/>
      <c r="C404" s="806"/>
      <c r="D404" s="806"/>
      <c r="E404" s="807"/>
    </row>
    <row r="405" spans="1:5" customFormat="1" ht="33.75" x14ac:dyDescent="0.25">
      <c r="A405" s="305" t="s">
        <v>958</v>
      </c>
      <c r="B405" s="306" t="s">
        <v>946</v>
      </c>
      <c r="C405" s="306" t="s">
        <v>828</v>
      </c>
      <c r="D405" s="307" t="s">
        <v>947</v>
      </c>
      <c r="E405" s="308">
        <v>22370.33</v>
      </c>
    </row>
    <row r="406" spans="1:5" customFormat="1" ht="45.75" x14ac:dyDescent="0.25">
      <c r="A406" s="309"/>
      <c r="B406" s="310"/>
      <c r="C406" s="311" t="s">
        <v>830</v>
      </c>
      <c r="D406" s="312"/>
      <c r="E406" s="313"/>
    </row>
    <row r="407" spans="1:5" customFormat="1" ht="34.5" x14ac:dyDescent="0.25">
      <c r="A407" s="309"/>
      <c r="B407" s="310"/>
      <c r="C407" s="311" t="s">
        <v>740</v>
      </c>
      <c r="D407" s="312"/>
      <c r="E407" s="313"/>
    </row>
    <row r="408" spans="1:5" customFormat="1" ht="15" x14ac:dyDescent="0.25">
      <c r="A408" s="309"/>
      <c r="B408" s="310"/>
      <c r="C408" s="311" t="s">
        <v>680</v>
      </c>
      <c r="D408" s="312"/>
      <c r="E408" s="313"/>
    </row>
    <row r="409" spans="1:5" customFormat="1" ht="45.75" x14ac:dyDescent="0.25">
      <c r="A409" s="309"/>
      <c r="B409" s="310"/>
      <c r="C409" s="311" t="s">
        <v>681</v>
      </c>
      <c r="D409" s="312"/>
      <c r="E409" s="313"/>
    </row>
    <row r="410" spans="1:5" customFormat="1" ht="15" x14ac:dyDescent="0.25">
      <c r="A410" s="309"/>
      <c r="B410" s="310"/>
      <c r="C410" s="311" t="s">
        <v>713</v>
      </c>
      <c r="D410" s="312"/>
      <c r="E410" s="309"/>
    </row>
    <row r="411" spans="1:5" customFormat="1" ht="33.75" x14ac:dyDescent="0.25">
      <c r="A411" s="305" t="s">
        <v>961</v>
      </c>
      <c r="B411" s="306" t="s">
        <v>949</v>
      </c>
      <c r="C411" s="306" t="s">
        <v>828</v>
      </c>
      <c r="D411" s="307" t="s">
        <v>950</v>
      </c>
      <c r="E411" s="308">
        <v>4574.26</v>
      </c>
    </row>
    <row r="412" spans="1:5" customFormat="1" ht="45.75" x14ac:dyDescent="0.25">
      <c r="A412" s="309"/>
      <c r="B412" s="310"/>
      <c r="C412" s="311" t="s">
        <v>830</v>
      </c>
      <c r="D412" s="312"/>
      <c r="E412" s="313"/>
    </row>
    <row r="413" spans="1:5" customFormat="1" ht="15" x14ac:dyDescent="0.25">
      <c r="A413" s="309"/>
      <c r="B413" s="310"/>
      <c r="C413" s="311" t="s">
        <v>680</v>
      </c>
      <c r="D413" s="312"/>
      <c r="E413" s="313"/>
    </row>
    <row r="414" spans="1:5" customFormat="1" ht="45.75" x14ac:dyDescent="0.25">
      <c r="A414" s="309"/>
      <c r="B414" s="310"/>
      <c r="C414" s="311" t="s">
        <v>681</v>
      </c>
      <c r="D414" s="312"/>
      <c r="E414" s="313"/>
    </row>
    <row r="415" spans="1:5" customFormat="1" ht="15" x14ac:dyDescent="0.25">
      <c r="A415" s="309"/>
      <c r="B415" s="310"/>
      <c r="C415" s="311" t="s">
        <v>717</v>
      </c>
      <c r="D415" s="312"/>
      <c r="E415" s="309"/>
    </row>
    <row r="416" spans="1:5" customFormat="1" ht="12.75" customHeight="1" x14ac:dyDescent="0.25">
      <c r="A416" s="805" t="s">
        <v>854</v>
      </c>
      <c r="B416" s="806"/>
      <c r="C416" s="806"/>
      <c r="D416" s="806"/>
      <c r="E416" s="807"/>
    </row>
    <row r="417" spans="1:5" customFormat="1" ht="67.5" x14ac:dyDescent="0.25">
      <c r="A417" s="305" t="s">
        <v>629</v>
      </c>
      <c r="B417" s="306" t="s">
        <v>952</v>
      </c>
      <c r="C417" s="306" t="s">
        <v>857</v>
      </c>
      <c r="D417" s="307" t="s">
        <v>953</v>
      </c>
      <c r="E417" s="308">
        <v>453235.4</v>
      </c>
    </row>
    <row r="418" spans="1:5" customFormat="1" ht="15" x14ac:dyDescent="0.25">
      <c r="A418" s="309"/>
      <c r="B418" s="310"/>
      <c r="C418" s="311" t="s">
        <v>859</v>
      </c>
      <c r="D418" s="312"/>
      <c r="E418" s="313"/>
    </row>
    <row r="419" spans="1:5" customFormat="1" ht="15" x14ac:dyDescent="0.25">
      <c r="A419" s="309"/>
      <c r="B419" s="310"/>
      <c r="C419" s="311" t="s">
        <v>860</v>
      </c>
      <c r="D419" s="312"/>
      <c r="E419" s="313"/>
    </row>
    <row r="420" spans="1:5" customFormat="1" ht="45.75" x14ac:dyDescent="0.25">
      <c r="A420" s="309"/>
      <c r="B420" s="310"/>
      <c r="C420" s="311" t="s">
        <v>861</v>
      </c>
      <c r="D420" s="312"/>
      <c r="E420" s="313"/>
    </row>
    <row r="421" spans="1:5" customFormat="1" ht="15" x14ac:dyDescent="0.25">
      <c r="A421" s="309"/>
      <c r="B421" s="310"/>
      <c r="C421" s="311" t="s">
        <v>862</v>
      </c>
      <c r="D421" s="312"/>
      <c r="E421" s="309"/>
    </row>
    <row r="422" spans="1:5" customFormat="1" ht="56.25" x14ac:dyDescent="0.25">
      <c r="A422" s="305" t="s">
        <v>965</v>
      </c>
      <c r="B422" s="306" t="s">
        <v>955</v>
      </c>
      <c r="C422" s="306" t="s">
        <v>857</v>
      </c>
      <c r="D422" s="307" t="s">
        <v>956</v>
      </c>
      <c r="E422" s="308">
        <v>137492.85999999999</v>
      </c>
    </row>
    <row r="423" spans="1:5" customFormat="1" ht="15" x14ac:dyDescent="0.25">
      <c r="A423" s="309"/>
      <c r="B423" s="310"/>
      <c r="C423" s="311" t="s">
        <v>866</v>
      </c>
      <c r="D423" s="312"/>
      <c r="E423" s="313"/>
    </row>
    <row r="424" spans="1:5" customFormat="1" ht="45.75" x14ac:dyDescent="0.25">
      <c r="A424" s="309"/>
      <c r="B424" s="310"/>
      <c r="C424" s="311" t="s">
        <v>861</v>
      </c>
      <c r="D424" s="312"/>
      <c r="E424" s="313"/>
    </row>
    <row r="425" spans="1:5" customFormat="1" ht="15" x14ac:dyDescent="0.25">
      <c r="A425" s="309"/>
      <c r="B425" s="310"/>
      <c r="C425" s="311" t="s">
        <v>867</v>
      </c>
      <c r="D425" s="312"/>
      <c r="E425" s="309"/>
    </row>
    <row r="426" spans="1:5" customFormat="1" ht="12.75" customHeight="1" x14ac:dyDescent="0.25">
      <c r="A426" s="805" t="s">
        <v>957</v>
      </c>
      <c r="B426" s="806"/>
      <c r="C426" s="806"/>
      <c r="D426" s="806"/>
      <c r="E426" s="807"/>
    </row>
    <row r="427" spans="1:5" customFormat="1" ht="12.75" customHeight="1" x14ac:dyDescent="0.25">
      <c r="A427" s="805" t="s">
        <v>776</v>
      </c>
      <c r="B427" s="806"/>
      <c r="C427" s="806"/>
      <c r="D427" s="806"/>
      <c r="E427" s="807"/>
    </row>
    <row r="428" spans="1:5" customFormat="1" ht="56.25" x14ac:dyDescent="0.25">
      <c r="A428" s="305" t="s">
        <v>966</v>
      </c>
      <c r="B428" s="306" t="s">
        <v>959</v>
      </c>
      <c r="C428" s="306" t="s">
        <v>779</v>
      </c>
      <c r="D428" s="307" t="s">
        <v>960</v>
      </c>
      <c r="E428" s="308">
        <v>94584.67</v>
      </c>
    </row>
    <row r="429" spans="1:5" customFormat="1" ht="34.5" x14ac:dyDescent="0.25">
      <c r="A429" s="309"/>
      <c r="B429" s="310"/>
      <c r="C429" s="311" t="s">
        <v>676</v>
      </c>
      <c r="D429" s="312"/>
      <c r="E429" s="313"/>
    </row>
    <row r="430" spans="1:5" customFormat="1" ht="15" x14ac:dyDescent="0.25">
      <c r="A430" s="309"/>
      <c r="B430" s="310"/>
      <c r="C430" s="311" t="s">
        <v>680</v>
      </c>
      <c r="D430" s="312"/>
      <c r="E430" s="313"/>
    </row>
    <row r="431" spans="1:5" customFormat="1" ht="45.75" x14ac:dyDescent="0.25">
      <c r="A431" s="309"/>
      <c r="B431" s="310"/>
      <c r="C431" s="311" t="s">
        <v>681</v>
      </c>
      <c r="D431" s="312"/>
      <c r="E431" s="313"/>
    </row>
    <row r="432" spans="1:5" customFormat="1" ht="15" x14ac:dyDescent="0.25">
      <c r="A432" s="309"/>
      <c r="B432" s="310"/>
      <c r="C432" s="311" t="s">
        <v>781</v>
      </c>
      <c r="D432" s="312"/>
      <c r="E432" s="309"/>
    </row>
    <row r="433" spans="1:5" customFormat="1" ht="56.25" x14ac:dyDescent="0.25">
      <c r="A433" s="305" t="s">
        <v>967</v>
      </c>
      <c r="B433" s="306" t="s">
        <v>962</v>
      </c>
      <c r="C433" s="306" t="s">
        <v>784</v>
      </c>
      <c r="D433" s="307" t="s">
        <v>963</v>
      </c>
      <c r="E433" s="308">
        <v>35031.360000000001</v>
      </c>
    </row>
    <row r="434" spans="1:5" customFormat="1" ht="15" x14ac:dyDescent="0.25">
      <c r="A434" s="309"/>
      <c r="B434" s="310"/>
      <c r="C434" s="311" t="s">
        <v>680</v>
      </c>
      <c r="D434" s="312"/>
      <c r="E434" s="313"/>
    </row>
    <row r="435" spans="1:5" customFormat="1" ht="45.75" x14ac:dyDescent="0.25">
      <c r="A435" s="309"/>
      <c r="B435" s="310"/>
      <c r="C435" s="311" t="s">
        <v>681</v>
      </c>
      <c r="D435" s="312"/>
      <c r="E435" s="313"/>
    </row>
    <row r="436" spans="1:5" customFormat="1" ht="15" x14ac:dyDescent="0.25">
      <c r="A436" s="309"/>
      <c r="B436" s="310"/>
      <c r="C436" s="311" t="s">
        <v>786</v>
      </c>
      <c r="D436" s="312"/>
      <c r="E436" s="309"/>
    </row>
    <row r="437" spans="1:5" customFormat="1" ht="12.75" customHeight="1" x14ac:dyDescent="0.25">
      <c r="A437" s="815" t="s">
        <v>964</v>
      </c>
      <c r="B437" s="816"/>
      <c r="C437" s="816"/>
      <c r="D437" s="816"/>
      <c r="E437" s="817"/>
    </row>
    <row r="438" spans="1:5" customFormat="1" ht="56.25" x14ac:dyDescent="0.25">
      <c r="A438" s="305" t="s">
        <v>970</v>
      </c>
      <c r="B438" s="306" t="s">
        <v>789</v>
      </c>
      <c r="C438" s="306" t="s">
        <v>790</v>
      </c>
      <c r="D438" s="307" t="s">
        <v>791</v>
      </c>
      <c r="E438" s="308">
        <v>9953.7999999999993</v>
      </c>
    </row>
    <row r="439" spans="1:5" customFormat="1" ht="34.5" x14ac:dyDescent="0.25">
      <c r="A439" s="309"/>
      <c r="B439" s="310"/>
      <c r="C439" s="311" t="s">
        <v>676</v>
      </c>
      <c r="D439" s="312"/>
      <c r="E439" s="313"/>
    </row>
    <row r="440" spans="1:5" customFormat="1" ht="15" x14ac:dyDescent="0.25">
      <c r="A440" s="309"/>
      <c r="B440" s="310"/>
      <c r="C440" s="311" t="s">
        <v>680</v>
      </c>
      <c r="D440" s="312"/>
      <c r="E440" s="313"/>
    </row>
    <row r="441" spans="1:5" customFormat="1" ht="45.75" x14ac:dyDescent="0.25">
      <c r="A441" s="309"/>
      <c r="B441" s="310"/>
      <c r="C441" s="311" t="s">
        <v>681</v>
      </c>
      <c r="D441" s="312"/>
      <c r="E441" s="313"/>
    </row>
    <row r="442" spans="1:5" customFormat="1" ht="15" x14ac:dyDescent="0.25">
      <c r="A442" s="309"/>
      <c r="B442" s="310"/>
      <c r="C442" s="311" t="s">
        <v>792</v>
      </c>
      <c r="D442" s="312"/>
      <c r="E442" s="309"/>
    </row>
    <row r="443" spans="1:5" customFormat="1" ht="56.25" x14ac:dyDescent="0.25">
      <c r="A443" s="305" t="s">
        <v>974</v>
      </c>
      <c r="B443" s="306" t="s">
        <v>794</v>
      </c>
      <c r="C443" s="306" t="s">
        <v>790</v>
      </c>
      <c r="D443" s="307" t="s">
        <v>795</v>
      </c>
      <c r="E443" s="308">
        <v>6522.43</v>
      </c>
    </row>
    <row r="444" spans="1:5" customFormat="1" ht="15" x14ac:dyDescent="0.25">
      <c r="A444" s="309"/>
      <c r="B444" s="310"/>
      <c r="C444" s="311" t="s">
        <v>680</v>
      </c>
      <c r="D444" s="312"/>
      <c r="E444" s="313"/>
    </row>
    <row r="445" spans="1:5" customFormat="1" ht="45.75" x14ac:dyDescent="0.25">
      <c r="A445" s="309"/>
      <c r="B445" s="310"/>
      <c r="C445" s="311" t="s">
        <v>681</v>
      </c>
      <c r="D445" s="312"/>
      <c r="E445" s="313"/>
    </row>
    <row r="446" spans="1:5" customFormat="1" ht="15" x14ac:dyDescent="0.25">
      <c r="A446" s="309"/>
      <c r="B446" s="310"/>
      <c r="C446" s="311" t="s">
        <v>796</v>
      </c>
      <c r="D446" s="312"/>
      <c r="E446" s="309"/>
    </row>
    <row r="447" spans="1:5" customFormat="1" ht="12.75" customHeight="1" x14ac:dyDescent="0.25">
      <c r="A447" s="815" t="s">
        <v>797</v>
      </c>
      <c r="B447" s="816"/>
      <c r="C447" s="816"/>
      <c r="D447" s="816"/>
      <c r="E447" s="817"/>
    </row>
    <row r="448" spans="1:5" customFormat="1" ht="56.25" x14ac:dyDescent="0.25">
      <c r="A448" s="305" t="s">
        <v>979</v>
      </c>
      <c r="B448" s="306" t="s">
        <v>799</v>
      </c>
      <c r="C448" s="306" t="s">
        <v>800</v>
      </c>
      <c r="D448" s="307" t="s">
        <v>801</v>
      </c>
      <c r="E448" s="308">
        <v>53844.86</v>
      </c>
    </row>
    <row r="449" spans="1:5" customFormat="1" ht="34.5" x14ac:dyDescent="0.25">
      <c r="A449" s="309"/>
      <c r="B449" s="310"/>
      <c r="C449" s="311" t="s">
        <v>676</v>
      </c>
      <c r="D449" s="312"/>
      <c r="E449" s="313"/>
    </row>
    <row r="450" spans="1:5" customFormat="1" ht="15" x14ac:dyDescent="0.25">
      <c r="A450" s="309"/>
      <c r="B450" s="310"/>
      <c r="C450" s="311" t="s">
        <v>680</v>
      </c>
      <c r="D450" s="312"/>
      <c r="E450" s="313"/>
    </row>
    <row r="451" spans="1:5" customFormat="1" ht="45.75" x14ac:dyDescent="0.25">
      <c r="A451" s="309"/>
      <c r="B451" s="310"/>
      <c r="C451" s="311" t="s">
        <v>681</v>
      </c>
      <c r="D451" s="312"/>
      <c r="E451" s="313"/>
    </row>
    <row r="452" spans="1:5" customFormat="1" ht="15" x14ac:dyDescent="0.25">
      <c r="A452" s="309"/>
      <c r="B452" s="310"/>
      <c r="C452" s="311" t="s">
        <v>802</v>
      </c>
      <c r="D452" s="312"/>
      <c r="E452" s="309"/>
    </row>
    <row r="453" spans="1:5" customFormat="1" ht="56.25" x14ac:dyDescent="0.25">
      <c r="A453" s="305" t="s">
        <v>982</v>
      </c>
      <c r="B453" s="306" t="s">
        <v>804</v>
      </c>
      <c r="C453" s="306" t="s">
        <v>800</v>
      </c>
      <c r="D453" s="307" t="s">
        <v>805</v>
      </c>
      <c r="E453" s="308">
        <v>52929.68</v>
      </c>
    </row>
    <row r="454" spans="1:5" customFormat="1" ht="15" x14ac:dyDescent="0.25">
      <c r="A454" s="309"/>
      <c r="B454" s="310"/>
      <c r="C454" s="311" t="s">
        <v>680</v>
      </c>
      <c r="D454" s="312"/>
      <c r="E454" s="313"/>
    </row>
    <row r="455" spans="1:5" customFormat="1" ht="45.75" x14ac:dyDescent="0.25">
      <c r="A455" s="309"/>
      <c r="B455" s="310"/>
      <c r="C455" s="311" t="s">
        <v>681</v>
      </c>
      <c r="D455" s="312"/>
      <c r="E455" s="313"/>
    </row>
    <row r="456" spans="1:5" customFormat="1" ht="15" x14ac:dyDescent="0.25">
      <c r="A456" s="309"/>
      <c r="B456" s="310"/>
      <c r="C456" s="311" t="s">
        <v>806</v>
      </c>
      <c r="D456" s="312"/>
      <c r="E456" s="309"/>
    </row>
    <row r="457" spans="1:5" customFormat="1" ht="12.75" customHeight="1" x14ac:dyDescent="0.25">
      <c r="A457" s="808" t="s">
        <v>968</v>
      </c>
      <c r="B457" s="809"/>
      <c r="C457" s="809"/>
      <c r="D457" s="809"/>
      <c r="E457" s="810"/>
    </row>
    <row r="458" spans="1:5" customFormat="1" ht="12.75" customHeight="1" x14ac:dyDescent="0.25">
      <c r="A458" s="805" t="s">
        <v>969</v>
      </c>
      <c r="B458" s="806"/>
      <c r="C458" s="806"/>
      <c r="D458" s="806"/>
      <c r="E458" s="807"/>
    </row>
    <row r="459" spans="1:5" customFormat="1" ht="45" x14ac:dyDescent="0.25">
      <c r="A459" s="305" t="s">
        <v>987</v>
      </c>
      <c r="B459" s="306" t="s">
        <v>971</v>
      </c>
      <c r="C459" s="306" t="s">
        <v>972</v>
      </c>
      <c r="D459" s="307" t="s">
        <v>973</v>
      </c>
      <c r="E459" s="308">
        <v>145236</v>
      </c>
    </row>
    <row r="460" spans="1:5" customFormat="1" ht="34.5" x14ac:dyDescent="0.25">
      <c r="A460" s="309"/>
      <c r="B460" s="310"/>
      <c r="C460" s="311" t="s">
        <v>676</v>
      </c>
      <c r="D460" s="312"/>
      <c r="E460" s="313"/>
    </row>
    <row r="461" spans="1:5" customFormat="1" ht="15" x14ac:dyDescent="0.25">
      <c r="A461" s="309"/>
      <c r="B461" s="310"/>
      <c r="C461" s="311" t="s">
        <v>680</v>
      </c>
      <c r="D461" s="312"/>
      <c r="E461" s="313"/>
    </row>
    <row r="462" spans="1:5" customFormat="1" ht="45.75" x14ac:dyDescent="0.25">
      <c r="A462" s="309"/>
      <c r="B462" s="310"/>
      <c r="C462" s="311" t="s">
        <v>681</v>
      </c>
      <c r="D462" s="312"/>
      <c r="E462" s="313"/>
    </row>
    <row r="463" spans="1:5" customFormat="1" ht="15" x14ac:dyDescent="0.25">
      <c r="A463" s="309"/>
      <c r="B463" s="310"/>
      <c r="C463" s="311" t="s">
        <v>682</v>
      </c>
      <c r="D463" s="312"/>
      <c r="E463" s="309"/>
    </row>
    <row r="464" spans="1:5" customFormat="1" ht="45" x14ac:dyDescent="0.25">
      <c r="A464" s="305" t="s">
        <v>1180</v>
      </c>
      <c r="B464" s="306" t="s">
        <v>975</v>
      </c>
      <c r="C464" s="306" t="s">
        <v>972</v>
      </c>
      <c r="D464" s="307" t="s">
        <v>976</v>
      </c>
      <c r="E464" s="308">
        <v>35280</v>
      </c>
    </row>
    <row r="465" spans="1:5" customFormat="1" ht="15" x14ac:dyDescent="0.25">
      <c r="A465" s="309"/>
      <c r="B465" s="310"/>
      <c r="C465" s="311" t="s">
        <v>680</v>
      </c>
      <c r="D465" s="312"/>
      <c r="E465" s="313"/>
    </row>
    <row r="466" spans="1:5" customFormat="1" ht="45.75" x14ac:dyDescent="0.25">
      <c r="A466" s="309"/>
      <c r="B466" s="310"/>
      <c r="C466" s="311" t="s">
        <v>681</v>
      </c>
      <c r="D466" s="312"/>
      <c r="E466" s="313"/>
    </row>
    <row r="467" spans="1:5" customFormat="1" ht="15" x14ac:dyDescent="0.25">
      <c r="A467" s="309"/>
      <c r="B467" s="310"/>
      <c r="C467" s="311" t="s">
        <v>977</v>
      </c>
      <c r="D467" s="312"/>
      <c r="E467" s="309"/>
    </row>
    <row r="468" spans="1:5" customFormat="1" ht="12.75" customHeight="1" x14ac:dyDescent="0.25">
      <c r="A468" s="805" t="s">
        <v>978</v>
      </c>
      <c r="B468" s="806"/>
      <c r="C468" s="806"/>
      <c r="D468" s="806"/>
      <c r="E468" s="807"/>
    </row>
    <row r="469" spans="1:5" customFormat="1" ht="45" x14ac:dyDescent="0.25">
      <c r="A469" s="305" t="s">
        <v>993</v>
      </c>
      <c r="B469" s="306" t="s">
        <v>980</v>
      </c>
      <c r="C469" s="306" t="s">
        <v>972</v>
      </c>
      <c r="D469" s="307" t="s">
        <v>981</v>
      </c>
      <c r="E469" s="308">
        <v>209073.45</v>
      </c>
    </row>
    <row r="470" spans="1:5" customFormat="1" ht="34.5" x14ac:dyDescent="0.25">
      <c r="A470" s="309"/>
      <c r="B470" s="310"/>
      <c r="C470" s="311" t="s">
        <v>676</v>
      </c>
      <c r="D470" s="312"/>
      <c r="E470" s="313"/>
    </row>
    <row r="471" spans="1:5" customFormat="1" ht="15" x14ac:dyDescent="0.25">
      <c r="A471" s="309"/>
      <c r="B471" s="310"/>
      <c r="C471" s="311" t="s">
        <v>680</v>
      </c>
      <c r="D471" s="312"/>
      <c r="E471" s="313"/>
    </row>
    <row r="472" spans="1:5" customFormat="1" ht="45.75" x14ac:dyDescent="0.25">
      <c r="A472" s="309"/>
      <c r="B472" s="310"/>
      <c r="C472" s="311" t="s">
        <v>681</v>
      </c>
      <c r="D472" s="312"/>
      <c r="E472" s="313"/>
    </row>
    <row r="473" spans="1:5" customFormat="1" ht="15" x14ac:dyDescent="0.25">
      <c r="A473" s="309"/>
      <c r="B473" s="310"/>
      <c r="C473" s="311" t="s">
        <v>682</v>
      </c>
      <c r="D473" s="312"/>
      <c r="E473" s="309"/>
    </row>
    <row r="474" spans="1:5" customFormat="1" ht="45" x14ac:dyDescent="0.25">
      <c r="A474" s="305" t="s">
        <v>1181</v>
      </c>
      <c r="B474" s="306" t="s">
        <v>983</v>
      </c>
      <c r="C474" s="306" t="s">
        <v>972</v>
      </c>
      <c r="D474" s="307" t="s">
        <v>984</v>
      </c>
      <c r="E474" s="308">
        <v>50787.07</v>
      </c>
    </row>
    <row r="475" spans="1:5" customFormat="1" ht="15" x14ac:dyDescent="0.25">
      <c r="A475" s="309"/>
      <c r="B475" s="310"/>
      <c r="C475" s="311" t="s">
        <v>680</v>
      </c>
      <c r="D475" s="312"/>
      <c r="E475" s="313"/>
    </row>
    <row r="476" spans="1:5" customFormat="1" ht="45.75" x14ac:dyDescent="0.25">
      <c r="A476" s="309"/>
      <c r="B476" s="310"/>
      <c r="C476" s="311" t="s">
        <v>681</v>
      </c>
      <c r="D476" s="312"/>
      <c r="E476" s="313"/>
    </row>
    <row r="477" spans="1:5" customFormat="1" ht="15" x14ac:dyDescent="0.25">
      <c r="A477" s="309"/>
      <c r="B477" s="310"/>
      <c r="C477" s="311" t="s">
        <v>977</v>
      </c>
      <c r="D477" s="312"/>
      <c r="E477" s="309"/>
    </row>
    <row r="478" spans="1:5" customFormat="1" ht="12.75" customHeight="1" x14ac:dyDescent="0.25">
      <c r="A478" s="808" t="s">
        <v>985</v>
      </c>
      <c r="B478" s="809"/>
      <c r="C478" s="809"/>
      <c r="D478" s="809"/>
      <c r="E478" s="810"/>
    </row>
    <row r="479" spans="1:5" customFormat="1" ht="12.75" customHeight="1" x14ac:dyDescent="0.25">
      <c r="A479" s="805" t="s">
        <v>986</v>
      </c>
      <c r="B479" s="806"/>
      <c r="C479" s="806"/>
      <c r="D479" s="806"/>
      <c r="E479" s="807"/>
    </row>
    <row r="480" spans="1:5" customFormat="1" ht="33.75" x14ac:dyDescent="0.25">
      <c r="A480" s="305" t="s">
        <v>995</v>
      </c>
      <c r="B480" s="306" t="s">
        <v>988</v>
      </c>
      <c r="C480" s="306" t="s">
        <v>989</v>
      </c>
      <c r="D480" s="307" t="s">
        <v>990</v>
      </c>
      <c r="E480" s="308">
        <v>72867.09</v>
      </c>
    </row>
    <row r="481" spans="1:5" customFormat="1" ht="45.75" x14ac:dyDescent="0.25">
      <c r="A481" s="309"/>
      <c r="B481" s="310"/>
      <c r="C481" s="311" t="s">
        <v>699</v>
      </c>
      <c r="D481" s="312"/>
      <c r="E481" s="313"/>
    </row>
    <row r="482" spans="1:5" customFormat="1" ht="15" x14ac:dyDescent="0.25">
      <c r="A482" s="309"/>
      <c r="B482" s="310"/>
      <c r="C482" s="311" t="s">
        <v>991</v>
      </c>
      <c r="D482" s="312"/>
      <c r="E482" s="309"/>
    </row>
    <row r="483" spans="1:5" customFormat="1" ht="12.75" customHeight="1" x14ac:dyDescent="0.25">
      <c r="A483" s="808" t="s">
        <v>992</v>
      </c>
      <c r="B483" s="809"/>
      <c r="C483" s="809"/>
      <c r="D483" s="809"/>
      <c r="E483" s="810"/>
    </row>
    <row r="484" spans="1:5" customFormat="1" ht="56.25" x14ac:dyDescent="0.25">
      <c r="A484" s="305" t="s">
        <v>999</v>
      </c>
      <c r="B484" s="306" t="s">
        <v>994</v>
      </c>
      <c r="C484" s="306" t="s">
        <v>888</v>
      </c>
      <c r="D484" s="307" t="s">
        <v>889</v>
      </c>
      <c r="E484" s="308">
        <v>2474393.88</v>
      </c>
    </row>
    <row r="485" spans="1:5" customFormat="1" ht="34.5" x14ac:dyDescent="0.25">
      <c r="A485" s="309"/>
      <c r="B485" s="310"/>
      <c r="C485" s="311" t="s">
        <v>740</v>
      </c>
      <c r="D485" s="312"/>
      <c r="E485" s="313"/>
    </row>
    <row r="486" spans="1:5" customFormat="1" ht="15" x14ac:dyDescent="0.25">
      <c r="A486" s="309"/>
      <c r="B486" s="310"/>
      <c r="C486" s="311" t="s">
        <v>680</v>
      </c>
      <c r="D486" s="312"/>
      <c r="E486" s="313"/>
    </row>
    <row r="487" spans="1:5" customFormat="1" ht="45.75" x14ac:dyDescent="0.25">
      <c r="A487" s="309"/>
      <c r="B487" s="310"/>
      <c r="C487" s="311" t="s">
        <v>890</v>
      </c>
      <c r="D487" s="312"/>
      <c r="E487" s="313"/>
    </row>
    <row r="488" spans="1:5" customFormat="1" ht="15" x14ac:dyDescent="0.25">
      <c r="A488" s="309"/>
      <c r="B488" s="310"/>
      <c r="C488" s="311" t="s">
        <v>891</v>
      </c>
      <c r="D488" s="312"/>
      <c r="E488" s="309"/>
    </row>
    <row r="489" spans="1:5" customFormat="1" ht="56.25" x14ac:dyDescent="0.25">
      <c r="A489" s="305" t="s">
        <v>1182</v>
      </c>
      <c r="B489" s="306" t="s">
        <v>996</v>
      </c>
      <c r="C489" s="306" t="s">
        <v>888</v>
      </c>
      <c r="D489" s="307" t="s">
        <v>997</v>
      </c>
      <c r="E489" s="308">
        <v>740203.3</v>
      </c>
    </row>
    <row r="490" spans="1:5" customFormat="1" ht="15" x14ac:dyDescent="0.25">
      <c r="A490" s="309"/>
      <c r="B490" s="310"/>
      <c r="C490" s="311" t="s">
        <v>680</v>
      </c>
      <c r="D490" s="312"/>
      <c r="E490" s="313"/>
    </row>
    <row r="491" spans="1:5" customFormat="1" ht="45.75" x14ac:dyDescent="0.25">
      <c r="A491" s="309"/>
      <c r="B491" s="310"/>
      <c r="C491" s="311" t="s">
        <v>890</v>
      </c>
      <c r="D491" s="312"/>
      <c r="E491" s="313"/>
    </row>
    <row r="492" spans="1:5" customFormat="1" ht="15" x14ac:dyDescent="0.25">
      <c r="A492" s="309"/>
      <c r="B492" s="310"/>
      <c r="C492" s="311" t="s">
        <v>867</v>
      </c>
      <c r="D492" s="312"/>
      <c r="E492" s="309"/>
    </row>
    <row r="493" spans="1:5" customFormat="1" ht="12.75" customHeight="1" x14ac:dyDescent="0.25">
      <c r="A493" s="808" t="s">
        <v>998</v>
      </c>
      <c r="B493" s="809"/>
      <c r="C493" s="809"/>
      <c r="D493" s="809"/>
      <c r="E493" s="810"/>
    </row>
    <row r="494" spans="1:5" customFormat="1" ht="45" x14ac:dyDescent="0.25">
      <c r="A494" s="305" t="s">
        <v>1183</v>
      </c>
      <c r="B494" s="306" t="s">
        <v>1000</v>
      </c>
      <c r="C494" s="306" t="s">
        <v>1001</v>
      </c>
      <c r="D494" s="307" t="s">
        <v>1002</v>
      </c>
      <c r="E494" s="308">
        <v>172157.25</v>
      </c>
    </row>
    <row r="495" spans="1:5" customFormat="1" ht="15" x14ac:dyDescent="0.25">
      <c r="A495" s="309"/>
      <c r="B495" s="310"/>
      <c r="C495" s="311" t="s">
        <v>1003</v>
      </c>
      <c r="D495" s="312"/>
      <c r="E495" s="313"/>
    </row>
    <row r="496" spans="1:5" customFormat="1" ht="23.25" x14ac:dyDescent="0.25">
      <c r="A496" s="309"/>
      <c r="B496" s="310"/>
      <c r="C496" s="311" t="s">
        <v>1004</v>
      </c>
      <c r="D496" s="312"/>
      <c r="E496" s="313"/>
    </row>
    <row r="497" spans="1:6" customFormat="1" ht="23.25" x14ac:dyDescent="0.25">
      <c r="A497" s="309"/>
      <c r="B497" s="310"/>
      <c r="C497" s="311" t="s">
        <v>1005</v>
      </c>
      <c r="D497" s="312"/>
      <c r="E497" s="313"/>
    </row>
    <row r="498" spans="1:6" customFormat="1" ht="45.75" x14ac:dyDescent="0.25">
      <c r="A498" s="309"/>
      <c r="B498" s="310"/>
      <c r="C498" s="311" t="s">
        <v>861</v>
      </c>
      <c r="D498" s="312"/>
      <c r="E498" s="313"/>
    </row>
    <row r="499" spans="1:6" customFormat="1" ht="15" x14ac:dyDescent="0.25">
      <c r="A499" s="315"/>
      <c r="B499" s="803" t="s">
        <v>1006</v>
      </c>
      <c r="C499" s="803"/>
      <c r="D499" s="315"/>
      <c r="E499" s="316"/>
    </row>
    <row r="500" spans="1:6" customFormat="1" ht="11.25" customHeight="1" x14ac:dyDescent="0.25">
      <c r="A500" s="315"/>
      <c r="B500" s="804" t="s">
        <v>1007</v>
      </c>
      <c r="C500" s="804"/>
      <c r="D500" s="315"/>
      <c r="E500" s="317" t="s">
        <v>1008</v>
      </c>
    </row>
    <row r="501" spans="1:6" customFormat="1" ht="11.25" customHeight="1" x14ac:dyDescent="0.25">
      <c r="A501" s="315"/>
      <c r="B501" s="804" t="s">
        <v>1009</v>
      </c>
      <c r="C501" s="804"/>
      <c r="D501" s="315"/>
      <c r="E501" s="317" t="s">
        <v>1010</v>
      </c>
    </row>
    <row r="502" spans="1:6" customFormat="1" ht="11.25" customHeight="1" x14ac:dyDescent="0.25">
      <c r="A502" s="315"/>
      <c r="B502" s="804" t="s">
        <v>1011</v>
      </c>
      <c r="C502" s="804"/>
      <c r="D502" s="315"/>
      <c r="E502" s="317" t="s">
        <v>1184</v>
      </c>
    </row>
    <row r="503" spans="1:6" customFormat="1" ht="11.25" customHeight="1" x14ac:dyDescent="0.25">
      <c r="A503" s="315"/>
      <c r="B503" s="804" t="s">
        <v>1012</v>
      </c>
      <c r="C503" s="804"/>
      <c r="D503" s="315"/>
      <c r="E503" s="317" t="s">
        <v>1013</v>
      </c>
    </row>
    <row r="504" spans="1:6" customFormat="1" ht="11.25" customHeight="1" x14ac:dyDescent="0.25">
      <c r="A504" s="315"/>
      <c r="B504" s="804" t="s">
        <v>1014</v>
      </c>
      <c r="C504" s="804"/>
      <c r="D504" s="315"/>
      <c r="E504" s="317" t="s">
        <v>1015</v>
      </c>
    </row>
    <row r="505" spans="1:6" customFormat="1" ht="11.25" customHeight="1" x14ac:dyDescent="0.25">
      <c r="A505" s="315"/>
      <c r="B505" s="804" t="s">
        <v>1016</v>
      </c>
      <c r="C505" s="804"/>
      <c r="D505" s="315"/>
      <c r="E505" s="317" t="s">
        <v>1017</v>
      </c>
    </row>
    <row r="506" spans="1:6" customFormat="1" ht="11.25" customHeight="1" x14ac:dyDescent="0.25">
      <c r="A506" s="315"/>
      <c r="B506" s="804" t="s">
        <v>1018</v>
      </c>
      <c r="C506" s="804"/>
      <c r="D506" s="315"/>
      <c r="E506" s="317" t="s">
        <v>1019</v>
      </c>
    </row>
    <row r="507" spans="1:6" customFormat="1" ht="11.25" customHeight="1" x14ac:dyDescent="0.25">
      <c r="A507" s="315"/>
      <c r="B507" s="804" t="s">
        <v>1020</v>
      </c>
      <c r="C507" s="804"/>
      <c r="D507" s="315"/>
      <c r="E507" s="317" t="s">
        <v>1021</v>
      </c>
    </row>
    <row r="508" spans="1:6" customFormat="1" ht="11.25" customHeight="1" x14ac:dyDescent="0.25">
      <c r="A508" s="315"/>
      <c r="B508" s="804" t="s">
        <v>1022</v>
      </c>
      <c r="C508" s="804"/>
      <c r="D508" s="315"/>
      <c r="E508" s="317" t="s">
        <v>1023</v>
      </c>
    </row>
    <row r="509" spans="1:6" customFormat="1" ht="11.25" customHeight="1" x14ac:dyDescent="0.25">
      <c r="A509" s="315"/>
      <c r="B509" s="804" t="s">
        <v>1024</v>
      </c>
      <c r="C509" s="804"/>
      <c r="D509" s="315"/>
      <c r="E509" s="317" t="s">
        <v>1185</v>
      </c>
    </row>
    <row r="510" spans="1:6" customFormat="1" ht="11.25" customHeight="1" x14ac:dyDescent="0.25">
      <c r="A510" s="315"/>
      <c r="B510" s="803" t="s">
        <v>1025</v>
      </c>
      <c r="C510" s="803"/>
      <c r="D510" s="315"/>
      <c r="E510" s="319">
        <v>15596885.720000001</v>
      </c>
    </row>
    <row r="511" spans="1:6" customFormat="1" ht="11.25" customHeight="1" x14ac:dyDescent="0.25">
      <c r="D511" s="318"/>
      <c r="E511" s="318"/>
      <c r="F511" s="318"/>
    </row>
    <row r="512" spans="1:6" customFormat="1" ht="15" x14ac:dyDescent="0.25">
      <c r="C512" s="291"/>
    </row>
    <row r="513" spans="4:6" customFormat="1" ht="11.25" customHeight="1" x14ac:dyDescent="0.25">
      <c r="D513" s="318"/>
      <c r="E513" s="318"/>
      <c r="F513" s="318"/>
    </row>
  </sheetData>
  <mergeCells count="78">
    <mergeCell ref="A122:E122"/>
    <mergeCell ref="A6:E6"/>
    <mergeCell ref="A70:E70"/>
    <mergeCell ref="A85:E85"/>
    <mergeCell ref="B13:E13"/>
    <mergeCell ref="A14:E14"/>
    <mergeCell ref="A20:E20"/>
    <mergeCell ref="A21:E21"/>
    <mergeCell ref="A22:E22"/>
    <mergeCell ref="A97:E97"/>
    <mergeCell ref="A107:E107"/>
    <mergeCell ref="A37:E37"/>
    <mergeCell ref="A38:E38"/>
    <mergeCell ref="A55:E55"/>
    <mergeCell ref="A56:E56"/>
    <mergeCell ref="A69:E69"/>
    <mergeCell ref="A327:E327"/>
    <mergeCell ref="A251:E251"/>
    <mergeCell ref="A268:E268"/>
    <mergeCell ref="A137:E137"/>
    <mergeCell ref="A151:E151"/>
    <mergeCell ref="A152:E152"/>
    <mergeCell ref="A165:E165"/>
    <mergeCell ref="A175:E175"/>
    <mergeCell ref="A185:E185"/>
    <mergeCell ref="A198:E198"/>
    <mergeCell ref="A199:E199"/>
    <mergeCell ref="A209:E209"/>
    <mergeCell ref="A219:E219"/>
    <mergeCell ref="A229:E229"/>
    <mergeCell ref="A249:E249"/>
    <mergeCell ref="A239:E239"/>
    <mergeCell ref="A253:E253"/>
    <mergeCell ref="A282:E282"/>
    <mergeCell ref="A292:E292"/>
    <mergeCell ref="A302:E302"/>
    <mergeCell ref="A312:E312"/>
    <mergeCell ref="A427:E427"/>
    <mergeCell ref="A437:E437"/>
    <mergeCell ref="A447:E447"/>
    <mergeCell ref="A457:E457"/>
    <mergeCell ref="A332:E332"/>
    <mergeCell ref="A334:E334"/>
    <mergeCell ref="A335:E335"/>
    <mergeCell ref="A345:E345"/>
    <mergeCell ref="A384:E384"/>
    <mergeCell ref="A394:E394"/>
    <mergeCell ref="A404:E404"/>
    <mergeCell ref="A416:E416"/>
    <mergeCell ref="A426:E426"/>
    <mergeCell ref="A355:E355"/>
    <mergeCell ref="A367:E367"/>
    <mergeCell ref="A369:E369"/>
    <mergeCell ref="A379:E379"/>
    <mergeCell ref="A383:E383"/>
    <mergeCell ref="A4:E4"/>
    <mergeCell ref="A5:E5"/>
    <mergeCell ref="A7:E7"/>
    <mergeCell ref="B10:E10"/>
    <mergeCell ref="A11:E11"/>
    <mergeCell ref="A458:E458"/>
    <mergeCell ref="A468:E468"/>
    <mergeCell ref="A483:E483"/>
    <mergeCell ref="A493:E493"/>
    <mergeCell ref="B499:C499"/>
    <mergeCell ref="A478:E478"/>
    <mergeCell ref="A479:E479"/>
    <mergeCell ref="B500:C500"/>
    <mergeCell ref="B501:C501"/>
    <mergeCell ref="B507:C507"/>
    <mergeCell ref="B508:C508"/>
    <mergeCell ref="B509:C509"/>
    <mergeCell ref="B510:C510"/>
    <mergeCell ref="B502:C502"/>
    <mergeCell ref="B503:C503"/>
    <mergeCell ref="B504:C504"/>
    <mergeCell ref="B505:C505"/>
    <mergeCell ref="B506:C506"/>
  </mergeCells>
  <pageMargins left="0.4" right="0.4" top="0.75" bottom="0.75" header="0.3" footer="0.3"/>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513"/>
  <sheetViews>
    <sheetView showRuler="0" topLeftCell="A2" workbookViewId="0">
      <selection activeCell="B12" sqref="B12"/>
    </sheetView>
  </sheetViews>
  <sheetFormatPr defaultColWidth="8.85546875" defaultRowHeight="11.25" x14ac:dyDescent="0.2"/>
  <cols>
    <col min="1" max="1" width="7" style="293" customWidth="1"/>
    <col min="2" max="2" width="43.140625" style="293" customWidth="1"/>
    <col min="3" max="3" width="47.140625" style="293" customWidth="1"/>
    <col min="4" max="4" width="43.140625" style="293" customWidth="1"/>
    <col min="5" max="5" width="12.140625" style="293" customWidth="1"/>
    <col min="6" max="7" width="8.85546875" style="293"/>
    <col min="8" max="8" width="16" style="293" customWidth="1"/>
    <col min="9" max="12" width="8.85546875" style="293"/>
    <col min="13" max="17" width="152.5703125" style="294" hidden="1" customWidth="1"/>
    <col min="18" max="25" width="145.5703125" style="295" hidden="1" customWidth="1"/>
    <col min="26" max="16384" width="8.85546875" style="293"/>
  </cols>
  <sheetData>
    <row r="1" spans="1:25" customFormat="1" ht="6" hidden="1" customHeight="1" x14ac:dyDescent="0.25"/>
    <row r="2" spans="1:25" customFormat="1" ht="15" x14ac:dyDescent="0.25">
      <c r="E2" s="291" t="s">
        <v>658</v>
      </c>
    </row>
    <row r="3" spans="1:25" customFormat="1" ht="15" x14ac:dyDescent="0.25">
      <c r="E3" s="291" t="s">
        <v>659</v>
      </c>
    </row>
    <row r="4" spans="1:25" customFormat="1" ht="24.75" customHeight="1" x14ac:dyDescent="0.25">
      <c r="A4" s="811" t="s">
        <v>1026</v>
      </c>
      <c r="B4" s="811"/>
      <c r="C4" s="811"/>
      <c r="D4" s="811"/>
      <c r="E4" s="811"/>
    </row>
    <row r="5" spans="1:25" customFormat="1" ht="18.75" customHeight="1" x14ac:dyDescent="0.25">
      <c r="A5" s="812" t="s">
        <v>661</v>
      </c>
      <c r="B5" s="812"/>
      <c r="C5" s="812"/>
      <c r="D5" s="812"/>
      <c r="E5" s="812"/>
    </row>
    <row r="6" spans="1:25" customFormat="1" ht="38.25" x14ac:dyDescent="0.25">
      <c r="A6" s="818" t="s">
        <v>1432</v>
      </c>
      <c r="B6" s="818"/>
      <c r="C6" s="818"/>
      <c r="D6" s="818"/>
      <c r="E6" s="818"/>
      <c r="M6" s="292" t="s">
        <v>1027</v>
      </c>
      <c r="N6" s="292" t="s">
        <v>199</v>
      </c>
      <c r="O6" s="292" t="s">
        <v>199</v>
      </c>
      <c r="P6" s="292" t="s">
        <v>199</v>
      </c>
      <c r="Q6" s="292" t="s">
        <v>199</v>
      </c>
    </row>
    <row r="7" spans="1:25" customFormat="1" ht="11.25" customHeight="1" x14ac:dyDescent="0.25">
      <c r="A7" s="813" t="s">
        <v>663</v>
      </c>
      <c r="B7" s="813"/>
      <c r="C7" s="813"/>
      <c r="D7" s="813"/>
      <c r="E7" s="813"/>
    </row>
    <row r="8" spans="1:25" ht="11.25" customHeight="1" x14ac:dyDescent="0.2"/>
    <row r="9" spans="1:25" customFormat="1" ht="15" x14ac:dyDescent="0.25">
      <c r="A9" s="296" t="s">
        <v>197</v>
      </c>
      <c r="B9" s="297"/>
      <c r="C9" s="297"/>
      <c r="D9" s="297"/>
      <c r="E9" s="297"/>
    </row>
    <row r="10" spans="1:25" customFormat="1" ht="15" x14ac:dyDescent="0.25">
      <c r="A10" s="298"/>
      <c r="B10" s="814" t="s">
        <v>108</v>
      </c>
      <c r="C10" s="814"/>
      <c r="D10" s="814"/>
      <c r="E10" s="814"/>
      <c r="R10" s="299" t="s">
        <v>108</v>
      </c>
      <c r="S10" s="299" t="s">
        <v>199</v>
      </c>
      <c r="T10" s="299" t="s">
        <v>199</v>
      </c>
      <c r="U10" s="299" t="s">
        <v>199</v>
      </c>
    </row>
    <row r="11" spans="1:25" customFormat="1" ht="15" x14ac:dyDescent="0.25">
      <c r="A11" s="813" t="s">
        <v>664</v>
      </c>
      <c r="B11" s="813"/>
      <c r="C11" s="813"/>
      <c r="D11" s="813"/>
      <c r="E11" s="813"/>
    </row>
    <row r="12" spans="1:25" customFormat="1" ht="19.5" customHeight="1" x14ac:dyDescent="0.25">
      <c r="A12" s="300" t="s">
        <v>665</v>
      </c>
      <c r="B12" s="297"/>
      <c r="C12" s="301"/>
      <c r="D12" s="301"/>
      <c r="E12" s="301"/>
    </row>
    <row r="13" spans="1:25" customFormat="1" ht="15" x14ac:dyDescent="0.25">
      <c r="A13" s="298"/>
      <c r="B13" s="814"/>
      <c r="C13" s="814"/>
      <c r="D13" s="814"/>
      <c r="E13" s="814"/>
      <c r="V13" s="299" t="s">
        <v>199</v>
      </c>
      <c r="W13" s="299" t="s">
        <v>199</v>
      </c>
      <c r="X13" s="299" t="s">
        <v>199</v>
      </c>
      <c r="Y13" s="299" t="s">
        <v>199</v>
      </c>
    </row>
    <row r="14" spans="1:25" customFormat="1" ht="15" x14ac:dyDescent="0.25">
      <c r="A14" s="813" t="s">
        <v>664</v>
      </c>
      <c r="B14" s="813"/>
      <c r="C14" s="813"/>
      <c r="D14" s="813"/>
      <c r="E14" s="813"/>
    </row>
    <row r="15" spans="1:25" ht="11.25" customHeight="1" x14ac:dyDescent="0.2"/>
    <row r="16" spans="1:25" customFormat="1" ht="15" x14ac:dyDescent="0.25">
      <c r="A16" s="293" t="s">
        <v>666</v>
      </c>
    </row>
    <row r="17" spans="1:5" ht="11.25" customHeight="1" x14ac:dyDescent="0.2"/>
    <row r="18" spans="1:5" customFormat="1" ht="65.25" customHeight="1" x14ac:dyDescent="0.25">
      <c r="A18" s="302" t="s">
        <v>228</v>
      </c>
      <c r="B18" s="302" t="s">
        <v>667</v>
      </c>
      <c r="C18" s="302" t="s">
        <v>227</v>
      </c>
      <c r="D18" s="302" t="s">
        <v>226</v>
      </c>
      <c r="E18" s="302" t="s">
        <v>668</v>
      </c>
    </row>
    <row r="19" spans="1:5" customFormat="1" ht="15" x14ac:dyDescent="0.25">
      <c r="A19" s="303">
        <v>1</v>
      </c>
      <c r="B19" s="304">
        <v>2</v>
      </c>
      <c r="C19" s="304">
        <v>3</v>
      </c>
      <c r="D19" s="303">
        <v>4</v>
      </c>
      <c r="E19" s="303">
        <v>5</v>
      </c>
    </row>
    <row r="20" spans="1:5" customFormat="1" ht="12.75" customHeight="1" x14ac:dyDescent="0.25">
      <c r="A20" s="808" t="s">
        <v>669</v>
      </c>
      <c r="B20" s="809"/>
      <c r="C20" s="809"/>
      <c r="D20" s="809"/>
      <c r="E20" s="810"/>
    </row>
    <row r="21" spans="1:5" customFormat="1" ht="12.75" customHeight="1" x14ac:dyDescent="0.25">
      <c r="A21" s="805" t="s">
        <v>670</v>
      </c>
      <c r="B21" s="806"/>
      <c r="C21" s="806"/>
      <c r="D21" s="806"/>
      <c r="E21" s="807"/>
    </row>
    <row r="22" spans="1:5" customFormat="1" ht="12.75" customHeight="1" x14ac:dyDescent="0.25">
      <c r="A22" s="815" t="s">
        <v>671</v>
      </c>
      <c r="B22" s="816"/>
      <c r="C22" s="816"/>
      <c r="D22" s="816"/>
      <c r="E22" s="817"/>
    </row>
    <row r="23" spans="1:5" customFormat="1" ht="45" x14ac:dyDescent="0.25">
      <c r="A23" s="305" t="s">
        <v>223</v>
      </c>
      <c r="B23" s="306" t="s">
        <v>672</v>
      </c>
      <c r="C23" s="306" t="s">
        <v>673</v>
      </c>
      <c r="D23" s="307" t="s">
        <v>1028</v>
      </c>
      <c r="E23" s="308">
        <v>4769397.6399999997</v>
      </c>
    </row>
    <row r="24" spans="1:5" customFormat="1" ht="15" x14ac:dyDescent="0.25">
      <c r="A24" s="309"/>
      <c r="B24" s="310"/>
      <c r="C24" s="311" t="s">
        <v>675</v>
      </c>
      <c r="D24" s="312"/>
      <c r="E24" s="313"/>
    </row>
    <row r="25" spans="1:5" customFormat="1" ht="34.5" x14ac:dyDescent="0.25">
      <c r="A25" s="309"/>
      <c r="B25" s="310"/>
      <c r="C25" s="311" t="s">
        <v>676</v>
      </c>
      <c r="D25" s="312"/>
      <c r="E25" s="313"/>
    </row>
    <row r="26" spans="1:5" customFormat="1" ht="79.5" x14ac:dyDescent="0.25">
      <c r="A26" s="309"/>
      <c r="B26" s="310"/>
      <c r="C26" s="311" t="s">
        <v>677</v>
      </c>
      <c r="D26" s="312"/>
      <c r="E26" s="313"/>
    </row>
    <row r="27" spans="1:5" customFormat="1" ht="45.75" x14ac:dyDescent="0.25">
      <c r="A27" s="309"/>
      <c r="B27" s="310"/>
      <c r="C27" s="311" t="s">
        <v>678</v>
      </c>
      <c r="D27" s="312"/>
      <c r="E27" s="313"/>
    </row>
    <row r="28" spans="1:5" customFormat="1" ht="34.5" x14ac:dyDescent="0.25">
      <c r="A28" s="309"/>
      <c r="B28" s="310"/>
      <c r="C28" s="311" t="s">
        <v>679</v>
      </c>
      <c r="D28" s="312"/>
      <c r="E28" s="313"/>
    </row>
    <row r="29" spans="1:5" customFormat="1" ht="15" x14ac:dyDescent="0.25">
      <c r="A29" s="309"/>
      <c r="B29" s="310"/>
      <c r="C29" s="311" t="s">
        <v>1029</v>
      </c>
      <c r="D29" s="312"/>
      <c r="E29" s="313"/>
    </row>
    <row r="30" spans="1:5" customFormat="1" ht="45.75" x14ac:dyDescent="0.25">
      <c r="A30" s="309"/>
      <c r="B30" s="310"/>
      <c r="C30" s="311" t="s">
        <v>681</v>
      </c>
      <c r="D30" s="312"/>
      <c r="E30" s="313"/>
    </row>
    <row r="31" spans="1:5" customFormat="1" ht="15" x14ac:dyDescent="0.25">
      <c r="A31" s="309"/>
      <c r="B31" s="310"/>
      <c r="C31" s="311" t="s">
        <v>1030</v>
      </c>
      <c r="D31" s="312"/>
      <c r="E31" s="309"/>
    </row>
    <row r="32" spans="1:5" customFormat="1" ht="45" x14ac:dyDescent="0.25">
      <c r="A32" s="305" t="s">
        <v>2</v>
      </c>
      <c r="B32" s="306" t="s">
        <v>683</v>
      </c>
      <c r="C32" s="306" t="s">
        <v>673</v>
      </c>
      <c r="D32" s="307" t="s">
        <v>1031</v>
      </c>
      <c r="E32" s="308">
        <v>340671.26</v>
      </c>
    </row>
    <row r="33" spans="1:5" customFormat="1" ht="15" x14ac:dyDescent="0.25">
      <c r="A33" s="309"/>
      <c r="B33" s="310"/>
      <c r="C33" s="311" t="s">
        <v>675</v>
      </c>
      <c r="D33" s="312"/>
      <c r="E33" s="313"/>
    </row>
    <row r="34" spans="1:5" customFormat="1" ht="15" x14ac:dyDescent="0.25">
      <c r="A34" s="309"/>
      <c r="B34" s="310"/>
      <c r="C34" s="311" t="s">
        <v>1029</v>
      </c>
      <c r="D34" s="312"/>
      <c r="E34" s="313"/>
    </row>
    <row r="35" spans="1:5" customFormat="1" ht="45.75" x14ac:dyDescent="0.25">
      <c r="A35" s="309"/>
      <c r="B35" s="310"/>
      <c r="C35" s="311" t="s">
        <v>681</v>
      </c>
      <c r="D35" s="312"/>
      <c r="E35" s="313"/>
    </row>
    <row r="36" spans="1:5" customFormat="1" ht="15" x14ac:dyDescent="0.25">
      <c r="A36" s="309"/>
      <c r="B36" s="310"/>
      <c r="C36" s="311" t="s">
        <v>1032</v>
      </c>
      <c r="D36" s="312"/>
      <c r="E36" s="309"/>
    </row>
    <row r="37" spans="1:5" customFormat="1" ht="12.75" customHeight="1" x14ac:dyDescent="0.25">
      <c r="A37" s="805" t="s">
        <v>686</v>
      </c>
      <c r="B37" s="806"/>
      <c r="C37" s="806"/>
      <c r="D37" s="806"/>
      <c r="E37" s="807"/>
    </row>
    <row r="38" spans="1:5" customFormat="1" ht="12.75" customHeight="1" x14ac:dyDescent="0.25">
      <c r="A38" s="815" t="s">
        <v>687</v>
      </c>
      <c r="B38" s="816"/>
      <c r="C38" s="816"/>
      <c r="D38" s="816"/>
      <c r="E38" s="817"/>
    </row>
    <row r="39" spans="1:5" customFormat="1" ht="45" x14ac:dyDescent="0.25">
      <c r="A39" s="305" t="s">
        <v>222</v>
      </c>
      <c r="B39" s="306" t="s">
        <v>688</v>
      </c>
      <c r="C39" s="306" t="s">
        <v>673</v>
      </c>
      <c r="D39" s="307" t="s">
        <v>1033</v>
      </c>
      <c r="E39" s="308">
        <v>1446780.52</v>
      </c>
    </row>
    <row r="40" spans="1:5" customFormat="1" ht="23.25" x14ac:dyDescent="0.25">
      <c r="A40" s="309"/>
      <c r="B40" s="310"/>
      <c r="C40" s="311" t="s">
        <v>690</v>
      </c>
      <c r="D40" s="312"/>
      <c r="E40" s="313"/>
    </row>
    <row r="41" spans="1:5" customFormat="1" ht="34.5" x14ac:dyDescent="0.25">
      <c r="A41" s="309"/>
      <c r="B41" s="310"/>
      <c r="C41" s="311" t="s">
        <v>676</v>
      </c>
      <c r="D41" s="312"/>
      <c r="E41" s="313"/>
    </row>
    <row r="42" spans="1:5" customFormat="1" ht="79.5" x14ac:dyDescent="0.25">
      <c r="A42" s="309"/>
      <c r="B42" s="310"/>
      <c r="C42" s="311" t="s">
        <v>677</v>
      </c>
      <c r="D42" s="312"/>
      <c r="E42" s="313"/>
    </row>
    <row r="43" spans="1:5" customFormat="1" ht="45.75" x14ac:dyDescent="0.25">
      <c r="A43" s="309"/>
      <c r="B43" s="310"/>
      <c r="C43" s="311" t="s">
        <v>678</v>
      </c>
      <c r="D43" s="312"/>
      <c r="E43" s="313"/>
    </row>
    <row r="44" spans="1:5" customFormat="1" ht="34.5" x14ac:dyDescent="0.25">
      <c r="A44" s="309"/>
      <c r="B44" s="310"/>
      <c r="C44" s="311" t="s">
        <v>679</v>
      </c>
      <c r="D44" s="312"/>
      <c r="E44" s="313"/>
    </row>
    <row r="45" spans="1:5" customFormat="1" ht="57" x14ac:dyDescent="0.25">
      <c r="A45" s="309"/>
      <c r="B45" s="310"/>
      <c r="C45" s="311" t="s">
        <v>691</v>
      </c>
      <c r="D45" s="312"/>
      <c r="E45" s="313"/>
    </row>
    <row r="46" spans="1:5" customFormat="1" ht="15" x14ac:dyDescent="0.25">
      <c r="A46" s="309"/>
      <c r="B46" s="310"/>
      <c r="C46" s="311" t="s">
        <v>1029</v>
      </c>
      <c r="D46" s="312"/>
      <c r="E46" s="313"/>
    </row>
    <row r="47" spans="1:5" customFormat="1" ht="45.75" x14ac:dyDescent="0.25">
      <c r="A47" s="309"/>
      <c r="B47" s="310"/>
      <c r="C47" s="311" t="s">
        <v>681</v>
      </c>
      <c r="D47" s="312"/>
      <c r="E47" s="313"/>
    </row>
    <row r="48" spans="1:5" customFormat="1" ht="15" x14ac:dyDescent="0.25">
      <c r="A48" s="309"/>
      <c r="B48" s="310"/>
      <c r="C48" s="311" t="s">
        <v>1030</v>
      </c>
      <c r="D48" s="312"/>
      <c r="E48" s="309"/>
    </row>
    <row r="49" spans="1:5" customFormat="1" ht="45" x14ac:dyDescent="0.25">
      <c r="A49" s="305" t="s">
        <v>5</v>
      </c>
      <c r="B49" s="306" t="s">
        <v>692</v>
      </c>
      <c r="C49" s="306" t="s">
        <v>673</v>
      </c>
      <c r="D49" s="307" t="s">
        <v>1034</v>
      </c>
      <c r="E49" s="308">
        <v>103341.47</v>
      </c>
    </row>
    <row r="50" spans="1:5" customFormat="1" ht="23.25" x14ac:dyDescent="0.25">
      <c r="A50" s="309"/>
      <c r="B50" s="310"/>
      <c r="C50" s="311" t="s">
        <v>690</v>
      </c>
      <c r="D50" s="312"/>
      <c r="E50" s="313"/>
    </row>
    <row r="51" spans="1:5" customFormat="1" ht="57" x14ac:dyDescent="0.25">
      <c r="A51" s="309"/>
      <c r="B51" s="310"/>
      <c r="C51" s="311" t="s">
        <v>694</v>
      </c>
      <c r="D51" s="312"/>
      <c r="E51" s="313"/>
    </row>
    <row r="52" spans="1:5" customFormat="1" ht="15" x14ac:dyDescent="0.25">
      <c r="A52" s="309"/>
      <c r="B52" s="310"/>
      <c r="C52" s="311" t="s">
        <v>1029</v>
      </c>
      <c r="D52" s="312"/>
      <c r="E52" s="313"/>
    </row>
    <row r="53" spans="1:5" customFormat="1" ht="45.75" x14ac:dyDescent="0.25">
      <c r="A53" s="309"/>
      <c r="B53" s="310"/>
      <c r="C53" s="311" t="s">
        <v>681</v>
      </c>
      <c r="D53" s="312"/>
      <c r="E53" s="313"/>
    </row>
    <row r="54" spans="1:5" customFormat="1" ht="15" x14ac:dyDescent="0.25">
      <c r="A54" s="309"/>
      <c r="B54" s="310"/>
      <c r="C54" s="311" t="s">
        <v>1032</v>
      </c>
      <c r="D54" s="312"/>
      <c r="E54" s="309"/>
    </row>
    <row r="55" spans="1:5" customFormat="1" ht="12.75" customHeight="1" x14ac:dyDescent="0.25">
      <c r="A55" s="808" t="s">
        <v>695</v>
      </c>
      <c r="B55" s="809"/>
      <c r="C55" s="809"/>
      <c r="D55" s="809"/>
      <c r="E55" s="810"/>
    </row>
    <row r="56" spans="1:5" customFormat="1" ht="12.75" customHeight="1" x14ac:dyDescent="0.25">
      <c r="A56" s="805" t="s">
        <v>1149</v>
      </c>
      <c r="B56" s="806"/>
      <c r="C56" s="806"/>
      <c r="D56" s="806"/>
      <c r="E56" s="807"/>
    </row>
    <row r="57" spans="1:5" customFormat="1" ht="45" x14ac:dyDescent="0.25">
      <c r="A57" s="305" t="s">
        <v>218</v>
      </c>
      <c r="B57" s="306" t="s">
        <v>696</v>
      </c>
      <c r="C57" s="306" t="s">
        <v>697</v>
      </c>
      <c r="D57" s="307" t="s">
        <v>1035</v>
      </c>
      <c r="E57" s="308">
        <v>252156.24</v>
      </c>
    </row>
    <row r="58" spans="1:5" customFormat="1" ht="34.5" x14ac:dyDescent="0.25">
      <c r="A58" s="309"/>
      <c r="B58" s="310"/>
      <c r="C58" s="311" t="s">
        <v>676</v>
      </c>
      <c r="D58" s="312"/>
      <c r="E58" s="313"/>
    </row>
    <row r="59" spans="1:5" customFormat="1" ht="79.5" x14ac:dyDescent="0.25">
      <c r="A59" s="309"/>
      <c r="B59" s="310"/>
      <c r="C59" s="311" t="s">
        <v>677</v>
      </c>
      <c r="D59" s="312"/>
      <c r="E59" s="313"/>
    </row>
    <row r="60" spans="1:5" customFormat="1" ht="45.75" x14ac:dyDescent="0.25">
      <c r="A60" s="309"/>
      <c r="B60" s="310"/>
      <c r="C60" s="311" t="s">
        <v>678</v>
      </c>
      <c r="D60" s="312"/>
      <c r="E60" s="313"/>
    </row>
    <row r="61" spans="1:5" customFormat="1" ht="34.5" x14ac:dyDescent="0.25">
      <c r="A61" s="309"/>
      <c r="B61" s="310"/>
      <c r="C61" s="311" t="s">
        <v>679</v>
      </c>
      <c r="D61" s="312"/>
      <c r="E61" s="313"/>
    </row>
    <row r="62" spans="1:5" customFormat="1" ht="15" x14ac:dyDescent="0.25">
      <c r="A62" s="309"/>
      <c r="B62" s="310"/>
      <c r="C62" s="311" t="s">
        <v>1029</v>
      </c>
      <c r="D62" s="312"/>
      <c r="E62" s="313"/>
    </row>
    <row r="63" spans="1:5" customFormat="1" ht="45.75" x14ac:dyDescent="0.25">
      <c r="A63" s="309"/>
      <c r="B63" s="310"/>
      <c r="C63" s="311" t="s">
        <v>699</v>
      </c>
      <c r="D63" s="312"/>
      <c r="E63" s="313"/>
    </row>
    <row r="64" spans="1:5" customFormat="1" ht="15" x14ac:dyDescent="0.25">
      <c r="A64" s="309"/>
      <c r="B64" s="310"/>
      <c r="C64" s="311" t="s">
        <v>1036</v>
      </c>
      <c r="D64" s="312"/>
      <c r="E64" s="309"/>
    </row>
    <row r="65" spans="1:5" customFormat="1" ht="45" x14ac:dyDescent="0.25">
      <c r="A65" s="305" t="s">
        <v>217</v>
      </c>
      <c r="B65" s="306" t="s">
        <v>701</v>
      </c>
      <c r="C65" s="306" t="s">
        <v>697</v>
      </c>
      <c r="D65" s="307" t="s">
        <v>1037</v>
      </c>
      <c r="E65" s="308">
        <v>16009.92</v>
      </c>
    </row>
    <row r="66" spans="1:5" customFormat="1" ht="15" x14ac:dyDescent="0.25">
      <c r="A66" s="309"/>
      <c r="B66" s="310"/>
      <c r="C66" s="311" t="s">
        <v>1029</v>
      </c>
      <c r="D66" s="312"/>
      <c r="E66" s="313"/>
    </row>
    <row r="67" spans="1:5" customFormat="1" ht="45.75" x14ac:dyDescent="0.25">
      <c r="A67" s="309"/>
      <c r="B67" s="310"/>
      <c r="C67" s="311" t="s">
        <v>699</v>
      </c>
      <c r="D67" s="312"/>
      <c r="E67" s="313"/>
    </row>
    <row r="68" spans="1:5" customFormat="1" ht="15" x14ac:dyDescent="0.25">
      <c r="A68" s="309"/>
      <c r="B68" s="310"/>
      <c r="C68" s="311" t="s">
        <v>1038</v>
      </c>
      <c r="D68" s="312"/>
      <c r="E68" s="309"/>
    </row>
    <row r="69" spans="1:5" customFormat="1" ht="12.75" customHeight="1" x14ac:dyDescent="0.25">
      <c r="A69" s="808" t="s">
        <v>704</v>
      </c>
      <c r="B69" s="809"/>
      <c r="C69" s="809"/>
      <c r="D69" s="809"/>
      <c r="E69" s="810"/>
    </row>
    <row r="70" spans="1:5" customFormat="1" ht="12.75" customHeight="1" x14ac:dyDescent="0.25">
      <c r="A70" s="805" t="s">
        <v>1150</v>
      </c>
      <c r="B70" s="806"/>
      <c r="C70" s="806"/>
      <c r="D70" s="806"/>
      <c r="E70" s="807"/>
    </row>
    <row r="71" spans="1:5" customFormat="1" ht="45" x14ac:dyDescent="0.25">
      <c r="A71" s="305" t="s">
        <v>212</v>
      </c>
      <c r="B71" s="306" t="s">
        <v>705</v>
      </c>
      <c r="C71" s="306" t="s">
        <v>706</v>
      </c>
      <c r="D71" s="307" t="s">
        <v>1039</v>
      </c>
      <c r="E71" s="308">
        <v>113500.7</v>
      </c>
    </row>
    <row r="72" spans="1:5" customFormat="1" ht="23.25" x14ac:dyDescent="0.25">
      <c r="A72" s="309"/>
      <c r="B72" s="310"/>
      <c r="C72" s="311" t="s">
        <v>708</v>
      </c>
      <c r="D72" s="312"/>
      <c r="E72" s="313"/>
    </row>
    <row r="73" spans="1:5" customFormat="1" ht="34.5" x14ac:dyDescent="0.25">
      <c r="A73" s="309"/>
      <c r="B73" s="310"/>
      <c r="C73" s="311" t="s">
        <v>709</v>
      </c>
      <c r="D73" s="312"/>
      <c r="E73" s="313"/>
    </row>
    <row r="74" spans="1:5" customFormat="1" ht="79.5" x14ac:dyDescent="0.25">
      <c r="A74" s="309"/>
      <c r="B74" s="310"/>
      <c r="C74" s="311" t="s">
        <v>710</v>
      </c>
      <c r="D74" s="312"/>
      <c r="E74" s="313"/>
    </row>
    <row r="75" spans="1:5" customFormat="1" ht="45.75" x14ac:dyDescent="0.25">
      <c r="A75" s="309"/>
      <c r="B75" s="310"/>
      <c r="C75" s="311" t="s">
        <v>711</v>
      </c>
      <c r="D75" s="312"/>
      <c r="E75" s="313"/>
    </row>
    <row r="76" spans="1:5" customFormat="1" ht="34.5" x14ac:dyDescent="0.25">
      <c r="A76" s="309"/>
      <c r="B76" s="310"/>
      <c r="C76" s="311" t="s">
        <v>712</v>
      </c>
      <c r="D76" s="312"/>
      <c r="E76" s="313"/>
    </row>
    <row r="77" spans="1:5" customFormat="1" ht="15" x14ac:dyDescent="0.25">
      <c r="A77" s="309"/>
      <c r="B77" s="310"/>
      <c r="C77" s="311" t="s">
        <v>1029</v>
      </c>
      <c r="D77" s="312"/>
      <c r="E77" s="313"/>
    </row>
    <row r="78" spans="1:5" customFormat="1" ht="45.75" x14ac:dyDescent="0.25">
      <c r="A78" s="309"/>
      <c r="B78" s="310"/>
      <c r="C78" s="311" t="s">
        <v>681</v>
      </c>
      <c r="D78" s="312"/>
      <c r="E78" s="313"/>
    </row>
    <row r="79" spans="1:5" customFormat="1" ht="15" x14ac:dyDescent="0.25">
      <c r="A79" s="309"/>
      <c r="B79" s="310"/>
      <c r="C79" s="311" t="s">
        <v>1040</v>
      </c>
      <c r="D79" s="312"/>
      <c r="E79" s="309"/>
    </row>
    <row r="80" spans="1:5" customFormat="1" ht="33.75" x14ac:dyDescent="0.25">
      <c r="A80" s="305" t="s">
        <v>211</v>
      </c>
      <c r="B80" s="306" t="s">
        <v>714</v>
      </c>
      <c r="C80" s="306" t="s">
        <v>706</v>
      </c>
      <c r="D80" s="307" t="s">
        <v>1041</v>
      </c>
      <c r="E80" s="308">
        <v>6025.02</v>
      </c>
    </row>
    <row r="81" spans="1:5" customFormat="1" ht="23.25" x14ac:dyDescent="0.25">
      <c r="A81" s="309"/>
      <c r="B81" s="310"/>
      <c r="C81" s="311" t="s">
        <v>716</v>
      </c>
      <c r="D81" s="312"/>
      <c r="E81" s="313"/>
    </row>
    <row r="82" spans="1:5" customFormat="1" ht="15" x14ac:dyDescent="0.25">
      <c r="A82" s="309"/>
      <c r="B82" s="310"/>
      <c r="C82" s="311" t="s">
        <v>1029</v>
      </c>
      <c r="D82" s="312"/>
      <c r="E82" s="313"/>
    </row>
    <row r="83" spans="1:5" customFormat="1" ht="45.75" x14ac:dyDescent="0.25">
      <c r="A83" s="309"/>
      <c r="B83" s="310"/>
      <c r="C83" s="311" t="s">
        <v>681</v>
      </c>
      <c r="D83" s="312"/>
      <c r="E83" s="313"/>
    </row>
    <row r="84" spans="1:5" customFormat="1" ht="15" x14ac:dyDescent="0.25">
      <c r="A84" s="309"/>
      <c r="B84" s="310"/>
      <c r="C84" s="311" t="s">
        <v>1042</v>
      </c>
      <c r="D84" s="312"/>
      <c r="E84" s="309"/>
    </row>
    <row r="85" spans="1:5" customFormat="1" ht="12.75" customHeight="1" x14ac:dyDescent="0.25">
      <c r="A85" s="815" t="s">
        <v>1151</v>
      </c>
      <c r="B85" s="816"/>
      <c r="C85" s="816"/>
      <c r="D85" s="816"/>
      <c r="E85" s="817"/>
    </row>
    <row r="86" spans="1:5" customFormat="1" ht="33.75" x14ac:dyDescent="0.25">
      <c r="A86" s="305" t="s">
        <v>207</v>
      </c>
      <c r="B86" s="306" t="s">
        <v>1152</v>
      </c>
      <c r="C86" s="306" t="s">
        <v>1153</v>
      </c>
      <c r="D86" s="307" t="s">
        <v>1186</v>
      </c>
      <c r="E86" s="308">
        <v>28159.97</v>
      </c>
    </row>
    <row r="87" spans="1:5" customFormat="1" ht="34.5" x14ac:dyDescent="0.25">
      <c r="A87" s="309"/>
      <c r="B87" s="310"/>
      <c r="C87" s="311" t="s">
        <v>709</v>
      </c>
      <c r="D87" s="312"/>
      <c r="E87" s="313"/>
    </row>
    <row r="88" spans="1:5" customFormat="1" ht="45.75" x14ac:dyDescent="0.25">
      <c r="A88" s="309"/>
      <c r="B88" s="310"/>
      <c r="C88" s="311" t="s">
        <v>1155</v>
      </c>
      <c r="D88" s="312"/>
      <c r="E88" s="313"/>
    </row>
    <row r="89" spans="1:5" customFormat="1" ht="15" x14ac:dyDescent="0.25">
      <c r="A89" s="309"/>
      <c r="B89" s="310"/>
      <c r="C89" s="311" t="s">
        <v>1029</v>
      </c>
      <c r="D89" s="312"/>
      <c r="E89" s="313"/>
    </row>
    <row r="90" spans="1:5" customFormat="1" ht="45.75" x14ac:dyDescent="0.25">
      <c r="A90" s="309"/>
      <c r="B90" s="310"/>
      <c r="C90" s="311" t="s">
        <v>681</v>
      </c>
      <c r="D90" s="312"/>
      <c r="E90" s="313"/>
    </row>
    <row r="91" spans="1:5" customFormat="1" ht="15" x14ac:dyDescent="0.25">
      <c r="A91" s="309"/>
      <c r="B91" s="310"/>
      <c r="C91" s="311" t="s">
        <v>1030</v>
      </c>
      <c r="D91" s="312"/>
      <c r="E91" s="309"/>
    </row>
    <row r="92" spans="1:5" customFormat="1" ht="33.75" x14ac:dyDescent="0.25">
      <c r="A92" s="305" t="s">
        <v>205</v>
      </c>
      <c r="B92" s="306" t="s">
        <v>1157</v>
      </c>
      <c r="C92" s="306" t="s">
        <v>1153</v>
      </c>
      <c r="D92" s="307" t="s">
        <v>1187</v>
      </c>
      <c r="E92" s="308">
        <v>2953.84</v>
      </c>
    </row>
    <row r="93" spans="1:5" customFormat="1" ht="45.75" x14ac:dyDescent="0.25">
      <c r="A93" s="309"/>
      <c r="B93" s="310"/>
      <c r="C93" s="311" t="s">
        <v>1155</v>
      </c>
      <c r="D93" s="312"/>
      <c r="E93" s="313"/>
    </row>
    <row r="94" spans="1:5" customFormat="1" ht="15" x14ac:dyDescent="0.25">
      <c r="A94" s="309"/>
      <c r="B94" s="310"/>
      <c r="C94" s="311" t="s">
        <v>1029</v>
      </c>
      <c r="D94" s="312"/>
      <c r="E94" s="313"/>
    </row>
    <row r="95" spans="1:5" customFormat="1" ht="45.75" x14ac:dyDescent="0.25">
      <c r="A95" s="309"/>
      <c r="B95" s="310"/>
      <c r="C95" s="311" t="s">
        <v>681</v>
      </c>
      <c r="D95" s="312"/>
      <c r="E95" s="313"/>
    </row>
    <row r="96" spans="1:5" customFormat="1" ht="15" x14ac:dyDescent="0.25">
      <c r="A96" s="309"/>
      <c r="B96" s="310"/>
      <c r="C96" s="311" t="s">
        <v>1188</v>
      </c>
      <c r="D96" s="312"/>
      <c r="E96" s="309"/>
    </row>
    <row r="97" spans="1:5" customFormat="1" ht="12.75" customHeight="1" x14ac:dyDescent="0.25">
      <c r="A97" s="805" t="s">
        <v>718</v>
      </c>
      <c r="B97" s="806"/>
      <c r="C97" s="806"/>
      <c r="D97" s="806"/>
      <c r="E97" s="807"/>
    </row>
    <row r="98" spans="1:5" customFormat="1" ht="33.75" x14ac:dyDescent="0.25">
      <c r="A98" s="305" t="s">
        <v>203</v>
      </c>
      <c r="B98" s="306" t="s">
        <v>719</v>
      </c>
      <c r="C98" s="306" t="s">
        <v>720</v>
      </c>
      <c r="D98" s="307" t="s">
        <v>1043</v>
      </c>
      <c r="E98" s="308">
        <v>68464.820000000007</v>
      </c>
    </row>
    <row r="99" spans="1:5" customFormat="1" ht="34.5" x14ac:dyDescent="0.25">
      <c r="A99" s="309"/>
      <c r="B99" s="310"/>
      <c r="C99" s="311" t="s">
        <v>709</v>
      </c>
      <c r="D99" s="312"/>
      <c r="E99" s="313"/>
    </row>
    <row r="100" spans="1:5" customFormat="1" ht="15" x14ac:dyDescent="0.25">
      <c r="A100" s="309"/>
      <c r="B100" s="310"/>
      <c r="C100" s="311" t="s">
        <v>1029</v>
      </c>
      <c r="D100" s="312"/>
      <c r="E100" s="313"/>
    </row>
    <row r="101" spans="1:5" customFormat="1" ht="45.75" x14ac:dyDescent="0.25">
      <c r="A101" s="309"/>
      <c r="B101" s="310"/>
      <c r="C101" s="311" t="s">
        <v>681</v>
      </c>
      <c r="D101" s="312"/>
      <c r="E101" s="313"/>
    </row>
    <row r="102" spans="1:5" customFormat="1" ht="15" x14ac:dyDescent="0.25">
      <c r="A102" s="309"/>
      <c r="B102" s="310"/>
      <c r="C102" s="311" t="s">
        <v>1044</v>
      </c>
      <c r="D102" s="312"/>
      <c r="E102" s="309"/>
    </row>
    <row r="103" spans="1:5" customFormat="1" ht="33.75" x14ac:dyDescent="0.25">
      <c r="A103" s="305" t="s">
        <v>730</v>
      </c>
      <c r="B103" s="306" t="s">
        <v>723</v>
      </c>
      <c r="C103" s="306" t="s">
        <v>720</v>
      </c>
      <c r="D103" s="307" t="s">
        <v>1045</v>
      </c>
      <c r="E103" s="308">
        <v>6178.6</v>
      </c>
    </row>
    <row r="104" spans="1:5" customFormat="1" ht="15" x14ac:dyDescent="0.25">
      <c r="A104" s="309"/>
      <c r="B104" s="310"/>
      <c r="C104" s="311" t="s">
        <v>1029</v>
      </c>
      <c r="D104" s="312"/>
      <c r="E104" s="313"/>
    </row>
    <row r="105" spans="1:5" customFormat="1" ht="45.75" x14ac:dyDescent="0.25">
      <c r="A105" s="309"/>
      <c r="B105" s="310"/>
      <c r="C105" s="311" t="s">
        <v>681</v>
      </c>
      <c r="D105" s="312"/>
      <c r="E105" s="313"/>
    </row>
    <row r="106" spans="1:5" customFormat="1" ht="15" x14ac:dyDescent="0.25">
      <c r="A106" s="309"/>
      <c r="B106" s="310"/>
      <c r="C106" s="311" t="s">
        <v>1046</v>
      </c>
      <c r="D106" s="312"/>
      <c r="E106" s="309"/>
    </row>
    <row r="107" spans="1:5" customFormat="1" ht="12.75" customHeight="1" x14ac:dyDescent="0.25">
      <c r="A107" s="805" t="s">
        <v>726</v>
      </c>
      <c r="B107" s="806"/>
      <c r="C107" s="806"/>
      <c r="D107" s="806"/>
      <c r="E107" s="807"/>
    </row>
    <row r="108" spans="1:5" customFormat="1" ht="45" x14ac:dyDescent="0.25">
      <c r="A108" s="305" t="s">
        <v>201</v>
      </c>
      <c r="B108" s="306" t="s">
        <v>727</v>
      </c>
      <c r="C108" s="306" t="s">
        <v>728</v>
      </c>
      <c r="D108" s="307" t="s">
        <v>1047</v>
      </c>
      <c r="E108" s="308">
        <v>290104.69</v>
      </c>
    </row>
    <row r="109" spans="1:5" customFormat="1" ht="23.25" x14ac:dyDescent="0.25">
      <c r="A109" s="309"/>
      <c r="B109" s="310"/>
      <c r="C109" s="311" t="s">
        <v>708</v>
      </c>
      <c r="D109" s="312"/>
      <c r="E109" s="313"/>
    </row>
    <row r="110" spans="1:5" customFormat="1" ht="34.5" x14ac:dyDescent="0.25">
      <c r="A110" s="309"/>
      <c r="B110" s="310"/>
      <c r="C110" s="311" t="s">
        <v>709</v>
      </c>
      <c r="D110" s="312"/>
      <c r="E110" s="313"/>
    </row>
    <row r="111" spans="1:5" customFormat="1" ht="79.5" x14ac:dyDescent="0.25">
      <c r="A111" s="309"/>
      <c r="B111" s="310"/>
      <c r="C111" s="311" t="s">
        <v>710</v>
      </c>
      <c r="D111" s="312"/>
      <c r="E111" s="313"/>
    </row>
    <row r="112" spans="1:5" customFormat="1" ht="45.75" x14ac:dyDescent="0.25">
      <c r="A112" s="309"/>
      <c r="B112" s="310"/>
      <c r="C112" s="311" t="s">
        <v>711</v>
      </c>
      <c r="D112" s="312"/>
      <c r="E112" s="313"/>
    </row>
    <row r="113" spans="1:5" customFormat="1" ht="34.5" x14ac:dyDescent="0.25">
      <c r="A113" s="309"/>
      <c r="B113" s="310"/>
      <c r="C113" s="311" t="s">
        <v>712</v>
      </c>
      <c r="D113" s="312"/>
      <c r="E113" s="313"/>
    </row>
    <row r="114" spans="1:5" customFormat="1" ht="15" x14ac:dyDescent="0.25">
      <c r="A114" s="309"/>
      <c r="B114" s="310"/>
      <c r="C114" s="311" t="s">
        <v>1029</v>
      </c>
      <c r="D114" s="312"/>
      <c r="E114" s="313"/>
    </row>
    <row r="115" spans="1:5" customFormat="1" ht="45.75" x14ac:dyDescent="0.25">
      <c r="A115" s="309"/>
      <c r="B115" s="310"/>
      <c r="C115" s="311" t="s">
        <v>681</v>
      </c>
      <c r="D115" s="312"/>
      <c r="E115" s="313"/>
    </row>
    <row r="116" spans="1:5" customFormat="1" ht="15" x14ac:dyDescent="0.25">
      <c r="A116" s="309"/>
      <c r="B116" s="310"/>
      <c r="C116" s="311" t="s">
        <v>1040</v>
      </c>
      <c r="D116" s="312"/>
      <c r="E116" s="309"/>
    </row>
    <row r="117" spans="1:5" customFormat="1" ht="33.75" x14ac:dyDescent="0.25">
      <c r="A117" s="305" t="s">
        <v>733</v>
      </c>
      <c r="B117" s="306" t="s">
        <v>731</v>
      </c>
      <c r="C117" s="306" t="s">
        <v>728</v>
      </c>
      <c r="D117" s="307" t="s">
        <v>1048</v>
      </c>
      <c r="E117" s="308">
        <v>15399.78</v>
      </c>
    </row>
    <row r="118" spans="1:5" customFormat="1" ht="23.25" x14ac:dyDescent="0.25">
      <c r="A118" s="309"/>
      <c r="B118" s="310"/>
      <c r="C118" s="311" t="s">
        <v>716</v>
      </c>
      <c r="D118" s="312"/>
      <c r="E118" s="313"/>
    </row>
    <row r="119" spans="1:5" customFormat="1" ht="15" x14ac:dyDescent="0.25">
      <c r="A119" s="309"/>
      <c r="B119" s="310"/>
      <c r="C119" s="311" t="s">
        <v>1029</v>
      </c>
      <c r="D119" s="312"/>
      <c r="E119" s="313"/>
    </row>
    <row r="120" spans="1:5" customFormat="1" ht="45.75" x14ac:dyDescent="0.25">
      <c r="A120" s="309"/>
      <c r="B120" s="310"/>
      <c r="C120" s="311" t="s">
        <v>681</v>
      </c>
      <c r="D120" s="312"/>
      <c r="E120" s="313"/>
    </row>
    <row r="121" spans="1:5" customFormat="1" ht="15" x14ac:dyDescent="0.25">
      <c r="A121" s="309"/>
      <c r="B121" s="310"/>
      <c r="C121" s="311" t="s">
        <v>1042</v>
      </c>
      <c r="D121" s="312"/>
      <c r="E121" s="309"/>
    </row>
    <row r="122" spans="1:5" customFormat="1" ht="12.75" customHeight="1" x14ac:dyDescent="0.25">
      <c r="A122" s="805" t="s">
        <v>1160</v>
      </c>
      <c r="B122" s="806"/>
      <c r="C122" s="806"/>
      <c r="D122" s="806"/>
      <c r="E122" s="807"/>
    </row>
    <row r="123" spans="1:5" customFormat="1" ht="33.75" x14ac:dyDescent="0.25">
      <c r="A123" s="305" t="s">
        <v>736</v>
      </c>
      <c r="B123" s="306" t="s">
        <v>1161</v>
      </c>
      <c r="C123" s="306" t="s">
        <v>728</v>
      </c>
      <c r="D123" s="307" t="s">
        <v>1189</v>
      </c>
      <c r="E123" s="308">
        <v>288121.45</v>
      </c>
    </row>
    <row r="124" spans="1:5" customFormat="1" ht="23.25" x14ac:dyDescent="0.25">
      <c r="A124" s="309"/>
      <c r="B124" s="310"/>
      <c r="C124" s="311" t="s">
        <v>708</v>
      </c>
      <c r="D124" s="312"/>
      <c r="E124" s="313"/>
    </row>
    <row r="125" spans="1:5" customFormat="1" ht="34.5" x14ac:dyDescent="0.25">
      <c r="A125" s="309"/>
      <c r="B125" s="310"/>
      <c r="C125" s="311" t="s">
        <v>709</v>
      </c>
      <c r="D125" s="312"/>
      <c r="E125" s="313"/>
    </row>
    <row r="126" spans="1:5" customFormat="1" ht="79.5" x14ac:dyDescent="0.25">
      <c r="A126" s="309"/>
      <c r="B126" s="310"/>
      <c r="C126" s="311" t="s">
        <v>710</v>
      </c>
      <c r="D126" s="312"/>
      <c r="E126" s="313"/>
    </row>
    <row r="127" spans="1:5" customFormat="1" ht="45.75" x14ac:dyDescent="0.25">
      <c r="A127" s="309"/>
      <c r="B127" s="310"/>
      <c r="C127" s="311" t="s">
        <v>711</v>
      </c>
      <c r="D127" s="312"/>
      <c r="E127" s="313"/>
    </row>
    <row r="128" spans="1:5" customFormat="1" ht="34.5" x14ac:dyDescent="0.25">
      <c r="A128" s="309"/>
      <c r="B128" s="310"/>
      <c r="C128" s="311" t="s">
        <v>712</v>
      </c>
      <c r="D128" s="312"/>
      <c r="E128" s="313"/>
    </row>
    <row r="129" spans="1:5" customFormat="1" ht="15" x14ac:dyDescent="0.25">
      <c r="A129" s="309"/>
      <c r="B129" s="310"/>
      <c r="C129" s="311" t="s">
        <v>1029</v>
      </c>
      <c r="D129" s="312"/>
      <c r="E129" s="313"/>
    </row>
    <row r="130" spans="1:5" customFormat="1" ht="45.75" x14ac:dyDescent="0.25">
      <c r="A130" s="309"/>
      <c r="B130" s="310"/>
      <c r="C130" s="311" t="s">
        <v>681</v>
      </c>
      <c r="D130" s="312"/>
      <c r="E130" s="313"/>
    </row>
    <row r="131" spans="1:5" customFormat="1" ht="15" x14ac:dyDescent="0.25">
      <c r="A131" s="309"/>
      <c r="B131" s="310"/>
      <c r="C131" s="311" t="s">
        <v>1040</v>
      </c>
      <c r="D131" s="312"/>
      <c r="E131" s="309"/>
    </row>
    <row r="132" spans="1:5" customFormat="1" ht="33.75" x14ac:dyDescent="0.25">
      <c r="A132" s="305" t="s">
        <v>744</v>
      </c>
      <c r="B132" s="306" t="s">
        <v>1163</v>
      </c>
      <c r="C132" s="306" t="s">
        <v>728</v>
      </c>
      <c r="D132" s="307" t="s">
        <v>1190</v>
      </c>
      <c r="E132" s="308">
        <v>13537.44</v>
      </c>
    </row>
    <row r="133" spans="1:5" customFormat="1" ht="23.25" x14ac:dyDescent="0.25">
      <c r="A133" s="309"/>
      <c r="B133" s="310"/>
      <c r="C133" s="311" t="s">
        <v>716</v>
      </c>
      <c r="D133" s="312"/>
      <c r="E133" s="313"/>
    </row>
    <row r="134" spans="1:5" customFormat="1" ht="15" x14ac:dyDescent="0.25">
      <c r="A134" s="309"/>
      <c r="B134" s="310"/>
      <c r="C134" s="311" t="s">
        <v>1029</v>
      </c>
      <c r="D134" s="312"/>
      <c r="E134" s="313"/>
    </row>
    <row r="135" spans="1:5" customFormat="1" ht="45.75" x14ac:dyDescent="0.25">
      <c r="A135" s="309"/>
      <c r="B135" s="310"/>
      <c r="C135" s="311" t="s">
        <v>681</v>
      </c>
      <c r="D135" s="312"/>
      <c r="E135" s="313"/>
    </row>
    <row r="136" spans="1:5" customFormat="1" ht="15" x14ac:dyDescent="0.25">
      <c r="A136" s="309"/>
      <c r="B136" s="310"/>
      <c r="C136" s="311" t="s">
        <v>1042</v>
      </c>
      <c r="D136" s="312"/>
      <c r="E136" s="309"/>
    </row>
    <row r="137" spans="1:5" customFormat="1" ht="12.75" customHeight="1" x14ac:dyDescent="0.25">
      <c r="A137" s="805" t="s">
        <v>1165</v>
      </c>
      <c r="B137" s="806"/>
      <c r="C137" s="806"/>
      <c r="D137" s="806"/>
      <c r="E137" s="807"/>
    </row>
    <row r="138" spans="1:5" customFormat="1" ht="45" x14ac:dyDescent="0.25">
      <c r="A138" s="305" t="s">
        <v>748</v>
      </c>
      <c r="B138" s="306" t="s">
        <v>1166</v>
      </c>
      <c r="C138" s="306" t="s">
        <v>1167</v>
      </c>
      <c r="D138" s="307" t="s">
        <v>1191</v>
      </c>
      <c r="E138" s="308">
        <v>81293.289999999994</v>
      </c>
    </row>
    <row r="139" spans="1:5" customFormat="1" ht="15" x14ac:dyDescent="0.25">
      <c r="A139" s="309"/>
      <c r="B139" s="310"/>
      <c r="C139" s="311" t="s">
        <v>1169</v>
      </c>
      <c r="D139" s="312"/>
      <c r="E139" s="313"/>
    </row>
    <row r="140" spans="1:5" customFormat="1" ht="34.5" x14ac:dyDescent="0.25">
      <c r="A140" s="309"/>
      <c r="B140" s="310"/>
      <c r="C140" s="311" t="s">
        <v>709</v>
      </c>
      <c r="D140" s="312"/>
      <c r="E140" s="313"/>
    </row>
    <row r="141" spans="1:5" customFormat="1" ht="45.75" x14ac:dyDescent="0.25">
      <c r="A141" s="309"/>
      <c r="B141" s="310"/>
      <c r="C141" s="311" t="s">
        <v>1155</v>
      </c>
      <c r="D141" s="312"/>
      <c r="E141" s="313"/>
    </row>
    <row r="142" spans="1:5" customFormat="1" ht="15" x14ac:dyDescent="0.25">
      <c r="A142" s="309"/>
      <c r="B142" s="310"/>
      <c r="C142" s="311" t="s">
        <v>1029</v>
      </c>
      <c r="D142" s="312"/>
      <c r="E142" s="313"/>
    </row>
    <row r="143" spans="1:5" customFormat="1" ht="45.75" x14ac:dyDescent="0.25">
      <c r="A143" s="309"/>
      <c r="B143" s="310"/>
      <c r="C143" s="311" t="s">
        <v>681</v>
      </c>
      <c r="D143" s="312"/>
      <c r="E143" s="313"/>
    </row>
    <row r="144" spans="1:5" customFormat="1" ht="15" x14ac:dyDescent="0.25">
      <c r="A144" s="309"/>
      <c r="B144" s="310"/>
      <c r="C144" s="311" t="s">
        <v>1044</v>
      </c>
      <c r="D144" s="312"/>
      <c r="E144" s="309"/>
    </row>
    <row r="145" spans="1:5" customFormat="1" ht="45" x14ac:dyDescent="0.25">
      <c r="A145" s="305" t="s">
        <v>752</v>
      </c>
      <c r="B145" s="306" t="s">
        <v>1171</v>
      </c>
      <c r="C145" s="306" t="s">
        <v>1167</v>
      </c>
      <c r="D145" s="307" t="s">
        <v>1192</v>
      </c>
      <c r="E145" s="308">
        <v>7336.31</v>
      </c>
    </row>
    <row r="146" spans="1:5" customFormat="1" ht="15" x14ac:dyDescent="0.25">
      <c r="A146" s="309"/>
      <c r="B146" s="310"/>
      <c r="C146" s="311" t="s">
        <v>1169</v>
      </c>
      <c r="D146" s="312"/>
      <c r="E146" s="313"/>
    </row>
    <row r="147" spans="1:5" customFormat="1" ht="45.75" x14ac:dyDescent="0.25">
      <c r="A147" s="309"/>
      <c r="B147" s="310"/>
      <c r="C147" s="311" t="s">
        <v>1155</v>
      </c>
      <c r="D147" s="312"/>
      <c r="E147" s="313"/>
    </row>
    <row r="148" spans="1:5" customFormat="1" ht="15" x14ac:dyDescent="0.25">
      <c r="A148" s="309"/>
      <c r="B148" s="310"/>
      <c r="C148" s="311" t="s">
        <v>1029</v>
      </c>
      <c r="D148" s="312"/>
      <c r="E148" s="313"/>
    </row>
    <row r="149" spans="1:5" customFormat="1" ht="45.75" x14ac:dyDescent="0.25">
      <c r="A149" s="309"/>
      <c r="B149" s="310"/>
      <c r="C149" s="311" t="s">
        <v>681</v>
      </c>
      <c r="D149" s="312"/>
      <c r="E149" s="313"/>
    </row>
    <row r="150" spans="1:5" customFormat="1" ht="15" x14ac:dyDescent="0.25">
      <c r="A150" s="309"/>
      <c r="B150" s="310"/>
      <c r="C150" s="311" t="s">
        <v>1046</v>
      </c>
      <c r="D150" s="312"/>
      <c r="E150" s="309"/>
    </row>
    <row r="151" spans="1:5" customFormat="1" ht="12.75" customHeight="1" x14ac:dyDescent="0.25">
      <c r="A151" s="808" t="s">
        <v>734</v>
      </c>
      <c r="B151" s="809"/>
      <c r="C151" s="809"/>
      <c r="D151" s="809"/>
      <c r="E151" s="810"/>
    </row>
    <row r="152" spans="1:5" customFormat="1" ht="12.75" customHeight="1" x14ac:dyDescent="0.25">
      <c r="A152" s="805" t="s">
        <v>735</v>
      </c>
      <c r="B152" s="806"/>
      <c r="C152" s="806"/>
      <c r="D152" s="806"/>
      <c r="E152" s="807"/>
    </row>
    <row r="153" spans="1:5" customFormat="1" ht="33.75" x14ac:dyDescent="0.25">
      <c r="A153" s="305" t="s">
        <v>584</v>
      </c>
      <c r="B153" s="306" t="s">
        <v>737</v>
      </c>
      <c r="C153" s="306" t="s">
        <v>738</v>
      </c>
      <c r="D153" s="307" t="s">
        <v>1049</v>
      </c>
      <c r="E153" s="308">
        <v>285688.62</v>
      </c>
    </row>
    <row r="154" spans="1:5" customFormat="1" ht="34.5" x14ac:dyDescent="0.25">
      <c r="A154" s="309"/>
      <c r="B154" s="310"/>
      <c r="C154" s="311" t="s">
        <v>740</v>
      </c>
      <c r="D154" s="312"/>
      <c r="E154" s="313"/>
    </row>
    <row r="155" spans="1:5" customFormat="1" ht="79.5" x14ac:dyDescent="0.25">
      <c r="A155" s="309"/>
      <c r="B155" s="310"/>
      <c r="C155" s="311" t="s">
        <v>741</v>
      </c>
      <c r="D155" s="312"/>
      <c r="E155" s="313"/>
    </row>
    <row r="156" spans="1:5" customFormat="1" ht="45.75" x14ac:dyDescent="0.25">
      <c r="A156" s="309"/>
      <c r="B156" s="310"/>
      <c r="C156" s="311" t="s">
        <v>742</v>
      </c>
      <c r="D156" s="312"/>
      <c r="E156" s="313"/>
    </row>
    <row r="157" spans="1:5" customFormat="1" ht="34.5" x14ac:dyDescent="0.25">
      <c r="A157" s="309"/>
      <c r="B157" s="310"/>
      <c r="C157" s="311" t="s">
        <v>743</v>
      </c>
      <c r="D157" s="312"/>
      <c r="E157" s="313"/>
    </row>
    <row r="158" spans="1:5" customFormat="1" ht="15" x14ac:dyDescent="0.25">
      <c r="A158" s="309"/>
      <c r="B158" s="310"/>
      <c r="C158" s="311" t="s">
        <v>1029</v>
      </c>
      <c r="D158" s="312"/>
      <c r="E158" s="313"/>
    </row>
    <row r="159" spans="1:5" customFormat="1" ht="45.75" x14ac:dyDescent="0.25">
      <c r="A159" s="309"/>
      <c r="B159" s="310"/>
      <c r="C159" s="311" t="s">
        <v>681</v>
      </c>
      <c r="D159" s="312"/>
      <c r="E159" s="313"/>
    </row>
    <row r="160" spans="1:5" customFormat="1" ht="15" x14ac:dyDescent="0.25">
      <c r="A160" s="309"/>
      <c r="B160" s="310"/>
      <c r="C160" s="311" t="s">
        <v>1040</v>
      </c>
      <c r="D160" s="312"/>
      <c r="E160" s="309"/>
    </row>
    <row r="161" spans="1:5" customFormat="1" ht="45" x14ac:dyDescent="0.25">
      <c r="A161" s="305" t="s">
        <v>756</v>
      </c>
      <c r="B161" s="306" t="s">
        <v>745</v>
      </c>
      <c r="C161" s="306" t="s">
        <v>738</v>
      </c>
      <c r="D161" s="307" t="s">
        <v>1050</v>
      </c>
      <c r="E161" s="308">
        <v>15165.36</v>
      </c>
    </row>
    <row r="162" spans="1:5" customFormat="1" ht="15" x14ac:dyDescent="0.25">
      <c r="A162" s="309"/>
      <c r="B162" s="310"/>
      <c r="C162" s="311" t="s">
        <v>1029</v>
      </c>
      <c r="D162" s="312"/>
      <c r="E162" s="313"/>
    </row>
    <row r="163" spans="1:5" customFormat="1" ht="45.75" x14ac:dyDescent="0.25">
      <c r="A163" s="309"/>
      <c r="B163" s="310"/>
      <c r="C163" s="311" t="s">
        <v>681</v>
      </c>
      <c r="D163" s="312"/>
      <c r="E163" s="313"/>
    </row>
    <row r="164" spans="1:5" customFormat="1" ht="15" x14ac:dyDescent="0.25">
      <c r="A164" s="309"/>
      <c r="B164" s="310"/>
      <c r="C164" s="311" t="s">
        <v>1042</v>
      </c>
      <c r="D164" s="312"/>
      <c r="E164" s="309"/>
    </row>
    <row r="165" spans="1:5" customFormat="1" ht="12.75" customHeight="1" x14ac:dyDescent="0.25">
      <c r="A165" s="805" t="s">
        <v>747</v>
      </c>
      <c r="B165" s="806"/>
      <c r="C165" s="806"/>
      <c r="D165" s="806"/>
      <c r="E165" s="807"/>
    </row>
    <row r="166" spans="1:5" customFormat="1" ht="45" x14ac:dyDescent="0.25">
      <c r="A166" s="305" t="s">
        <v>758</v>
      </c>
      <c r="B166" s="306" t="s">
        <v>749</v>
      </c>
      <c r="C166" s="306" t="s">
        <v>750</v>
      </c>
      <c r="D166" s="307" t="s">
        <v>1051</v>
      </c>
      <c r="E166" s="308">
        <v>232990.04</v>
      </c>
    </row>
    <row r="167" spans="1:5" customFormat="1" ht="34.5" x14ac:dyDescent="0.25">
      <c r="A167" s="309"/>
      <c r="B167" s="310"/>
      <c r="C167" s="311" t="s">
        <v>676</v>
      </c>
      <c r="D167" s="312"/>
      <c r="E167" s="313"/>
    </row>
    <row r="168" spans="1:5" customFormat="1" ht="15" x14ac:dyDescent="0.25">
      <c r="A168" s="309"/>
      <c r="B168" s="310"/>
      <c r="C168" s="311" t="s">
        <v>1029</v>
      </c>
      <c r="D168" s="312"/>
      <c r="E168" s="313"/>
    </row>
    <row r="169" spans="1:5" customFormat="1" ht="45.75" x14ac:dyDescent="0.25">
      <c r="A169" s="309"/>
      <c r="B169" s="310"/>
      <c r="C169" s="311" t="s">
        <v>681</v>
      </c>
      <c r="D169" s="312"/>
      <c r="E169" s="313"/>
    </row>
    <row r="170" spans="1:5" customFormat="1" ht="15" x14ac:dyDescent="0.25">
      <c r="A170" s="309"/>
      <c r="B170" s="310"/>
      <c r="C170" s="311" t="s">
        <v>1044</v>
      </c>
      <c r="D170" s="312"/>
      <c r="E170" s="309"/>
    </row>
    <row r="171" spans="1:5" customFormat="1" ht="45" x14ac:dyDescent="0.25">
      <c r="A171" s="305" t="s">
        <v>762</v>
      </c>
      <c r="B171" s="306" t="s">
        <v>753</v>
      </c>
      <c r="C171" s="306" t="s">
        <v>750</v>
      </c>
      <c r="D171" s="307" t="s">
        <v>1052</v>
      </c>
      <c r="E171" s="308">
        <v>21026.17</v>
      </c>
    </row>
    <row r="172" spans="1:5" customFormat="1" ht="15" x14ac:dyDescent="0.25">
      <c r="A172" s="309"/>
      <c r="B172" s="310"/>
      <c r="C172" s="311" t="s">
        <v>1029</v>
      </c>
      <c r="D172" s="312"/>
      <c r="E172" s="313"/>
    </row>
    <row r="173" spans="1:5" customFormat="1" ht="45.75" x14ac:dyDescent="0.25">
      <c r="A173" s="309"/>
      <c r="B173" s="310"/>
      <c r="C173" s="311" t="s">
        <v>681</v>
      </c>
      <c r="D173" s="312"/>
      <c r="E173" s="313"/>
    </row>
    <row r="174" spans="1:5" customFormat="1" ht="15" x14ac:dyDescent="0.25">
      <c r="A174" s="309"/>
      <c r="B174" s="310"/>
      <c r="C174" s="311" t="s">
        <v>1046</v>
      </c>
      <c r="D174" s="312"/>
      <c r="E174" s="309"/>
    </row>
    <row r="175" spans="1:5" customFormat="1" ht="12.75" customHeight="1" x14ac:dyDescent="0.25">
      <c r="A175" s="805" t="s">
        <v>755</v>
      </c>
      <c r="B175" s="806"/>
      <c r="C175" s="806"/>
      <c r="D175" s="806"/>
      <c r="E175" s="807"/>
    </row>
    <row r="176" spans="1:5" customFormat="1" ht="45" x14ac:dyDescent="0.25">
      <c r="A176" s="305" t="s">
        <v>767</v>
      </c>
      <c r="B176" s="306" t="s">
        <v>749</v>
      </c>
      <c r="C176" s="306" t="s">
        <v>750</v>
      </c>
      <c r="D176" s="307" t="s">
        <v>1051</v>
      </c>
      <c r="E176" s="308">
        <v>232990.04</v>
      </c>
    </row>
    <row r="177" spans="1:5" customFormat="1" ht="34.5" x14ac:dyDescent="0.25">
      <c r="A177" s="309"/>
      <c r="B177" s="310"/>
      <c r="C177" s="311" t="s">
        <v>676</v>
      </c>
      <c r="D177" s="312"/>
      <c r="E177" s="313"/>
    </row>
    <row r="178" spans="1:5" customFormat="1" ht="15" x14ac:dyDescent="0.25">
      <c r="A178" s="309"/>
      <c r="B178" s="310"/>
      <c r="C178" s="311" t="s">
        <v>1029</v>
      </c>
      <c r="D178" s="312"/>
      <c r="E178" s="313"/>
    </row>
    <row r="179" spans="1:5" customFormat="1" ht="45.75" x14ac:dyDescent="0.25">
      <c r="A179" s="309"/>
      <c r="B179" s="310"/>
      <c r="C179" s="311" t="s">
        <v>681</v>
      </c>
      <c r="D179" s="312"/>
      <c r="E179" s="313"/>
    </row>
    <row r="180" spans="1:5" customFormat="1" ht="15" x14ac:dyDescent="0.25">
      <c r="A180" s="309"/>
      <c r="B180" s="310"/>
      <c r="C180" s="311" t="s">
        <v>1044</v>
      </c>
      <c r="D180" s="312"/>
      <c r="E180" s="309"/>
    </row>
    <row r="181" spans="1:5" customFormat="1" ht="45" x14ac:dyDescent="0.25">
      <c r="A181" s="305" t="s">
        <v>772</v>
      </c>
      <c r="B181" s="306" t="s">
        <v>753</v>
      </c>
      <c r="C181" s="306" t="s">
        <v>750</v>
      </c>
      <c r="D181" s="307" t="s">
        <v>1052</v>
      </c>
      <c r="E181" s="308">
        <v>21026.17</v>
      </c>
    </row>
    <row r="182" spans="1:5" customFormat="1" ht="15" x14ac:dyDescent="0.25">
      <c r="A182" s="309"/>
      <c r="B182" s="310"/>
      <c r="C182" s="311" t="s">
        <v>1029</v>
      </c>
      <c r="D182" s="312"/>
      <c r="E182" s="313"/>
    </row>
    <row r="183" spans="1:5" customFormat="1" ht="45.75" x14ac:dyDescent="0.25">
      <c r="A183" s="309"/>
      <c r="B183" s="310"/>
      <c r="C183" s="311" t="s">
        <v>681</v>
      </c>
      <c r="D183" s="312"/>
      <c r="E183" s="313"/>
    </row>
    <row r="184" spans="1:5" customFormat="1" ht="15" x14ac:dyDescent="0.25">
      <c r="A184" s="309"/>
      <c r="B184" s="310"/>
      <c r="C184" s="311" t="s">
        <v>1046</v>
      </c>
      <c r="D184" s="312"/>
      <c r="E184" s="309"/>
    </row>
    <row r="185" spans="1:5" customFormat="1" ht="12.75" customHeight="1" x14ac:dyDescent="0.25">
      <c r="A185" s="805" t="s">
        <v>757</v>
      </c>
      <c r="B185" s="806"/>
      <c r="C185" s="806"/>
      <c r="D185" s="806"/>
      <c r="E185" s="807"/>
    </row>
    <row r="186" spans="1:5" customFormat="1" ht="45" x14ac:dyDescent="0.25">
      <c r="A186" s="305" t="s">
        <v>777</v>
      </c>
      <c r="B186" s="306" t="s">
        <v>759</v>
      </c>
      <c r="C186" s="306" t="s">
        <v>760</v>
      </c>
      <c r="D186" s="307" t="s">
        <v>1053</v>
      </c>
      <c r="E186" s="308">
        <v>91969.14</v>
      </c>
    </row>
    <row r="187" spans="1:5" customFormat="1" ht="34.5" x14ac:dyDescent="0.25">
      <c r="A187" s="309"/>
      <c r="B187" s="310"/>
      <c r="C187" s="311" t="s">
        <v>740</v>
      </c>
      <c r="D187" s="312"/>
      <c r="E187" s="313"/>
    </row>
    <row r="188" spans="1:5" customFormat="1" ht="79.5" x14ac:dyDescent="0.25">
      <c r="A188" s="309"/>
      <c r="B188" s="310"/>
      <c r="C188" s="311" t="s">
        <v>741</v>
      </c>
      <c r="D188" s="312"/>
      <c r="E188" s="313"/>
    </row>
    <row r="189" spans="1:5" customFormat="1" ht="45.75" x14ac:dyDescent="0.25">
      <c r="A189" s="309"/>
      <c r="B189" s="310"/>
      <c r="C189" s="311" t="s">
        <v>742</v>
      </c>
      <c r="D189" s="312"/>
      <c r="E189" s="313"/>
    </row>
    <row r="190" spans="1:5" customFormat="1" ht="34.5" x14ac:dyDescent="0.25">
      <c r="A190" s="309"/>
      <c r="B190" s="310"/>
      <c r="C190" s="311" t="s">
        <v>743</v>
      </c>
      <c r="D190" s="312"/>
      <c r="E190" s="313"/>
    </row>
    <row r="191" spans="1:5" customFormat="1" ht="15" x14ac:dyDescent="0.25">
      <c r="A191" s="309"/>
      <c r="B191" s="310"/>
      <c r="C191" s="311" t="s">
        <v>1029</v>
      </c>
      <c r="D191" s="312"/>
      <c r="E191" s="313"/>
    </row>
    <row r="192" spans="1:5" customFormat="1" ht="45.75" x14ac:dyDescent="0.25">
      <c r="A192" s="309"/>
      <c r="B192" s="310"/>
      <c r="C192" s="311" t="s">
        <v>681</v>
      </c>
      <c r="D192" s="312"/>
      <c r="E192" s="313"/>
    </row>
    <row r="193" spans="1:5" customFormat="1" ht="15" x14ac:dyDescent="0.25">
      <c r="A193" s="309"/>
      <c r="B193" s="310"/>
      <c r="C193" s="311" t="s">
        <v>1040</v>
      </c>
      <c r="D193" s="312"/>
      <c r="E193" s="309"/>
    </row>
    <row r="194" spans="1:5" customFormat="1" ht="45" x14ac:dyDescent="0.25">
      <c r="A194" s="305" t="s">
        <v>782</v>
      </c>
      <c r="B194" s="306" t="s">
        <v>763</v>
      </c>
      <c r="C194" s="306" t="s">
        <v>760</v>
      </c>
      <c r="D194" s="307" t="s">
        <v>1054</v>
      </c>
      <c r="E194" s="308">
        <v>4882.05</v>
      </c>
    </row>
    <row r="195" spans="1:5" customFormat="1" ht="15" x14ac:dyDescent="0.25">
      <c r="A195" s="309"/>
      <c r="B195" s="310"/>
      <c r="C195" s="311" t="s">
        <v>1029</v>
      </c>
      <c r="D195" s="312"/>
      <c r="E195" s="313"/>
    </row>
    <row r="196" spans="1:5" customFormat="1" ht="45.75" x14ac:dyDescent="0.25">
      <c r="A196" s="309"/>
      <c r="B196" s="310"/>
      <c r="C196" s="311" t="s">
        <v>681</v>
      </c>
      <c r="D196" s="312"/>
      <c r="E196" s="313"/>
    </row>
    <row r="197" spans="1:5" customFormat="1" ht="15" x14ac:dyDescent="0.25">
      <c r="A197" s="309"/>
      <c r="B197" s="310"/>
      <c r="C197" s="311" t="s">
        <v>1042</v>
      </c>
      <c r="D197" s="312"/>
      <c r="E197" s="309"/>
    </row>
    <row r="198" spans="1:5" customFormat="1" ht="12.75" customHeight="1" x14ac:dyDescent="0.25">
      <c r="A198" s="808" t="s">
        <v>765</v>
      </c>
      <c r="B198" s="809"/>
      <c r="C198" s="809"/>
      <c r="D198" s="809"/>
      <c r="E198" s="810"/>
    </row>
    <row r="199" spans="1:5" customFormat="1" ht="12.75" customHeight="1" x14ac:dyDescent="0.25">
      <c r="A199" s="805" t="s">
        <v>766</v>
      </c>
      <c r="B199" s="806"/>
      <c r="C199" s="806"/>
      <c r="D199" s="806"/>
      <c r="E199" s="807"/>
    </row>
    <row r="200" spans="1:5" customFormat="1" ht="67.5" x14ac:dyDescent="0.25">
      <c r="A200" s="305" t="s">
        <v>788</v>
      </c>
      <c r="B200" s="306" t="s">
        <v>768</v>
      </c>
      <c r="C200" s="306" t="s">
        <v>769</v>
      </c>
      <c r="D200" s="307" t="s">
        <v>1055</v>
      </c>
      <c r="E200" s="308">
        <v>225022.67</v>
      </c>
    </row>
    <row r="201" spans="1:5" customFormat="1" ht="34.5" x14ac:dyDescent="0.25">
      <c r="A201" s="309"/>
      <c r="B201" s="310"/>
      <c r="C201" s="311" t="s">
        <v>676</v>
      </c>
      <c r="D201" s="312"/>
      <c r="E201" s="313"/>
    </row>
    <row r="202" spans="1:5" customFormat="1" ht="15" x14ac:dyDescent="0.25">
      <c r="A202" s="309"/>
      <c r="B202" s="310"/>
      <c r="C202" s="311" t="s">
        <v>1029</v>
      </c>
      <c r="D202" s="312"/>
      <c r="E202" s="313"/>
    </row>
    <row r="203" spans="1:5" customFormat="1" ht="45.75" x14ac:dyDescent="0.25">
      <c r="A203" s="309"/>
      <c r="B203" s="310"/>
      <c r="C203" s="311" t="s">
        <v>681</v>
      </c>
      <c r="D203" s="312"/>
      <c r="E203" s="313"/>
    </row>
    <row r="204" spans="1:5" customFormat="1" ht="15" x14ac:dyDescent="0.25">
      <c r="A204" s="309"/>
      <c r="B204" s="310"/>
      <c r="C204" s="311" t="s">
        <v>1056</v>
      </c>
      <c r="D204" s="312"/>
      <c r="E204" s="309"/>
    </row>
    <row r="205" spans="1:5" customFormat="1" ht="67.5" x14ac:dyDescent="0.25">
      <c r="A205" s="305" t="s">
        <v>793</v>
      </c>
      <c r="B205" s="306" t="s">
        <v>773</v>
      </c>
      <c r="C205" s="306" t="s">
        <v>769</v>
      </c>
      <c r="D205" s="307" t="s">
        <v>1057</v>
      </c>
      <c r="E205" s="308">
        <v>25864.68</v>
      </c>
    </row>
    <row r="206" spans="1:5" customFormat="1" ht="15" x14ac:dyDescent="0.25">
      <c r="A206" s="309"/>
      <c r="B206" s="310"/>
      <c r="C206" s="311" t="s">
        <v>1029</v>
      </c>
      <c r="D206" s="312"/>
      <c r="E206" s="313"/>
    </row>
    <row r="207" spans="1:5" customFormat="1" ht="45.75" x14ac:dyDescent="0.25">
      <c r="A207" s="309"/>
      <c r="B207" s="310"/>
      <c r="C207" s="311" t="s">
        <v>681</v>
      </c>
      <c r="D207" s="312"/>
      <c r="E207" s="313"/>
    </row>
    <row r="208" spans="1:5" customFormat="1" ht="15" x14ac:dyDescent="0.25">
      <c r="A208" s="309"/>
      <c r="B208" s="310"/>
      <c r="C208" s="311" t="s">
        <v>1058</v>
      </c>
      <c r="D208" s="312"/>
      <c r="E208" s="309"/>
    </row>
    <row r="209" spans="1:5" customFormat="1" ht="12.75" customHeight="1" x14ac:dyDescent="0.25">
      <c r="A209" s="805" t="s">
        <v>776</v>
      </c>
      <c r="B209" s="806"/>
      <c r="C209" s="806"/>
      <c r="D209" s="806"/>
      <c r="E209" s="807"/>
    </row>
    <row r="210" spans="1:5" customFormat="1" ht="56.25" x14ac:dyDescent="0.25">
      <c r="A210" s="305" t="s">
        <v>798</v>
      </c>
      <c r="B210" s="306" t="s">
        <v>778</v>
      </c>
      <c r="C210" s="306" t="s">
        <v>779</v>
      </c>
      <c r="D210" s="307" t="s">
        <v>1059</v>
      </c>
      <c r="E210" s="308">
        <v>215955.23</v>
      </c>
    </row>
    <row r="211" spans="1:5" customFormat="1" ht="34.5" x14ac:dyDescent="0.25">
      <c r="A211" s="309"/>
      <c r="B211" s="310"/>
      <c r="C211" s="311" t="s">
        <v>676</v>
      </c>
      <c r="D211" s="312"/>
      <c r="E211" s="313"/>
    </row>
    <row r="212" spans="1:5" customFormat="1" ht="15" x14ac:dyDescent="0.25">
      <c r="A212" s="309"/>
      <c r="B212" s="310"/>
      <c r="C212" s="311" t="s">
        <v>1029</v>
      </c>
      <c r="D212" s="312"/>
      <c r="E212" s="313"/>
    </row>
    <row r="213" spans="1:5" customFormat="1" ht="45.75" x14ac:dyDescent="0.25">
      <c r="A213" s="309"/>
      <c r="B213" s="310"/>
      <c r="C213" s="311" t="s">
        <v>681</v>
      </c>
      <c r="D213" s="312"/>
      <c r="E213" s="313"/>
    </row>
    <row r="214" spans="1:5" customFormat="1" ht="15" x14ac:dyDescent="0.25">
      <c r="A214" s="309"/>
      <c r="B214" s="310"/>
      <c r="C214" s="311" t="s">
        <v>1060</v>
      </c>
      <c r="D214" s="312"/>
      <c r="E214" s="309"/>
    </row>
    <row r="215" spans="1:5" customFormat="1" ht="56.25" x14ac:dyDescent="0.25">
      <c r="A215" s="305" t="s">
        <v>803</v>
      </c>
      <c r="B215" s="306" t="s">
        <v>783</v>
      </c>
      <c r="C215" s="306" t="s">
        <v>784</v>
      </c>
      <c r="D215" s="307" t="s">
        <v>1061</v>
      </c>
      <c r="E215" s="308">
        <v>16429.39</v>
      </c>
    </row>
    <row r="216" spans="1:5" customFormat="1" ht="15" x14ac:dyDescent="0.25">
      <c r="A216" s="309"/>
      <c r="B216" s="310"/>
      <c r="C216" s="311" t="s">
        <v>1029</v>
      </c>
      <c r="D216" s="312"/>
      <c r="E216" s="313"/>
    </row>
    <row r="217" spans="1:5" customFormat="1" ht="45.75" x14ac:dyDescent="0.25">
      <c r="A217" s="309"/>
      <c r="B217" s="310"/>
      <c r="C217" s="311" t="s">
        <v>681</v>
      </c>
      <c r="D217" s="312"/>
      <c r="E217" s="313"/>
    </row>
    <row r="218" spans="1:5" customFormat="1" ht="15" x14ac:dyDescent="0.25">
      <c r="A218" s="309"/>
      <c r="B218" s="310"/>
      <c r="C218" s="311" t="s">
        <v>1062</v>
      </c>
      <c r="D218" s="312"/>
      <c r="E218" s="309"/>
    </row>
    <row r="219" spans="1:5" customFormat="1" ht="12.75" customHeight="1" x14ac:dyDescent="0.25">
      <c r="A219" s="815" t="s">
        <v>787</v>
      </c>
      <c r="B219" s="816"/>
      <c r="C219" s="816"/>
      <c r="D219" s="816"/>
      <c r="E219" s="817"/>
    </row>
    <row r="220" spans="1:5" customFormat="1" ht="56.25" x14ac:dyDescent="0.25">
      <c r="A220" s="305" t="s">
        <v>808</v>
      </c>
      <c r="B220" s="306" t="s">
        <v>789</v>
      </c>
      <c r="C220" s="306" t="s">
        <v>790</v>
      </c>
      <c r="D220" s="307" t="s">
        <v>1063</v>
      </c>
      <c r="E220" s="308">
        <v>24055.01</v>
      </c>
    </row>
    <row r="221" spans="1:5" customFormat="1" ht="34.5" x14ac:dyDescent="0.25">
      <c r="A221" s="309"/>
      <c r="B221" s="310"/>
      <c r="C221" s="311" t="s">
        <v>676</v>
      </c>
      <c r="D221" s="312"/>
      <c r="E221" s="313"/>
    </row>
    <row r="222" spans="1:5" customFormat="1" ht="15" x14ac:dyDescent="0.25">
      <c r="A222" s="309"/>
      <c r="B222" s="310"/>
      <c r="C222" s="311" t="s">
        <v>1029</v>
      </c>
      <c r="D222" s="312"/>
      <c r="E222" s="313"/>
    </row>
    <row r="223" spans="1:5" customFormat="1" ht="45.75" x14ac:dyDescent="0.25">
      <c r="A223" s="309"/>
      <c r="B223" s="310"/>
      <c r="C223" s="311" t="s">
        <v>681</v>
      </c>
      <c r="D223" s="312"/>
      <c r="E223" s="313"/>
    </row>
    <row r="224" spans="1:5" customFormat="1" ht="15" x14ac:dyDescent="0.25">
      <c r="A224" s="309"/>
      <c r="B224" s="310"/>
      <c r="C224" s="311" t="s">
        <v>1056</v>
      </c>
      <c r="D224" s="312"/>
      <c r="E224" s="309"/>
    </row>
    <row r="225" spans="1:5" customFormat="1" ht="56.25" x14ac:dyDescent="0.25">
      <c r="A225" s="305" t="s">
        <v>813</v>
      </c>
      <c r="B225" s="306" t="s">
        <v>794</v>
      </c>
      <c r="C225" s="306" t="s">
        <v>790</v>
      </c>
      <c r="D225" s="307" t="s">
        <v>1064</v>
      </c>
      <c r="E225" s="308">
        <v>2764.94</v>
      </c>
    </row>
    <row r="226" spans="1:5" customFormat="1" ht="15" x14ac:dyDescent="0.25">
      <c r="A226" s="309"/>
      <c r="B226" s="310"/>
      <c r="C226" s="311" t="s">
        <v>1029</v>
      </c>
      <c r="D226" s="312"/>
      <c r="E226" s="313"/>
    </row>
    <row r="227" spans="1:5" customFormat="1" ht="45.75" x14ac:dyDescent="0.25">
      <c r="A227" s="309"/>
      <c r="B227" s="310"/>
      <c r="C227" s="311" t="s">
        <v>681</v>
      </c>
      <c r="D227" s="312"/>
      <c r="E227" s="313"/>
    </row>
    <row r="228" spans="1:5" customFormat="1" ht="15" x14ac:dyDescent="0.25">
      <c r="A228" s="309"/>
      <c r="B228" s="310"/>
      <c r="C228" s="311" t="s">
        <v>1058</v>
      </c>
      <c r="D228" s="312"/>
      <c r="E228" s="309"/>
    </row>
    <row r="229" spans="1:5" customFormat="1" ht="12.75" customHeight="1" x14ac:dyDescent="0.25">
      <c r="A229" s="815" t="s">
        <v>797</v>
      </c>
      <c r="B229" s="816"/>
      <c r="C229" s="816"/>
      <c r="D229" s="816"/>
      <c r="E229" s="817"/>
    </row>
    <row r="230" spans="1:5" customFormat="1" ht="56.25" x14ac:dyDescent="0.25">
      <c r="A230" s="305" t="s">
        <v>818</v>
      </c>
      <c r="B230" s="306" t="s">
        <v>799</v>
      </c>
      <c r="C230" s="306" t="s">
        <v>800</v>
      </c>
      <c r="D230" s="307" t="s">
        <v>1065</v>
      </c>
      <c r="E230" s="308">
        <v>158222.94</v>
      </c>
    </row>
    <row r="231" spans="1:5" customFormat="1" ht="34.5" x14ac:dyDescent="0.25">
      <c r="A231" s="309"/>
      <c r="B231" s="310"/>
      <c r="C231" s="311" t="s">
        <v>676</v>
      </c>
      <c r="D231" s="312"/>
      <c r="E231" s="313"/>
    </row>
    <row r="232" spans="1:5" customFormat="1" ht="15" x14ac:dyDescent="0.25">
      <c r="A232" s="309"/>
      <c r="B232" s="310"/>
      <c r="C232" s="311" t="s">
        <v>1029</v>
      </c>
      <c r="D232" s="312"/>
      <c r="E232" s="313"/>
    </row>
    <row r="233" spans="1:5" customFormat="1" ht="45.75" x14ac:dyDescent="0.25">
      <c r="A233" s="309"/>
      <c r="B233" s="310"/>
      <c r="C233" s="311" t="s">
        <v>681</v>
      </c>
      <c r="D233" s="312"/>
      <c r="E233" s="313"/>
    </row>
    <row r="234" spans="1:5" customFormat="1" ht="15" x14ac:dyDescent="0.25">
      <c r="A234" s="309"/>
      <c r="B234" s="310"/>
      <c r="C234" s="311" t="s">
        <v>1066</v>
      </c>
      <c r="D234" s="312"/>
      <c r="E234" s="309"/>
    </row>
    <row r="235" spans="1:5" customFormat="1" ht="56.25" x14ac:dyDescent="0.25">
      <c r="A235" s="305" t="s">
        <v>1174</v>
      </c>
      <c r="B235" s="306" t="s">
        <v>804</v>
      </c>
      <c r="C235" s="306" t="s">
        <v>800</v>
      </c>
      <c r="D235" s="307" t="s">
        <v>1067</v>
      </c>
      <c r="E235" s="308">
        <v>19813.25</v>
      </c>
    </row>
    <row r="236" spans="1:5" customFormat="1" ht="15" x14ac:dyDescent="0.25">
      <c r="A236" s="309"/>
      <c r="B236" s="310"/>
      <c r="C236" s="311" t="s">
        <v>1029</v>
      </c>
      <c r="D236" s="312"/>
      <c r="E236" s="313"/>
    </row>
    <row r="237" spans="1:5" customFormat="1" ht="45.75" x14ac:dyDescent="0.25">
      <c r="A237" s="309"/>
      <c r="B237" s="310"/>
      <c r="C237" s="311" t="s">
        <v>681</v>
      </c>
      <c r="D237" s="312"/>
      <c r="E237" s="313"/>
    </row>
    <row r="238" spans="1:5" customFormat="1" ht="15" x14ac:dyDescent="0.25">
      <c r="A238" s="309"/>
      <c r="B238" s="310"/>
      <c r="C238" s="311" t="s">
        <v>1068</v>
      </c>
      <c r="D238" s="312"/>
      <c r="E238" s="309"/>
    </row>
    <row r="239" spans="1:5" customFormat="1" ht="12.75" customHeight="1" x14ac:dyDescent="0.25">
      <c r="A239" s="805" t="s">
        <v>807</v>
      </c>
      <c r="B239" s="806"/>
      <c r="C239" s="806"/>
      <c r="D239" s="806"/>
      <c r="E239" s="807"/>
    </row>
    <row r="240" spans="1:5" customFormat="1" ht="56.25" x14ac:dyDescent="0.25">
      <c r="A240" s="305" t="s">
        <v>823</v>
      </c>
      <c r="B240" s="306" t="s">
        <v>809</v>
      </c>
      <c r="C240" s="306" t="s">
        <v>810</v>
      </c>
      <c r="D240" s="307" t="s">
        <v>1069</v>
      </c>
      <c r="E240" s="308">
        <v>145807.26</v>
      </c>
    </row>
    <row r="241" spans="1:5" customFormat="1" ht="34.5" x14ac:dyDescent="0.25">
      <c r="A241" s="309"/>
      <c r="B241" s="310"/>
      <c r="C241" s="311" t="s">
        <v>676</v>
      </c>
      <c r="D241" s="312"/>
      <c r="E241" s="313"/>
    </row>
    <row r="242" spans="1:5" customFormat="1" ht="15" x14ac:dyDescent="0.25">
      <c r="A242" s="309"/>
      <c r="B242" s="310"/>
      <c r="C242" s="311" t="s">
        <v>1029</v>
      </c>
      <c r="D242" s="312"/>
      <c r="E242" s="313"/>
    </row>
    <row r="243" spans="1:5" customFormat="1" ht="45.75" x14ac:dyDescent="0.25">
      <c r="A243" s="309"/>
      <c r="B243" s="310"/>
      <c r="C243" s="311" t="s">
        <v>681</v>
      </c>
      <c r="D243" s="312"/>
      <c r="E243" s="313"/>
    </row>
    <row r="244" spans="1:5" customFormat="1" ht="15" x14ac:dyDescent="0.25">
      <c r="A244" s="309"/>
      <c r="B244" s="310"/>
      <c r="C244" s="311" t="s">
        <v>1070</v>
      </c>
      <c r="D244" s="312"/>
      <c r="E244" s="309"/>
    </row>
    <row r="245" spans="1:5" customFormat="1" ht="56.25" x14ac:dyDescent="0.25">
      <c r="A245" s="305" t="s">
        <v>1175</v>
      </c>
      <c r="B245" s="306" t="s">
        <v>814</v>
      </c>
      <c r="C245" s="306" t="s">
        <v>810</v>
      </c>
      <c r="D245" s="307" t="s">
        <v>1071</v>
      </c>
      <c r="E245" s="308">
        <v>14574.39</v>
      </c>
    </row>
    <row r="246" spans="1:5" customFormat="1" ht="15" x14ac:dyDescent="0.25">
      <c r="A246" s="309"/>
      <c r="B246" s="310"/>
      <c r="C246" s="311" t="s">
        <v>1029</v>
      </c>
      <c r="D246" s="312"/>
      <c r="E246" s="313"/>
    </row>
    <row r="247" spans="1:5" customFormat="1" ht="45.75" x14ac:dyDescent="0.25">
      <c r="A247" s="309"/>
      <c r="B247" s="310"/>
      <c r="C247" s="311" t="s">
        <v>681</v>
      </c>
      <c r="D247" s="312"/>
      <c r="E247" s="313"/>
    </row>
    <row r="248" spans="1:5" customFormat="1" ht="15" x14ac:dyDescent="0.25">
      <c r="A248" s="309"/>
      <c r="B248" s="310"/>
      <c r="C248" s="311" t="s">
        <v>1072</v>
      </c>
      <c r="D248" s="312"/>
      <c r="E248" s="309"/>
    </row>
    <row r="249" spans="1:5" customFormat="1" ht="12.75" customHeight="1" x14ac:dyDescent="0.25">
      <c r="A249" s="805" t="s">
        <v>817</v>
      </c>
      <c r="B249" s="806"/>
      <c r="C249" s="806"/>
      <c r="D249" s="806"/>
      <c r="E249" s="807"/>
    </row>
    <row r="250" spans="1:5" customFormat="1" ht="33.75" x14ac:dyDescent="0.25">
      <c r="A250" s="305" t="s">
        <v>826</v>
      </c>
      <c r="B250" s="306" t="s">
        <v>819</v>
      </c>
      <c r="C250" s="306" t="s">
        <v>820</v>
      </c>
      <c r="D250" s="307" t="s">
        <v>821</v>
      </c>
      <c r="E250" s="314"/>
    </row>
    <row r="251" spans="1:5" customFormat="1" ht="12.75" customHeight="1" x14ac:dyDescent="0.25">
      <c r="A251" s="805" t="s">
        <v>822</v>
      </c>
      <c r="B251" s="806"/>
      <c r="C251" s="806"/>
      <c r="D251" s="806"/>
      <c r="E251" s="807"/>
    </row>
    <row r="252" spans="1:5" customFormat="1" ht="33.75" x14ac:dyDescent="0.25">
      <c r="A252" s="305" t="s">
        <v>587</v>
      </c>
      <c r="B252" s="306" t="s">
        <v>824</v>
      </c>
      <c r="C252" s="306" t="s">
        <v>820</v>
      </c>
      <c r="D252" s="307" t="s">
        <v>821</v>
      </c>
      <c r="E252" s="314"/>
    </row>
    <row r="253" spans="1:5" customFormat="1" ht="12.75" customHeight="1" x14ac:dyDescent="0.25">
      <c r="A253" s="805" t="s">
        <v>825</v>
      </c>
      <c r="B253" s="806"/>
      <c r="C253" s="806"/>
      <c r="D253" s="806"/>
      <c r="E253" s="807"/>
    </row>
    <row r="254" spans="1:5" customFormat="1" ht="45" x14ac:dyDescent="0.25">
      <c r="A254" s="305" t="s">
        <v>845</v>
      </c>
      <c r="B254" s="306" t="s">
        <v>827</v>
      </c>
      <c r="C254" s="306" t="s">
        <v>828</v>
      </c>
      <c r="D254" s="307" t="s">
        <v>1073</v>
      </c>
      <c r="E254" s="308">
        <v>77878.399999999994</v>
      </c>
    </row>
    <row r="255" spans="1:5" customFormat="1" ht="45.75" x14ac:dyDescent="0.25">
      <c r="A255" s="309"/>
      <c r="B255" s="310"/>
      <c r="C255" s="311" t="s">
        <v>830</v>
      </c>
      <c r="D255" s="312"/>
      <c r="E255" s="313"/>
    </row>
    <row r="256" spans="1:5" customFormat="1" ht="34.5" x14ac:dyDescent="0.25">
      <c r="A256" s="309"/>
      <c r="B256" s="310"/>
      <c r="C256" s="311" t="s">
        <v>740</v>
      </c>
      <c r="D256" s="312"/>
      <c r="E256" s="313"/>
    </row>
    <row r="257" spans="1:5" customFormat="1" ht="79.5" x14ac:dyDescent="0.25">
      <c r="A257" s="309"/>
      <c r="B257" s="310"/>
      <c r="C257" s="311" t="s">
        <v>741</v>
      </c>
      <c r="D257" s="312"/>
      <c r="E257" s="313"/>
    </row>
    <row r="258" spans="1:5" customFormat="1" ht="45.75" x14ac:dyDescent="0.25">
      <c r="A258" s="309"/>
      <c r="B258" s="310"/>
      <c r="C258" s="311" t="s">
        <v>742</v>
      </c>
      <c r="D258" s="312"/>
      <c r="E258" s="313"/>
    </row>
    <row r="259" spans="1:5" customFormat="1" ht="34.5" x14ac:dyDescent="0.25">
      <c r="A259" s="309"/>
      <c r="B259" s="310"/>
      <c r="C259" s="311" t="s">
        <v>743</v>
      </c>
      <c r="D259" s="312"/>
      <c r="E259" s="313"/>
    </row>
    <row r="260" spans="1:5" customFormat="1" ht="15" x14ac:dyDescent="0.25">
      <c r="A260" s="309"/>
      <c r="B260" s="310"/>
      <c r="C260" s="311" t="s">
        <v>1029</v>
      </c>
      <c r="D260" s="312"/>
      <c r="E260" s="313"/>
    </row>
    <row r="261" spans="1:5" customFormat="1" ht="45.75" x14ac:dyDescent="0.25">
      <c r="A261" s="309"/>
      <c r="B261" s="310"/>
      <c r="C261" s="311" t="s">
        <v>681</v>
      </c>
      <c r="D261" s="312"/>
      <c r="E261" s="313"/>
    </row>
    <row r="262" spans="1:5" customFormat="1" ht="15" x14ac:dyDescent="0.25">
      <c r="A262" s="309"/>
      <c r="B262" s="310"/>
      <c r="C262" s="311" t="s">
        <v>1040</v>
      </c>
      <c r="D262" s="312"/>
      <c r="E262" s="309"/>
    </row>
    <row r="263" spans="1:5" customFormat="1" ht="33.75" x14ac:dyDescent="0.25">
      <c r="A263" s="305" t="s">
        <v>850</v>
      </c>
      <c r="B263" s="306" t="s">
        <v>831</v>
      </c>
      <c r="C263" s="306" t="s">
        <v>828</v>
      </c>
      <c r="D263" s="307" t="s">
        <v>1074</v>
      </c>
      <c r="E263" s="308">
        <v>4134.0600000000004</v>
      </c>
    </row>
    <row r="264" spans="1:5" customFormat="1" ht="45.75" x14ac:dyDescent="0.25">
      <c r="A264" s="309"/>
      <c r="B264" s="310"/>
      <c r="C264" s="311" t="s">
        <v>830</v>
      </c>
      <c r="D264" s="312"/>
      <c r="E264" s="313"/>
    </row>
    <row r="265" spans="1:5" customFormat="1" ht="15" x14ac:dyDescent="0.25">
      <c r="A265" s="309"/>
      <c r="B265" s="310"/>
      <c r="C265" s="311" t="s">
        <v>1029</v>
      </c>
      <c r="D265" s="312"/>
      <c r="E265" s="313"/>
    </row>
    <row r="266" spans="1:5" customFormat="1" ht="45.75" x14ac:dyDescent="0.25">
      <c r="A266" s="309"/>
      <c r="B266" s="310"/>
      <c r="C266" s="311" t="s">
        <v>681</v>
      </c>
      <c r="D266" s="312"/>
      <c r="E266" s="313"/>
    </row>
    <row r="267" spans="1:5" customFormat="1" ht="15" x14ac:dyDescent="0.25">
      <c r="A267" s="309"/>
      <c r="B267" s="310"/>
      <c r="C267" s="311" t="s">
        <v>1042</v>
      </c>
      <c r="D267" s="312"/>
      <c r="E267" s="309"/>
    </row>
    <row r="268" spans="1:5" customFormat="1" ht="12.75" customHeight="1" x14ac:dyDescent="0.25">
      <c r="A268" s="805" t="s">
        <v>833</v>
      </c>
      <c r="B268" s="806"/>
      <c r="C268" s="806"/>
      <c r="D268" s="806"/>
      <c r="E268" s="807"/>
    </row>
    <row r="269" spans="1:5" customFormat="1" ht="56.25" x14ac:dyDescent="0.25">
      <c r="A269" s="305" t="s">
        <v>855</v>
      </c>
      <c r="B269" s="306" t="s">
        <v>834</v>
      </c>
      <c r="C269" s="306" t="s">
        <v>835</v>
      </c>
      <c r="D269" s="307" t="s">
        <v>1075</v>
      </c>
      <c r="E269" s="308">
        <v>83294.070000000007</v>
      </c>
    </row>
    <row r="270" spans="1:5" customFormat="1" ht="34.5" x14ac:dyDescent="0.25">
      <c r="A270" s="309"/>
      <c r="B270" s="310"/>
      <c r="C270" s="311" t="s">
        <v>676</v>
      </c>
      <c r="D270" s="312"/>
      <c r="E270" s="313"/>
    </row>
    <row r="271" spans="1:5" customFormat="1" ht="34.5" x14ac:dyDescent="0.25">
      <c r="A271" s="309"/>
      <c r="B271" s="310"/>
      <c r="C271" s="311" t="s">
        <v>837</v>
      </c>
      <c r="D271" s="312"/>
      <c r="E271" s="313"/>
    </row>
    <row r="272" spans="1:5" customFormat="1" ht="15" x14ac:dyDescent="0.25">
      <c r="A272" s="309"/>
      <c r="B272" s="310"/>
      <c r="C272" s="311" t="s">
        <v>838</v>
      </c>
      <c r="D272" s="312"/>
      <c r="E272" s="313"/>
    </row>
    <row r="273" spans="1:5" customFormat="1" ht="15" x14ac:dyDescent="0.25">
      <c r="A273" s="309"/>
      <c r="B273" s="310"/>
      <c r="C273" s="311" t="s">
        <v>1029</v>
      </c>
      <c r="D273" s="312"/>
      <c r="E273" s="313"/>
    </row>
    <row r="274" spans="1:5" customFormat="1" ht="45.75" x14ac:dyDescent="0.25">
      <c r="A274" s="309"/>
      <c r="B274" s="310"/>
      <c r="C274" s="311" t="s">
        <v>681</v>
      </c>
      <c r="D274" s="312"/>
      <c r="E274" s="313"/>
    </row>
    <row r="275" spans="1:5" customFormat="1" ht="15" x14ac:dyDescent="0.25">
      <c r="A275" s="309"/>
      <c r="B275" s="310"/>
      <c r="C275" s="311" t="s">
        <v>1076</v>
      </c>
      <c r="D275" s="312"/>
      <c r="E275" s="309"/>
    </row>
    <row r="276" spans="1:5" customFormat="1" ht="56.25" x14ac:dyDescent="0.25">
      <c r="A276" s="305" t="s">
        <v>863</v>
      </c>
      <c r="B276" s="306" t="s">
        <v>840</v>
      </c>
      <c r="C276" s="306" t="s">
        <v>835</v>
      </c>
      <c r="D276" s="307" t="s">
        <v>1077</v>
      </c>
      <c r="E276" s="308">
        <v>11306.89</v>
      </c>
    </row>
    <row r="277" spans="1:5" customFormat="1" ht="34.5" x14ac:dyDescent="0.25">
      <c r="A277" s="309"/>
      <c r="B277" s="310"/>
      <c r="C277" s="311" t="s">
        <v>842</v>
      </c>
      <c r="D277" s="312"/>
      <c r="E277" s="313"/>
    </row>
    <row r="278" spans="1:5" customFormat="1" ht="15" x14ac:dyDescent="0.25">
      <c r="A278" s="309"/>
      <c r="B278" s="310"/>
      <c r="C278" s="311" t="s">
        <v>838</v>
      </c>
      <c r="D278" s="312"/>
      <c r="E278" s="313"/>
    </row>
    <row r="279" spans="1:5" customFormat="1" ht="15" x14ac:dyDescent="0.25">
      <c r="A279" s="309"/>
      <c r="B279" s="310"/>
      <c r="C279" s="311" t="s">
        <v>1029</v>
      </c>
      <c r="D279" s="312"/>
      <c r="E279" s="313"/>
    </row>
    <row r="280" spans="1:5" customFormat="1" ht="45.75" x14ac:dyDescent="0.25">
      <c r="A280" s="309"/>
      <c r="B280" s="310"/>
      <c r="C280" s="311" t="s">
        <v>681</v>
      </c>
      <c r="D280" s="312"/>
      <c r="E280" s="313"/>
    </row>
    <row r="281" spans="1:5" customFormat="1" ht="15" x14ac:dyDescent="0.25">
      <c r="A281" s="309"/>
      <c r="B281" s="310"/>
      <c r="C281" s="311" t="s">
        <v>1078</v>
      </c>
      <c r="D281" s="312"/>
      <c r="E281" s="309"/>
    </row>
    <row r="282" spans="1:5" customFormat="1" ht="12.75" customHeight="1" x14ac:dyDescent="0.25">
      <c r="A282" s="805" t="s">
        <v>844</v>
      </c>
      <c r="B282" s="806"/>
      <c r="C282" s="806"/>
      <c r="D282" s="806"/>
      <c r="E282" s="807"/>
    </row>
    <row r="283" spans="1:5" customFormat="1" ht="56.25" x14ac:dyDescent="0.25">
      <c r="A283" s="305" t="s">
        <v>869</v>
      </c>
      <c r="B283" s="306" t="s">
        <v>846</v>
      </c>
      <c r="C283" s="306" t="s">
        <v>847</v>
      </c>
      <c r="D283" s="307" t="s">
        <v>1079</v>
      </c>
      <c r="E283" s="308">
        <v>53924.27</v>
      </c>
    </row>
    <row r="284" spans="1:5" customFormat="1" ht="34.5" x14ac:dyDescent="0.25">
      <c r="A284" s="309"/>
      <c r="B284" s="310"/>
      <c r="C284" s="311" t="s">
        <v>676</v>
      </c>
      <c r="D284" s="312"/>
      <c r="E284" s="313"/>
    </row>
    <row r="285" spans="1:5" customFormat="1" ht="15" x14ac:dyDescent="0.25">
      <c r="A285" s="309"/>
      <c r="B285" s="310"/>
      <c r="C285" s="311" t="s">
        <v>1029</v>
      </c>
      <c r="D285" s="312"/>
      <c r="E285" s="313"/>
    </row>
    <row r="286" spans="1:5" customFormat="1" ht="45.75" x14ac:dyDescent="0.25">
      <c r="A286" s="309"/>
      <c r="B286" s="310"/>
      <c r="C286" s="311" t="s">
        <v>681</v>
      </c>
      <c r="D286" s="312"/>
      <c r="E286" s="313"/>
    </row>
    <row r="287" spans="1:5" customFormat="1" ht="15" x14ac:dyDescent="0.25">
      <c r="A287" s="309"/>
      <c r="B287" s="310"/>
      <c r="C287" s="311" t="s">
        <v>1056</v>
      </c>
      <c r="D287" s="312"/>
      <c r="E287" s="309"/>
    </row>
    <row r="288" spans="1:5" customFormat="1" ht="56.25" x14ac:dyDescent="0.25">
      <c r="A288" s="305" t="s">
        <v>876</v>
      </c>
      <c r="B288" s="306" t="s">
        <v>851</v>
      </c>
      <c r="C288" s="306" t="s">
        <v>847</v>
      </c>
      <c r="D288" s="307" t="s">
        <v>1080</v>
      </c>
      <c r="E288" s="308">
        <v>6198.19</v>
      </c>
    </row>
    <row r="289" spans="1:5" customFormat="1" ht="15" x14ac:dyDescent="0.25">
      <c r="A289" s="309"/>
      <c r="B289" s="310"/>
      <c r="C289" s="311" t="s">
        <v>1029</v>
      </c>
      <c r="D289" s="312"/>
      <c r="E289" s="313"/>
    </row>
    <row r="290" spans="1:5" customFormat="1" ht="45.75" x14ac:dyDescent="0.25">
      <c r="A290" s="309"/>
      <c r="B290" s="310"/>
      <c r="C290" s="311" t="s">
        <v>681</v>
      </c>
      <c r="D290" s="312"/>
      <c r="E290" s="313"/>
    </row>
    <row r="291" spans="1:5" customFormat="1" ht="15" x14ac:dyDescent="0.25">
      <c r="A291" s="309"/>
      <c r="B291" s="310"/>
      <c r="C291" s="311" t="s">
        <v>1058</v>
      </c>
      <c r="D291" s="312"/>
      <c r="E291" s="309"/>
    </row>
    <row r="292" spans="1:5" customFormat="1" ht="12.75" customHeight="1" x14ac:dyDescent="0.25">
      <c r="A292" s="805" t="s">
        <v>854</v>
      </c>
      <c r="B292" s="806"/>
      <c r="C292" s="806"/>
      <c r="D292" s="806"/>
      <c r="E292" s="807"/>
    </row>
    <row r="293" spans="1:5" customFormat="1" ht="67.5" x14ac:dyDescent="0.25">
      <c r="A293" s="305" t="s">
        <v>880</v>
      </c>
      <c r="B293" s="306" t="s">
        <v>856</v>
      </c>
      <c r="C293" s="306" t="s">
        <v>857</v>
      </c>
      <c r="D293" s="307" t="s">
        <v>1081</v>
      </c>
      <c r="E293" s="308">
        <v>553678.93000000005</v>
      </c>
    </row>
    <row r="294" spans="1:5" customFormat="1" ht="15" x14ac:dyDescent="0.25">
      <c r="A294" s="309"/>
      <c r="B294" s="310"/>
      <c r="C294" s="311" t="s">
        <v>1082</v>
      </c>
      <c r="D294" s="312"/>
      <c r="E294" s="313"/>
    </row>
    <row r="295" spans="1:5" customFormat="1" ht="15" x14ac:dyDescent="0.25">
      <c r="A295" s="309"/>
      <c r="B295" s="310"/>
      <c r="C295" s="311" t="s">
        <v>860</v>
      </c>
      <c r="D295" s="312"/>
      <c r="E295" s="313"/>
    </row>
    <row r="296" spans="1:5" customFormat="1" ht="45.75" x14ac:dyDescent="0.25">
      <c r="A296" s="309"/>
      <c r="B296" s="310"/>
      <c r="C296" s="311" t="s">
        <v>861</v>
      </c>
      <c r="D296" s="312"/>
      <c r="E296" s="313"/>
    </row>
    <row r="297" spans="1:5" customFormat="1" ht="15" x14ac:dyDescent="0.25">
      <c r="A297" s="309"/>
      <c r="B297" s="310"/>
      <c r="C297" s="311" t="s">
        <v>1083</v>
      </c>
      <c r="D297" s="312"/>
      <c r="E297" s="309"/>
    </row>
    <row r="298" spans="1:5" customFormat="1" ht="56.25" x14ac:dyDescent="0.25">
      <c r="A298" s="305" t="s">
        <v>883</v>
      </c>
      <c r="B298" s="306" t="s">
        <v>864</v>
      </c>
      <c r="C298" s="306" t="s">
        <v>857</v>
      </c>
      <c r="D298" s="307" t="s">
        <v>1084</v>
      </c>
      <c r="E298" s="308">
        <v>94645.97</v>
      </c>
    </row>
    <row r="299" spans="1:5" customFormat="1" ht="15" x14ac:dyDescent="0.25">
      <c r="A299" s="309"/>
      <c r="B299" s="310"/>
      <c r="C299" s="311" t="s">
        <v>1085</v>
      </c>
      <c r="D299" s="312"/>
      <c r="E299" s="313"/>
    </row>
    <row r="300" spans="1:5" customFormat="1" ht="45.75" x14ac:dyDescent="0.25">
      <c r="A300" s="309"/>
      <c r="B300" s="310"/>
      <c r="C300" s="311" t="s">
        <v>861</v>
      </c>
      <c r="D300" s="312"/>
      <c r="E300" s="313"/>
    </row>
    <row r="301" spans="1:5" customFormat="1" ht="15" x14ac:dyDescent="0.25">
      <c r="A301" s="309"/>
      <c r="B301" s="310"/>
      <c r="C301" s="311" t="s">
        <v>1086</v>
      </c>
      <c r="D301" s="312"/>
      <c r="E301" s="309"/>
    </row>
    <row r="302" spans="1:5" customFormat="1" ht="12.75" customHeight="1" x14ac:dyDescent="0.25">
      <c r="A302" s="805" t="s">
        <v>868</v>
      </c>
      <c r="B302" s="806"/>
      <c r="C302" s="806"/>
      <c r="D302" s="806"/>
      <c r="E302" s="807"/>
    </row>
    <row r="303" spans="1:5" customFormat="1" ht="33.75" x14ac:dyDescent="0.25">
      <c r="A303" s="305" t="s">
        <v>886</v>
      </c>
      <c r="B303" s="306" t="s">
        <v>870</v>
      </c>
      <c r="C303" s="306" t="s">
        <v>871</v>
      </c>
      <c r="D303" s="307" t="s">
        <v>1087</v>
      </c>
      <c r="E303" s="308">
        <v>138415.39000000001</v>
      </c>
    </row>
    <row r="304" spans="1:5" customFormat="1" ht="15" x14ac:dyDescent="0.25">
      <c r="A304" s="309"/>
      <c r="B304" s="310"/>
      <c r="C304" s="311" t="s">
        <v>873</v>
      </c>
      <c r="D304" s="312"/>
      <c r="E304" s="313"/>
    </row>
    <row r="305" spans="1:5" customFormat="1" ht="15" x14ac:dyDescent="0.25">
      <c r="A305" s="309"/>
      <c r="B305" s="310"/>
      <c r="C305" s="311" t="s">
        <v>874</v>
      </c>
      <c r="D305" s="312"/>
      <c r="E305" s="313"/>
    </row>
    <row r="306" spans="1:5" customFormat="1" ht="45.75" x14ac:dyDescent="0.25">
      <c r="A306" s="309"/>
      <c r="B306" s="310"/>
      <c r="C306" s="311" t="s">
        <v>861</v>
      </c>
      <c r="D306" s="312"/>
      <c r="E306" s="313"/>
    </row>
    <row r="307" spans="1:5" customFormat="1" ht="15" x14ac:dyDescent="0.25">
      <c r="A307" s="309"/>
      <c r="B307" s="310"/>
      <c r="C307" s="311" t="s">
        <v>1088</v>
      </c>
      <c r="D307" s="312"/>
      <c r="E307" s="309"/>
    </row>
    <row r="308" spans="1:5" customFormat="1" ht="33.75" x14ac:dyDescent="0.25">
      <c r="A308" s="305" t="s">
        <v>1176</v>
      </c>
      <c r="B308" s="306" t="s">
        <v>877</v>
      </c>
      <c r="C308" s="306" t="s">
        <v>871</v>
      </c>
      <c r="D308" s="307" t="s">
        <v>1089</v>
      </c>
      <c r="E308" s="308">
        <v>44570.25</v>
      </c>
    </row>
    <row r="309" spans="1:5" customFormat="1" ht="15" x14ac:dyDescent="0.25">
      <c r="A309" s="309"/>
      <c r="B309" s="310"/>
      <c r="C309" s="311" t="s">
        <v>873</v>
      </c>
      <c r="D309" s="312"/>
      <c r="E309" s="313"/>
    </row>
    <row r="310" spans="1:5" customFormat="1" ht="45.75" x14ac:dyDescent="0.25">
      <c r="A310" s="309"/>
      <c r="B310" s="310"/>
      <c r="C310" s="311" t="s">
        <v>861</v>
      </c>
      <c r="D310" s="312"/>
      <c r="E310" s="313"/>
    </row>
    <row r="311" spans="1:5" customFormat="1" ht="15" x14ac:dyDescent="0.25">
      <c r="A311" s="309"/>
      <c r="B311" s="310"/>
      <c r="C311" s="311" t="s">
        <v>1086</v>
      </c>
      <c r="D311" s="312"/>
      <c r="E311" s="309"/>
    </row>
    <row r="312" spans="1:5" customFormat="1" ht="12.75" customHeight="1" x14ac:dyDescent="0.25">
      <c r="A312" s="805" t="s">
        <v>879</v>
      </c>
      <c r="B312" s="806"/>
      <c r="C312" s="806"/>
      <c r="D312" s="806"/>
      <c r="E312" s="807"/>
    </row>
    <row r="313" spans="1:5" customFormat="1" ht="67.5" x14ac:dyDescent="0.25">
      <c r="A313" s="305" t="s">
        <v>893</v>
      </c>
      <c r="B313" s="306" t="s">
        <v>881</v>
      </c>
      <c r="C313" s="306" t="s">
        <v>857</v>
      </c>
      <c r="D313" s="307" t="s">
        <v>1090</v>
      </c>
      <c r="E313" s="308">
        <v>1135027.49</v>
      </c>
    </row>
    <row r="314" spans="1:5" customFormat="1" ht="15" x14ac:dyDescent="0.25">
      <c r="A314" s="309"/>
      <c r="B314" s="310"/>
      <c r="C314" s="311" t="s">
        <v>1082</v>
      </c>
      <c r="D314" s="312"/>
      <c r="E314" s="313"/>
    </row>
    <row r="315" spans="1:5" customFormat="1" ht="15" x14ac:dyDescent="0.25">
      <c r="A315" s="309"/>
      <c r="B315" s="310"/>
      <c r="C315" s="311" t="s">
        <v>860</v>
      </c>
      <c r="D315" s="312"/>
      <c r="E315" s="313"/>
    </row>
    <row r="316" spans="1:5" customFormat="1" ht="45.75" x14ac:dyDescent="0.25">
      <c r="A316" s="309"/>
      <c r="B316" s="310"/>
      <c r="C316" s="311" t="s">
        <v>861</v>
      </c>
      <c r="D316" s="312"/>
      <c r="E316" s="313"/>
    </row>
    <row r="317" spans="1:5" customFormat="1" ht="15" x14ac:dyDescent="0.25">
      <c r="A317" s="309"/>
      <c r="B317" s="310"/>
      <c r="C317" s="311" t="s">
        <v>1083</v>
      </c>
      <c r="D317" s="312"/>
      <c r="E317" s="309"/>
    </row>
    <row r="318" spans="1:5" customFormat="1" ht="56.25" x14ac:dyDescent="0.25">
      <c r="A318" s="305" t="s">
        <v>1177</v>
      </c>
      <c r="B318" s="306" t="s">
        <v>884</v>
      </c>
      <c r="C318" s="306" t="s">
        <v>857</v>
      </c>
      <c r="D318" s="307" t="s">
        <v>1091</v>
      </c>
      <c r="E318" s="308">
        <v>194021.79</v>
      </c>
    </row>
    <row r="319" spans="1:5" customFormat="1" ht="15" x14ac:dyDescent="0.25">
      <c r="A319" s="309"/>
      <c r="B319" s="310"/>
      <c r="C319" s="311" t="s">
        <v>1085</v>
      </c>
      <c r="D319" s="312"/>
      <c r="E319" s="313"/>
    </row>
    <row r="320" spans="1:5" customFormat="1" ht="45.75" x14ac:dyDescent="0.25">
      <c r="A320" s="309"/>
      <c r="B320" s="310"/>
      <c r="C320" s="311" t="s">
        <v>861</v>
      </c>
      <c r="D320" s="312"/>
      <c r="E320" s="313"/>
    </row>
    <row r="321" spans="1:5" customFormat="1" ht="15" x14ac:dyDescent="0.25">
      <c r="A321" s="309"/>
      <c r="B321" s="310"/>
      <c r="C321" s="311" t="s">
        <v>1086</v>
      </c>
      <c r="D321" s="312"/>
      <c r="E321" s="309"/>
    </row>
    <row r="322" spans="1:5" customFormat="1" ht="56.25" x14ac:dyDescent="0.25">
      <c r="A322" s="305" t="s">
        <v>631</v>
      </c>
      <c r="B322" s="306" t="s">
        <v>887</v>
      </c>
      <c r="C322" s="306" t="s">
        <v>888</v>
      </c>
      <c r="D322" s="307" t="s">
        <v>1092</v>
      </c>
      <c r="E322" s="308">
        <v>4897237.88</v>
      </c>
    </row>
    <row r="323" spans="1:5" customFormat="1" ht="34.5" x14ac:dyDescent="0.25">
      <c r="A323" s="309"/>
      <c r="B323" s="310"/>
      <c r="C323" s="311" t="s">
        <v>740</v>
      </c>
      <c r="D323" s="312"/>
      <c r="E323" s="313"/>
    </row>
    <row r="324" spans="1:5" customFormat="1" ht="15" x14ac:dyDescent="0.25">
      <c r="A324" s="309"/>
      <c r="B324" s="310"/>
      <c r="C324" s="311" t="s">
        <v>1029</v>
      </c>
      <c r="D324" s="312"/>
      <c r="E324" s="313"/>
    </row>
    <row r="325" spans="1:5" customFormat="1" ht="45.75" x14ac:dyDescent="0.25">
      <c r="A325" s="309"/>
      <c r="B325" s="310"/>
      <c r="C325" s="311" t="s">
        <v>890</v>
      </c>
      <c r="D325" s="312"/>
      <c r="E325" s="313"/>
    </row>
    <row r="326" spans="1:5" customFormat="1" ht="15" x14ac:dyDescent="0.25">
      <c r="A326" s="309"/>
      <c r="B326" s="310"/>
      <c r="C326" s="311" t="s">
        <v>1093</v>
      </c>
      <c r="D326" s="312"/>
      <c r="E326" s="309"/>
    </row>
    <row r="327" spans="1:5" customFormat="1" ht="12.75" customHeight="1" x14ac:dyDescent="0.25">
      <c r="A327" s="805" t="s">
        <v>892</v>
      </c>
      <c r="B327" s="806"/>
      <c r="C327" s="806"/>
      <c r="D327" s="806"/>
      <c r="E327" s="807"/>
    </row>
    <row r="328" spans="1:5" customFormat="1" ht="33.75" x14ac:dyDescent="0.25">
      <c r="A328" s="305" t="s">
        <v>902</v>
      </c>
      <c r="B328" s="306" t="s">
        <v>894</v>
      </c>
      <c r="C328" s="306" t="s">
        <v>895</v>
      </c>
      <c r="D328" s="307" t="s">
        <v>1094</v>
      </c>
      <c r="E328" s="308">
        <v>14394.24</v>
      </c>
    </row>
    <row r="329" spans="1:5" customFormat="1" ht="15" x14ac:dyDescent="0.25">
      <c r="A329" s="309"/>
      <c r="B329" s="310"/>
      <c r="C329" s="311" t="s">
        <v>897</v>
      </c>
      <c r="D329" s="312"/>
      <c r="E329" s="313"/>
    </row>
    <row r="330" spans="1:5" customFormat="1" ht="15" x14ac:dyDescent="0.25">
      <c r="A330" s="309"/>
      <c r="B330" s="310"/>
      <c r="C330" s="311" t="s">
        <v>1029</v>
      </c>
      <c r="D330" s="312"/>
      <c r="E330" s="313"/>
    </row>
    <row r="331" spans="1:5" customFormat="1" ht="45.75" x14ac:dyDescent="0.25">
      <c r="A331" s="309"/>
      <c r="B331" s="310"/>
      <c r="C331" s="311" t="s">
        <v>699</v>
      </c>
      <c r="D331" s="312"/>
      <c r="E331" s="313"/>
    </row>
    <row r="332" spans="1:5" customFormat="1" ht="12.75" customHeight="1" x14ac:dyDescent="0.25">
      <c r="A332" s="805" t="s">
        <v>898</v>
      </c>
      <c r="B332" s="806"/>
      <c r="C332" s="806"/>
      <c r="D332" s="806"/>
      <c r="E332" s="807"/>
    </row>
    <row r="333" spans="1:5" customFormat="1" ht="33.75" x14ac:dyDescent="0.25">
      <c r="A333" s="305" t="s">
        <v>908</v>
      </c>
      <c r="B333" s="306" t="s">
        <v>899</v>
      </c>
      <c r="C333" s="306" t="s">
        <v>820</v>
      </c>
      <c r="D333" s="307" t="s">
        <v>821</v>
      </c>
      <c r="E333" s="314"/>
    </row>
    <row r="334" spans="1:5" customFormat="1" ht="12.75" customHeight="1" x14ac:dyDescent="0.25">
      <c r="A334" s="805" t="s">
        <v>900</v>
      </c>
      <c r="B334" s="806"/>
      <c r="C334" s="806"/>
      <c r="D334" s="806"/>
      <c r="E334" s="807"/>
    </row>
    <row r="335" spans="1:5" customFormat="1" ht="12.75" customHeight="1" x14ac:dyDescent="0.25">
      <c r="A335" s="815" t="s">
        <v>901</v>
      </c>
      <c r="B335" s="816"/>
      <c r="C335" s="816"/>
      <c r="D335" s="816"/>
      <c r="E335" s="817"/>
    </row>
    <row r="336" spans="1:5" customFormat="1" ht="67.5" x14ac:dyDescent="0.25">
      <c r="A336" s="305" t="s">
        <v>912</v>
      </c>
      <c r="B336" s="306" t="s">
        <v>903</v>
      </c>
      <c r="C336" s="306" t="s">
        <v>769</v>
      </c>
      <c r="D336" s="307" t="s">
        <v>1095</v>
      </c>
      <c r="E336" s="308">
        <v>260318.56</v>
      </c>
    </row>
    <row r="337" spans="1:5" customFormat="1" ht="34.5" x14ac:dyDescent="0.25">
      <c r="A337" s="309"/>
      <c r="B337" s="310"/>
      <c r="C337" s="311" t="s">
        <v>676</v>
      </c>
      <c r="D337" s="312"/>
      <c r="E337" s="313"/>
    </row>
    <row r="338" spans="1:5" customFormat="1" ht="15" x14ac:dyDescent="0.25">
      <c r="A338" s="309"/>
      <c r="B338" s="310"/>
      <c r="C338" s="311" t="s">
        <v>1029</v>
      </c>
      <c r="D338" s="312"/>
      <c r="E338" s="313"/>
    </row>
    <row r="339" spans="1:5" customFormat="1" ht="45.75" x14ac:dyDescent="0.25">
      <c r="A339" s="309"/>
      <c r="B339" s="310"/>
      <c r="C339" s="311" t="s">
        <v>681</v>
      </c>
      <c r="D339" s="312"/>
      <c r="E339" s="313"/>
    </row>
    <row r="340" spans="1:5" customFormat="1" ht="15" x14ac:dyDescent="0.25">
      <c r="A340" s="309"/>
      <c r="B340" s="310"/>
      <c r="C340" s="311" t="s">
        <v>1056</v>
      </c>
      <c r="D340" s="312"/>
      <c r="E340" s="309"/>
    </row>
    <row r="341" spans="1:5" customFormat="1" ht="67.5" x14ac:dyDescent="0.25">
      <c r="A341" s="305" t="s">
        <v>915</v>
      </c>
      <c r="B341" s="306" t="s">
        <v>905</v>
      </c>
      <c r="C341" s="306" t="s">
        <v>769</v>
      </c>
      <c r="D341" s="307" t="s">
        <v>1096</v>
      </c>
      <c r="E341" s="308">
        <v>29921.67</v>
      </c>
    </row>
    <row r="342" spans="1:5" customFormat="1" ht="15" x14ac:dyDescent="0.25">
      <c r="A342" s="309"/>
      <c r="B342" s="310"/>
      <c r="C342" s="311" t="s">
        <v>1029</v>
      </c>
      <c r="D342" s="312"/>
      <c r="E342" s="313"/>
    </row>
    <row r="343" spans="1:5" customFormat="1" ht="45.75" x14ac:dyDescent="0.25">
      <c r="A343" s="309"/>
      <c r="B343" s="310"/>
      <c r="C343" s="311" t="s">
        <v>681</v>
      </c>
      <c r="D343" s="312"/>
      <c r="E343" s="313"/>
    </row>
    <row r="344" spans="1:5" customFormat="1" ht="15" x14ac:dyDescent="0.25">
      <c r="A344" s="309"/>
      <c r="B344" s="310"/>
      <c r="C344" s="311" t="s">
        <v>1058</v>
      </c>
      <c r="D344" s="312"/>
      <c r="E344" s="309"/>
    </row>
    <row r="345" spans="1:5" customFormat="1" ht="12.75" customHeight="1" x14ac:dyDescent="0.25">
      <c r="A345" s="815" t="s">
        <v>907</v>
      </c>
      <c r="B345" s="816"/>
      <c r="C345" s="816"/>
      <c r="D345" s="816"/>
      <c r="E345" s="817"/>
    </row>
    <row r="346" spans="1:5" customFormat="1" ht="56.25" x14ac:dyDescent="0.25">
      <c r="A346" s="305" t="s">
        <v>919</v>
      </c>
      <c r="B346" s="306" t="s">
        <v>834</v>
      </c>
      <c r="C346" s="306" t="s">
        <v>835</v>
      </c>
      <c r="D346" s="307" t="s">
        <v>1097</v>
      </c>
      <c r="E346" s="308">
        <v>55529.38</v>
      </c>
    </row>
    <row r="347" spans="1:5" customFormat="1" ht="34.5" x14ac:dyDescent="0.25">
      <c r="A347" s="309"/>
      <c r="B347" s="310"/>
      <c r="C347" s="311" t="s">
        <v>676</v>
      </c>
      <c r="D347" s="312"/>
      <c r="E347" s="313"/>
    </row>
    <row r="348" spans="1:5" customFormat="1" ht="15" x14ac:dyDescent="0.25">
      <c r="A348" s="309"/>
      <c r="B348" s="310"/>
      <c r="C348" s="311" t="s">
        <v>1029</v>
      </c>
      <c r="D348" s="312"/>
      <c r="E348" s="313"/>
    </row>
    <row r="349" spans="1:5" customFormat="1" ht="45.75" x14ac:dyDescent="0.25">
      <c r="A349" s="309"/>
      <c r="B349" s="310"/>
      <c r="C349" s="311" t="s">
        <v>681</v>
      </c>
      <c r="D349" s="312"/>
      <c r="E349" s="313"/>
    </row>
    <row r="350" spans="1:5" customFormat="1" ht="15" x14ac:dyDescent="0.25">
      <c r="A350" s="309"/>
      <c r="B350" s="310"/>
      <c r="C350" s="311" t="s">
        <v>1076</v>
      </c>
      <c r="D350" s="312"/>
      <c r="E350" s="309"/>
    </row>
    <row r="351" spans="1:5" customFormat="1" ht="56.25" x14ac:dyDescent="0.25">
      <c r="A351" s="305" t="s">
        <v>1178</v>
      </c>
      <c r="B351" s="306" t="s">
        <v>840</v>
      </c>
      <c r="C351" s="306" t="s">
        <v>835</v>
      </c>
      <c r="D351" s="307" t="s">
        <v>1098</v>
      </c>
      <c r="E351" s="308">
        <v>7537.92</v>
      </c>
    </row>
    <row r="352" spans="1:5" customFormat="1" ht="15" x14ac:dyDescent="0.25">
      <c r="A352" s="309"/>
      <c r="B352" s="310"/>
      <c r="C352" s="311" t="s">
        <v>1029</v>
      </c>
      <c r="D352" s="312"/>
      <c r="E352" s="313"/>
    </row>
    <row r="353" spans="1:5" customFormat="1" ht="45.75" x14ac:dyDescent="0.25">
      <c r="A353" s="309"/>
      <c r="B353" s="310"/>
      <c r="C353" s="311" t="s">
        <v>681</v>
      </c>
      <c r="D353" s="312"/>
      <c r="E353" s="313"/>
    </row>
    <row r="354" spans="1:5" customFormat="1" ht="15" x14ac:dyDescent="0.25">
      <c r="A354" s="309"/>
      <c r="B354" s="310"/>
      <c r="C354" s="311" t="s">
        <v>1078</v>
      </c>
      <c r="D354" s="312"/>
      <c r="E354" s="309"/>
    </row>
    <row r="355" spans="1:5" customFormat="1" ht="12.75" customHeight="1" x14ac:dyDescent="0.25">
      <c r="A355" s="815" t="s">
        <v>911</v>
      </c>
      <c r="B355" s="816"/>
      <c r="C355" s="816"/>
      <c r="D355" s="816"/>
      <c r="E355" s="817"/>
    </row>
    <row r="356" spans="1:5" customFormat="1" ht="56.25" x14ac:dyDescent="0.25">
      <c r="A356" s="305" t="s">
        <v>922</v>
      </c>
      <c r="B356" s="306" t="s">
        <v>913</v>
      </c>
      <c r="C356" s="306" t="s">
        <v>835</v>
      </c>
      <c r="D356" s="307" t="s">
        <v>1099</v>
      </c>
      <c r="E356" s="308">
        <v>40715.31</v>
      </c>
    </row>
    <row r="357" spans="1:5" customFormat="1" ht="34.5" x14ac:dyDescent="0.25">
      <c r="A357" s="309"/>
      <c r="B357" s="310"/>
      <c r="C357" s="311" t="s">
        <v>676</v>
      </c>
      <c r="D357" s="312"/>
      <c r="E357" s="313"/>
    </row>
    <row r="358" spans="1:5" customFormat="1" ht="34.5" x14ac:dyDescent="0.25">
      <c r="A358" s="309"/>
      <c r="B358" s="310"/>
      <c r="C358" s="311" t="s">
        <v>837</v>
      </c>
      <c r="D358" s="312"/>
      <c r="E358" s="313"/>
    </row>
    <row r="359" spans="1:5" customFormat="1" ht="15" x14ac:dyDescent="0.25">
      <c r="A359" s="309"/>
      <c r="B359" s="310"/>
      <c r="C359" s="311" t="s">
        <v>1029</v>
      </c>
      <c r="D359" s="312"/>
      <c r="E359" s="313"/>
    </row>
    <row r="360" spans="1:5" customFormat="1" ht="45.75" x14ac:dyDescent="0.25">
      <c r="A360" s="309"/>
      <c r="B360" s="310"/>
      <c r="C360" s="311" t="s">
        <v>681</v>
      </c>
      <c r="D360" s="312"/>
      <c r="E360" s="313"/>
    </row>
    <row r="361" spans="1:5" customFormat="1" ht="15" x14ac:dyDescent="0.25">
      <c r="A361" s="309"/>
      <c r="B361" s="310"/>
      <c r="C361" s="311" t="s">
        <v>1076</v>
      </c>
      <c r="D361" s="312"/>
      <c r="E361" s="309"/>
    </row>
    <row r="362" spans="1:5" customFormat="1" ht="56.25" x14ac:dyDescent="0.25">
      <c r="A362" s="305" t="s">
        <v>1179</v>
      </c>
      <c r="B362" s="306" t="s">
        <v>916</v>
      </c>
      <c r="C362" s="306" t="s">
        <v>835</v>
      </c>
      <c r="D362" s="307" t="s">
        <v>1100</v>
      </c>
      <c r="E362" s="308">
        <v>5526.96</v>
      </c>
    </row>
    <row r="363" spans="1:5" customFormat="1" ht="34.5" x14ac:dyDescent="0.25">
      <c r="A363" s="309"/>
      <c r="B363" s="310"/>
      <c r="C363" s="311" t="s">
        <v>842</v>
      </c>
      <c r="D363" s="312"/>
      <c r="E363" s="313"/>
    </row>
    <row r="364" spans="1:5" customFormat="1" ht="15" x14ac:dyDescent="0.25">
      <c r="A364" s="309"/>
      <c r="B364" s="310"/>
      <c r="C364" s="311" t="s">
        <v>1029</v>
      </c>
      <c r="D364" s="312"/>
      <c r="E364" s="313"/>
    </row>
    <row r="365" spans="1:5" customFormat="1" ht="45.75" x14ac:dyDescent="0.25">
      <c r="A365" s="309"/>
      <c r="B365" s="310"/>
      <c r="C365" s="311" t="s">
        <v>681</v>
      </c>
      <c r="D365" s="312"/>
      <c r="E365" s="313"/>
    </row>
    <row r="366" spans="1:5" customFormat="1" ht="15" x14ac:dyDescent="0.25">
      <c r="A366" s="309"/>
      <c r="B366" s="310"/>
      <c r="C366" s="311" t="s">
        <v>1078</v>
      </c>
      <c r="D366" s="312"/>
      <c r="E366" s="309"/>
    </row>
    <row r="367" spans="1:5" customFormat="1" ht="12.75" customHeight="1" x14ac:dyDescent="0.25">
      <c r="A367" s="805" t="s">
        <v>918</v>
      </c>
      <c r="B367" s="806"/>
      <c r="C367" s="806"/>
      <c r="D367" s="806"/>
      <c r="E367" s="807"/>
    </row>
    <row r="368" spans="1:5" customFormat="1" ht="33.75" x14ac:dyDescent="0.25">
      <c r="A368" s="305" t="s">
        <v>927</v>
      </c>
      <c r="B368" s="306" t="s">
        <v>920</v>
      </c>
      <c r="C368" s="306" t="s">
        <v>820</v>
      </c>
      <c r="D368" s="307" t="s">
        <v>821</v>
      </c>
      <c r="E368" s="314"/>
    </row>
    <row r="369" spans="1:5" customFormat="1" ht="12.75" customHeight="1" x14ac:dyDescent="0.25">
      <c r="A369" s="805" t="s">
        <v>921</v>
      </c>
      <c r="B369" s="806"/>
      <c r="C369" s="806"/>
      <c r="D369" s="806"/>
      <c r="E369" s="807"/>
    </row>
    <row r="370" spans="1:5" customFormat="1" ht="56.25" x14ac:dyDescent="0.25">
      <c r="A370" s="305" t="s">
        <v>931</v>
      </c>
      <c r="B370" s="306" t="s">
        <v>923</v>
      </c>
      <c r="C370" s="306" t="s">
        <v>924</v>
      </c>
      <c r="D370" s="307" t="s">
        <v>1101</v>
      </c>
      <c r="E370" s="308">
        <v>32519.91</v>
      </c>
    </row>
    <row r="371" spans="1:5" customFormat="1" ht="15" x14ac:dyDescent="0.25">
      <c r="A371" s="309"/>
      <c r="B371" s="310"/>
      <c r="C371" s="311" t="s">
        <v>874</v>
      </c>
      <c r="D371" s="312"/>
      <c r="E371" s="313"/>
    </row>
    <row r="372" spans="1:5" customFormat="1" ht="15" x14ac:dyDescent="0.25">
      <c r="A372" s="309"/>
      <c r="B372" s="310"/>
      <c r="C372" s="311" t="s">
        <v>1029</v>
      </c>
      <c r="D372" s="312"/>
      <c r="E372" s="313"/>
    </row>
    <row r="373" spans="1:5" customFormat="1" ht="45.75" x14ac:dyDescent="0.25">
      <c r="A373" s="309"/>
      <c r="B373" s="310"/>
      <c r="C373" s="311" t="s">
        <v>861</v>
      </c>
      <c r="D373" s="312"/>
      <c r="E373" s="313"/>
    </row>
    <row r="374" spans="1:5" customFormat="1" ht="15" x14ac:dyDescent="0.25">
      <c r="A374" s="309"/>
      <c r="B374" s="310"/>
      <c r="C374" s="311" t="s">
        <v>1102</v>
      </c>
      <c r="D374" s="312"/>
      <c r="E374" s="309"/>
    </row>
    <row r="375" spans="1:5" customFormat="1" ht="45" x14ac:dyDescent="0.25">
      <c r="A375" s="305" t="s">
        <v>937</v>
      </c>
      <c r="B375" s="306" t="s">
        <v>928</v>
      </c>
      <c r="C375" s="306" t="s">
        <v>924</v>
      </c>
      <c r="D375" s="307" t="s">
        <v>1103</v>
      </c>
      <c r="E375" s="308">
        <v>7899.57</v>
      </c>
    </row>
    <row r="376" spans="1:5" customFormat="1" ht="15" x14ac:dyDescent="0.25">
      <c r="A376" s="309"/>
      <c r="B376" s="310"/>
      <c r="C376" s="311" t="s">
        <v>1029</v>
      </c>
      <c r="D376" s="312"/>
      <c r="E376" s="313"/>
    </row>
    <row r="377" spans="1:5" customFormat="1" ht="45.75" x14ac:dyDescent="0.25">
      <c r="A377" s="309"/>
      <c r="B377" s="310"/>
      <c r="C377" s="311" t="s">
        <v>861</v>
      </c>
      <c r="D377" s="312"/>
      <c r="E377" s="313"/>
    </row>
    <row r="378" spans="1:5" customFormat="1" ht="15" x14ac:dyDescent="0.25">
      <c r="A378" s="309"/>
      <c r="B378" s="310"/>
      <c r="C378" s="311" t="s">
        <v>1086</v>
      </c>
      <c r="D378" s="312"/>
      <c r="E378" s="309"/>
    </row>
    <row r="379" spans="1:5" customFormat="1" ht="12.75" customHeight="1" x14ac:dyDescent="0.25">
      <c r="A379" s="805" t="s">
        <v>930</v>
      </c>
      <c r="B379" s="806"/>
      <c r="C379" s="806"/>
      <c r="D379" s="806"/>
      <c r="E379" s="807"/>
    </row>
    <row r="380" spans="1:5" customFormat="1" ht="33.75" x14ac:dyDescent="0.25">
      <c r="A380" s="305" t="s">
        <v>940</v>
      </c>
      <c r="B380" s="306" t="s">
        <v>932</v>
      </c>
      <c r="C380" s="306" t="s">
        <v>933</v>
      </c>
      <c r="D380" s="307" t="s">
        <v>1104</v>
      </c>
      <c r="E380" s="308">
        <v>67014</v>
      </c>
    </row>
    <row r="381" spans="1:5" customFormat="1" ht="15" x14ac:dyDescent="0.25">
      <c r="A381" s="309"/>
      <c r="B381" s="310"/>
      <c r="C381" s="311" t="s">
        <v>1029</v>
      </c>
      <c r="D381" s="312"/>
      <c r="E381" s="313"/>
    </row>
    <row r="382" spans="1:5" customFormat="1" ht="45.75" x14ac:dyDescent="0.25">
      <c r="A382" s="309"/>
      <c r="B382" s="310"/>
      <c r="C382" s="311" t="s">
        <v>699</v>
      </c>
      <c r="D382" s="312"/>
      <c r="E382" s="313"/>
    </row>
    <row r="383" spans="1:5" customFormat="1" ht="12.75" customHeight="1" x14ac:dyDescent="0.25">
      <c r="A383" s="805" t="s">
        <v>935</v>
      </c>
      <c r="B383" s="806"/>
      <c r="C383" s="806"/>
      <c r="D383" s="806"/>
      <c r="E383" s="807"/>
    </row>
    <row r="384" spans="1:5" customFormat="1" ht="12.75" customHeight="1" x14ac:dyDescent="0.25">
      <c r="A384" s="805" t="s">
        <v>936</v>
      </c>
      <c r="B384" s="806"/>
      <c r="C384" s="806"/>
      <c r="D384" s="806"/>
      <c r="E384" s="807"/>
    </row>
    <row r="385" spans="1:5" customFormat="1" ht="56.25" x14ac:dyDescent="0.25">
      <c r="A385" s="305" t="s">
        <v>945</v>
      </c>
      <c r="B385" s="306" t="s">
        <v>938</v>
      </c>
      <c r="C385" s="306" t="s">
        <v>847</v>
      </c>
      <c r="D385" s="307" t="s">
        <v>1079</v>
      </c>
      <c r="E385" s="308">
        <v>53924.27</v>
      </c>
    </row>
    <row r="386" spans="1:5" customFormat="1" ht="34.5" x14ac:dyDescent="0.25">
      <c r="A386" s="309"/>
      <c r="B386" s="310"/>
      <c r="C386" s="311" t="s">
        <v>676</v>
      </c>
      <c r="D386" s="312"/>
      <c r="E386" s="313"/>
    </row>
    <row r="387" spans="1:5" customFormat="1" ht="15" x14ac:dyDescent="0.25">
      <c r="A387" s="309"/>
      <c r="B387" s="310"/>
      <c r="C387" s="311" t="s">
        <v>1029</v>
      </c>
      <c r="D387" s="312"/>
      <c r="E387" s="313"/>
    </row>
    <row r="388" spans="1:5" customFormat="1" ht="45.75" x14ac:dyDescent="0.25">
      <c r="A388" s="309"/>
      <c r="B388" s="310"/>
      <c r="C388" s="311" t="s">
        <v>681</v>
      </c>
      <c r="D388" s="312"/>
      <c r="E388" s="313"/>
    </row>
    <row r="389" spans="1:5" customFormat="1" ht="15" x14ac:dyDescent="0.25">
      <c r="A389" s="309"/>
      <c r="B389" s="310"/>
      <c r="C389" s="311" t="s">
        <v>1056</v>
      </c>
      <c r="D389" s="312"/>
      <c r="E389" s="309"/>
    </row>
    <row r="390" spans="1:5" customFormat="1" ht="56.25" x14ac:dyDescent="0.25">
      <c r="A390" s="305" t="s">
        <v>948</v>
      </c>
      <c r="B390" s="306" t="s">
        <v>939</v>
      </c>
      <c r="C390" s="306" t="s">
        <v>847</v>
      </c>
      <c r="D390" s="307" t="s">
        <v>1080</v>
      </c>
      <c r="E390" s="308">
        <v>6198.19</v>
      </c>
    </row>
    <row r="391" spans="1:5" customFormat="1" ht="15" x14ac:dyDescent="0.25">
      <c r="A391" s="309"/>
      <c r="B391" s="310"/>
      <c r="C391" s="311" t="s">
        <v>1029</v>
      </c>
      <c r="D391" s="312"/>
      <c r="E391" s="313"/>
    </row>
    <row r="392" spans="1:5" customFormat="1" ht="45.75" x14ac:dyDescent="0.25">
      <c r="A392" s="309"/>
      <c r="B392" s="310"/>
      <c r="C392" s="311" t="s">
        <v>681</v>
      </c>
      <c r="D392" s="312"/>
      <c r="E392" s="313"/>
    </row>
    <row r="393" spans="1:5" customFormat="1" ht="15" x14ac:dyDescent="0.25">
      <c r="A393" s="309"/>
      <c r="B393" s="310"/>
      <c r="C393" s="311" t="s">
        <v>1058</v>
      </c>
      <c r="D393" s="312"/>
      <c r="E393" s="309"/>
    </row>
    <row r="394" spans="1:5" customFormat="1" ht="12.75" customHeight="1" x14ac:dyDescent="0.25">
      <c r="A394" s="805" t="s">
        <v>776</v>
      </c>
      <c r="B394" s="806"/>
      <c r="C394" s="806"/>
      <c r="D394" s="806"/>
      <c r="E394" s="807"/>
    </row>
    <row r="395" spans="1:5" customFormat="1" ht="56.25" x14ac:dyDescent="0.25">
      <c r="A395" s="305" t="s">
        <v>951</v>
      </c>
      <c r="B395" s="306" t="s">
        <v>941</v>
      </c>
      <c r="C395" s="306" t="s">
        <v>784</v>
      </c>
      <c r="D395" s="307" t="s">
        <v>1105</v>
      </c>
      <c r="E395" s="308">
        <v>300739.42</v>
      </c>
    </row>
    <row r="396" spans="1:5" customFormat="1" ht="34.5" x14ac:dyDescent="0.25">
      <c r="A396" s="309"/>
      <c r="B396" s="310"/>
      <c r="C396" s="311" t="s">
        <v>676</v>
      </c>
      <c r="D396" s="312"/>
      <c r="E396" s="313"/>
    </row>
    <row r="397" spans="1:5" customFormat="1" ht="15" x14ac:dyDescent="0.25">
      <c r="A397" s="309"/>
      <c r="B397" s="310"/>
      <c r="C397" s="311" t="s">
        <v>1029</v>
      </c>
      <c r="D397" s="312"/>
      <c r="E397" s="313"/>
    </row>
    <row r="398" spans="1:5" customFormat="1" ht="45.75" x14ac:dyDescent="0.25">
      <c r="A398" s="309"/>
      <c r="B398" s="310"/>
      <c r="C398" s="311" t="s">
        <v>681</v>
      </c>
      <c r="D398" s="312"/>
      <c r="E398" s="313"/>
    </row>
    <row r="399" spans="1:5" customFormat="1" ht="15" x14ac:dyDescent="0.25">
      <c r="A399" s="309"/>
      <c r="B399" s="310"/>
      <c r="C399" s="311" t="s">
        <v>1060</v>
      </c>
      <c r="D399" s="312"/>
      <c r="E399" s="309"/>
    </row>
    <row r="400" spans="1:5" customFormat="1" ht="56.25" x14ac:dyDescent="0.25">
      <c r="A400" s="305" t="s">
        <v>954</v>
      </c>
      <c r="B400" s="306" t="s">
        <v>943</v>
      </c>
      <c r="C400" s="306" t="s">
        <v>784</v>
      </c>
      <c r="D400" s="307" t="s">
        <v>1106</v>
      </c>
      <c r="E400" s="308">
        <v>22879.58</v>
      </c>
    </row>
    <row r="401" spans="1:5" customFormat="1" ht="15" x14ac:dyDescent="0.25">
      <c r="A401" s="309"/>
      <c r="B401" s="310"/>
      <c r="C401" s="311" t="s">
        <v>1029</v>
      </c>
      <c r="D401" s="312"/>
      <c r="E401" s="313"/>
    </row>
    <row r="402" spans="1:5" customFormat="1" ht="45.75" x14ac:dyDescent="0.25">
      <c r="A402" s="309"/>
      <c r="B402" s="310"/>
      <c r="C402" s="311" t="s">
        <v>681</v>
      </c>
      <c r="D402" s="312"/>
      <c r="E402" s="313"/>
    </row>
    <row r="403" spans="1:5" customFormat="1" ht="15" x14ac:dyDescent="0.25">
      <c r="A403" s="309"/>
      <c r="B403" s="310"/>
      <c r="C403" s="311" t="s">
        <v>1062</v>
      </c>
      <c r="D403" s="312"/>
      <c r="E403" s="309"/>
    </row>
    <row r="404" spans="1:5" customFormat="1" ht="12.75" customHeight="1" x14ac:dyDescent="0.25">
      <c r="A404" s="805" t="s">
        <v>825</v>
      </c>
      <c r="B404" s="806"/>
      <c r="C404" s="806"/>
      <c r="D404" s="806"/>
      <c r="E404" s="807"/>
    </row>
    <row r="405" spans="1:5" customFormat="1" ht="33.75" x14ac:dyDescent="0.25">
      <c r="A405" s="305" t="s">
        <v>958</v>
      </c>
      <c r="B405" s="306" t="s">
        <v>946</v>
      </c>
      <c r="C405" s="306" t="s">
        <v>828</v>
      </c>
      <c r="D405" s="307" t="s">
        <v>1107</v>
      </c>
      <c r="E405" s="308">
        <v>38864.9</v>
      </c>
    </row>
    <row r="406" spans="1:5" customFormat="1" ht="45.75" x14ac:dyDescent="0.25">
      <c r="A406" s="309"/>
      <c r="B406" s="310"/>
      <c r="C406" s="311" t="s">
        <v>830</v>
      </c>
      <c r="D406" s="312"/>
      <c r="E406" s="313"/>
    </row>
    <row r="407" spans="1:5" customFormat="1" ht="34.5" x14ac:dyDescent="0.25">
      <c r="A407" s="309"/>
      <c r="B407" s="310"/>
      <c r="C407" s="311" t="s">
        <v>740</v>
      </c>
      <c r="D407" s="312"/>
      <c r="E407" s="313"/>
    </row>
    <row r="408" spans="1:5" customFormat="1" ht="15" x14ac:dyDescent="0.25">
      <c r="A408" s="309"/>
      <c r="B408" s="310"/>
      <c r="C408" s="311" t="s">
        <v>1029</v>
      </c>
      <c r="D408" s="312"/>
      <c r="E408" s="313"/>
    </row>
    <row r="409" spans="1:5" customFormat="1" ht="45.75" x14ac:dyDescent="0.25">
      <c r="A409" s="309"/>
      <c r="B409" s="310"/>
      <c r="C409" s="311" t="s">
        <v>681</v>
      </c>
      <c r="D409" s="312"/>
      <c r="E409" s="313"/>
    </row>
    <row r="410" spans="1:5" customFormat="1" ht="15" x14ac:dyDescent="0.25">
      <c r="A410" s="309"/>
      <c r="B410" s="310"/>
      <c r="C410" s="311" t="s">
        <v>1040</v>
      </c>
      <c r="D410" s="312"/>
      <c r="E410" s="309"/>
    </row>
    <row r="411" spans="1:5" customFormat="1" ht="33.75" x14ac:dyDescent="0.25">
      <c r="A411" s="305" t="s">
        <v>961</v>
      </c>
      <c r="B411" s="306" t="s">
        <v>949</v>
      </c>
      <c r="C411" s="306" t="s">
        <v>828</v>
      </c>
      <c r="D411" s="307" t="s">
        <v>1108</v>
      </c>
      <c r="E411" s="308">
        <v>2777.23</v>
      </c>
    </row>
    <row r="412" spans="1:5" customFormat="1" ht="45.75" x14ac:dyDescent="0.25">
      <c r="A412" s="309"/>
      <c r="B412" s="310"/>
      <c r="C412" s="311" t="s">
        <v>830</v>
      </c>
      <c r="D412" s="312"/>
      <c r="E412" s="313"/>
    </row>
    <row r="413" spans="1:5" customFormat="1" ht="15" x14ac:dyDescent="0.25">
      <c r="A413" s="309"/>
      <c r="B413" s="310"/>
      <c r="C413" s="311" t="s">
        <v>1029</v>
      </c>
      <c r="D413" s="312"/>
      <c r="E413" s="313"/>
    </row>
    <row r="414" spans="1:5" customFormat="1" ht="45.75" x14ac:dyDescent="0.25">
      <c r="A414" s="309"/>
      <c r="B414" s="310"/>
      <c r="C414" s="311" t="s">
        <v>681</v>
      </c>
      <c r="D414" s="312"/>
      <c r="E414" s="313"/>
    </row>
    <row r="415" spans="1:5" customFormat="1" ht="15" x14ac:dyDescent="0.25">
      <c r="A415" s="309"/>
      <c r="B415" s="310"/>
      <c r="C415" s="311" t="s">
        <v>1042</v>
      </c>
      <c r="D415" s="312"/>
      <c r="E415" s="309"/>
    </row>
    <row r="416" spans="1:5" customFormat="1" ht="12.75" customHeight="1" x14ac:dyDescent="0.25">
      <c r="A416" s="805" t="s">
        <v>854</v>
      </c>
      <c r="B416" s="806"/>
      <c r="C416" s="806"/>
      <c r="D416" s="806"/>
      <c r="E416" s="807"/>
    </row>
    <row r="417" spans="1:5" customFormat="1" ht="67.5" x14ac:dyDescent="0.25">
      <c r="A417" s="305" t="s">
        <v>629</v>
      </c>
      <c r="B417" s="306" t="s">
        <v>952</v>
      </c>
      <c r="C417" s="306" t="s">
        <v>857</v>
      </c>
      <c r="D417" s="307" t="s">
        <v>1109</v>
      </c>
      <c r="E417" s="308">
        <v>714050.95</v>
      </c>
    </row>
    <row r="418" spans="1:5" customFormat="1" ht="15" x14ac:dyDescent="0.25">
      <c r="A418" s="309"/>
      <c r="B418" s="310"/>
      <c r="C418" s="311" t="s">
        <v>1082</v>
      </c>
      <c r="D418" s="312"/>
      <c r="E418" s="313"/>
    </row>
    <row r="419" spans="1:5" customFormat="1" ht="15" x14ac:dyDescent="0.25">
      <c r="A419" s="309"/>
      <c r="B419" s="310"/>
      <c r="C419" s="311" t="s">
        <v>860</v>
      </c>
      <c r="D419" s="312"/>
      <c r="E419" s="313"/>
    </row>
    <row r="420" spans="1:5" customFormat="1" ht="45.75" x14ac:dyDescent="0.25">
      <c r="A420" s="309"/>
      <c r="B420" s="310"/>
      <c r="C420" s="311" t="s">
        <v>861</v>
      </c>
      <c r="D420" s="312"/>
      <c r="E420" s="313"/>
    </row>
    <row r="421" spans="1:5" customFormat="1" ht="15" x14ac:dyDescent="0.25">
      <c r="A421" s="309"/>
      <c r="B421" s="310"/>
      <c r="C421" s="311" t="s">
        <v>1083</v>
      </c>
      <c r="D421" s="312"/>
      <c r="E421" s="309"/>
    </row>
    <row r="422" spans="1:5" customFormat="1" ht="56.25" x14ac:dyDescent="0.25">
      <c r="A422" s="305" t="s">
        <v>965</v>
      </c>
      <c r="B422" s="306" t="s">
        <v>955</v>
      </c>
      <c r="C422" s="306" t="s">
        <v>857</v>
      </c>
      <c r="D422" s="307" t="s">
        <v>1110</v>
      </c>
      <c r="E422" s="308">
        <v>122059.99</v>
      </c>
    </row>
    <row r="423" spans="1:5" customFormat="1" ht="15" x14ac:dyDescent="0.25">
      <c r="A423" s="309"/>
      <c r="B423" s="310"/>
      <c r="C423" s="311" t="s">
        <v>1085</v>
      </c>
      <c r="D423" s="312"/>
      <c r="E423" s="313"/>
    </row>
    <row r="424" spans="1:5" customFormat="1" ht="45.75" x14ac:dyDescent="0.25">
      <c r="A424" s="309"/>
      <c r="B424" s="310"/>
      <c r="C424" s="311" t="s">
        <v>861</v>
      </c>
      <c r="D424" s="312"/>
      <c r="E424" s="313"/>
    </row>
    <row r="425" spans="1:5" customFormat="1" ht="15" x14ac:dyDescent="0.25">
      <c r="A425" s="309"/>
      <c r="B425" s="310"/>
      <c r="C425" s="311" t="s">
        <v>1086</v>
      </c>
      <c r="D425" s="312"/>
      <c r="E425" s="309"/>
    </row>
    <row r="426" spans="1:5" customFormat="1" ht="12.75" customHeight="1" x14ac:dyDescent="0.25">
      <c r="A426" s="805" t="s">
        <v>957</v>
      </c>
      <c r="B426" s="806"/>
      <c r="C426" s="806"/>
      <c r="D426" s="806"/>
      <c r="E426" s="807"/>
    </row>
    <row r="427" spans="1:5" customFormat="1" ht="12.75" customHeight="1" x14ac:dyDescent="0.25">
      <c r="A427" s="805" t="s">
        <v>776</v>
      </c>
      <c r="B427" s="806"/>
      <c r="C427" s="806"/>
      <c r="D427" s="806"/>
      <c r="E427" s="807"/>
    </row>
    <row r="428" spans="1:5" customFormat="1" ht="56.25" x14ac:dyDescent="0.25">
      <c r="A428" s="305" t="s">
        <v>966</v>
      </c>
      <c r="B428" s="306" t="s">
        <v>959</v>
      </c>
      <c r="C428" s="306" t="s">
        <v>779</v>
      </c>
      <c r="D428" s="307" t="s">
        <v>1111</v>
      </c>
      <c r="E428" s="308">
        <v>191271.23</v>
      </c>
    </row>
    <row r="429" spans="1:5" customFormat="1" ht="34.5" x14ac:dyDescent="0.25">
      <c r="A429" s="309"/>
      <c r="B429" s="310"/>
      <c r="C429" s="311" t="s">
        <v>676</v>
      </c>
      <c r="D429" s="312"/>
      <c r="E429" s="313"/>
    </row>
    <row r="430" spans="1:5" customFormat="1" ht="15" x14ac:dyDescent="0.25">
      <c r="A430" s="309"/>
      <c r="B430" s="310"/>
      <c r="C430" s="311" t="s">
        <v>1029</v>
      </c>
      <c r="D430" s="312"/>
      <c r="E430" s="313"/>
    </row>
    <row r="431" spans="1:5" customFormat="1" ht="45.75" x14ac:dyDescent="0.25">
      <c r="A431" s="309"/>
      <c r="B431" s="310"/>
      <c r="C431" s="311" t="s">
        <v>681</v>
      </c>
      <c r="D431" s="312"/>
      <c r="E431" s="313"/>
    </row>
    <row r="432" spans="1:5" customFormat="1" ht="15" x14ac:dyDescent="0.25">
      <c r="A432" s="309"/>
      <c r="B432" s="310"/>
      <c r="C432" s="311" t="s">
        <v>1060</v>
      </c>
      <c r="D432" s="312"/>
      <c r="E432" s="309"/>
    </row>
    <row r="433" spans="1:5" customFormat="1" ht="56.25" x14ac:dyDescent="0.25">
      <c r="A433" s="305" t="s">
        <v>967</v>
      </c>
      <c r="B433" s="306" t="s">
        <v>962</v>
      </c>
      <c r="C433" s="306" t="s">
        <v>784</v>
      </c>
      <c r="D433" s="307" t="s">
        <v>1112</v>
      </c>
      <c r="E433" s="308">
        <v>14551.49</v>
      </c>
    </row>
    <row r="434" spans="1:5" customFormat="1" ht="15" x14ac:dyDescent="0.25">
      <c r="A434" s="309"/>
      <c r="B434" s="310"/>
      <c r="C434" s="311" t="s">
        <v>1029</v>
      </c>
      <c r="D434" s="312"/>
      <c r="E434" s="313"/>
    </row>
    <row r="435" spans="1:5" customFormat="1" ht="45.75" x14ac:dyDescent="0.25">
      <c r="A435" s="309"/>
      <c r="B435" s="310"/>
      <c r="C435" s="311" t="s">
        <v>681</v>
      </c>
      <c r="D435" s="312"/>
      <c r="E435" s="313"/>
    </row>
    <row r="436" spans="1:5" customFormat="1" ht="15" x14ac:dyDescent="0.25">
      <c r="A436" s="309"/>
      <c r="B436" s="310"/>
      <c r="C436" s="311" t="s">
        <v>1062</v>
      </c>
      <c r="D436" s="312"/>
      <c r="E436" s="309"/>
    </row>
    <row r="437" spans="1:5" customFormat="1" ht="12.75" customHeight="1" x14ac:dyDescent="0.25">
      <c r="A437" s="815" t="s">
        <v>964</v>
      </c>
      <c r="B437" s="816"/>
      <c r="C437" s="816"/>
      <c r="D437" s="816"/>
      <c r="E437" s="817"/>
    </row>
    <row r="438" spans="1:5" customFormat="1" ht="56.25" x14ac:dyDescent="0.25">
      <c r="A438" s="305" t="s">
        <v>970</v>
      </c>
      <c r="B438" s="306" t="s">
        <v>789</v>
      </c>
      <c r="C438" s="306" t="s">
        <v>790</v>
      </c>
      <c r="D438" s="307" t="s">
        <v>1063</v>
      </c>
      <c r="E438" s="308">
        <v>24055.01</v>
      </c>
    </row>
    <row r="439" spans="1:5" customFormat="1" ht="34.5" x14ac:dyDescent="0.25">
      <c r="A439" s="309"/>
      <c r="B439" s="310"/>
      <c r="C439" s="311" t="s">
        <v>676</v>
      </c>
      <c r="D439" s="312"/>
      <c r="E439" s="313"/>
    </row>
    <row r="440" spans="1:5" customFormat="1" ht="15" x14ac:dyDescent="0.25">
      <c r="A440" s="309"/>
      <c r="B440" s="310"/>
      <c r="C440" s="311" t="s">
        <v>1029</v>
      </c>
      <c r="D440" s="312"/>
      <c r="E440" s="313"/>
    </row>
    <row r="441" spans="1:5" customFormat="1" ht="45.75" x14ac:dyDescent="0.25">
      <c r="A441" s="309"/>
      <c r="B441" s="310"/>
      <c r="C441" s="311" t="s">
        <v>681</v>
      </c>
      <c r="D441" s="312"/>
      <c r="E441" s="313"/>
    </row>
    <row r="442" spans="1:5" customFormat="1" ht="15" x14ac:dyDescent="0.25">
      <c r="A442" s="309"/>
      <c r="B442" s="310"/>
      <c r="C442" s="311" t="s">
        <v>1056</v>
      </c>
      <c r="D442" s="312"/>
      <c r="E442" s="309"/>
    </row>
    <row r="443" spans="1:5" customFormat="1" ht="56.25" x14ac:dyDescent="0.25">
      <c r="A443" s="305" t="s">
        <v>974</v>
      </c>
      <c r="B443" s="306" t="s">
        <v>794</v>
      </c>
      <c r="C443" s="306" t="s">
        <v>790</v>
      </c>
      <c r="D443" s="307" t="s">
        <v>1064</v>
      </c>
      <c r="E443" s="308">
        <v>2764.94</v>
      </c>
    </row>
    <row r="444" spans="1:5" customFormat="1" ht="15" x14ac:dyDescent="0.25">
      <c r="A444" s="309"/>
      <c r="B444" s="310"/>
      <c r="C444" s="311" t="s">
        <v>1029</v>
      </c>
      <c r="D444" s="312"/>
      <c r="E444" s="313"/>
    </row>
    <row r="445" spans="1:5" customFormat="1" ht="45.75" x14ac:dyDescent="0.25">
      <c r="A445" s="309"/>
      <c r="B445" s="310"/>
      <c r="C445" s="311" t="s">
        <v>681</v>
      </c>
      <c r="D445" s="312"/>
      <c r="E445" s="313"/>
    </row>
    <row r="446" spans="1:5" customFormat="1" ht="15" x14ac:dyDescent="0.25">
      <c r="A446" s="309"/>
      <c r="B446" s="310"/>
      <c r="C446" s="311" t="s">
        <v>1058</v>
      </c>
      <c r="D446" s="312"/>
      <c r="E446" s="309"/>
    </row>
    <row r="447" spans="1:5" customFormat="1" ht="12.75" customHeight="1" x14ac:dyDescent="0.25">
      <c r="A447" s="815" t="s">
        <v>797</v>
      </c>
      <c r="B447" s="816"/>
      <c r="C447" s="816"/>
      <c r="D447" s="816"/>
      <c r="E447" s="817"/>
    </row>
    <row r="448" spans="1:5" customFormat="1" ht="56.25" x14ac:dyDescent="0.25">
      <c r="A448" s="305" t="s">
        <v>979</v>
      </c>
      <c r="B448" s="306" t="s">
        <v>799</v>
      </c>
      <c r="C448" s="306" t="s">
        <v>800</v>
      </c>
      <c r="D448" s="307" t="s">
        <v>1065</v>
      </c>
      <c r="E448" s="308">
        <v>158222.94</v>
      </c>
    </row>
    <row r="449" spans="1:5" customFormat="1" ht="34.5" x14ac:dyDescent="0.25">
      <c r="A449" s="309"/>
      <c r="B449" s="310"/>
      <c r="C449" s="311" t="s">
        <v>676</v>
      </c>
      <c r="D449" s="312"/>
      <c r="E449" s="313"/>
    </row>
    <row r="450" spans="1:5" customFormat="1" ht="15" x14ac:dyDescent="0.25">
      <c r="A450" s="309"/>
      <c r="B450" s="310"/>
      <c r="C450" s="311" t="s">
        <v>1029</v>
      </c>
      <c r="D450" s="312"/>
      <c r="E450" s="313"/>
    </row>
    <row r="451" spans="1:5" customFormat="1" ht="45.75" x14ac:dyDescent="0.25">
      <c r="A451" s="309"/>
      <c r="B451" s="310"/>
      <c r="C451" s="311" t="s">
        <v>681</v>
      </c>
      <c r="D451" s="312"/>
      <c r="E451" s="313"/>
    </row>
    <row r="452" spans="1:5" customFormat="1" ht="15" x14ac:dyDescent="0.25">
      <c r="A452" s="309"/>
      <c r="B452" s="310"/>
      <c r="C452" s="311" t="s">
        <v>1066</v>
      </c>
      <c r="D452" s="312"/>
      <c r="E452" s="309"/>
    </row>
    <row r="453" spans="1:5" customFormat="1" ht="56.25" x14ac:dyDescent="0.25">
      <c r="A453" s="305" t="s">
        <v>982</v>
      </c>
      <c r="B453" s="306" t="s">
        <v>804</v>
      </c>
      <c r="C453" s="306" t="s">
        <v>800</v>
      </c>
      <c r="D453" s="307" t="s">
        <v>1067</v>
      </c>
      <c r="E453" s="308">
        <v>19813.25</v>
      </c>
    </row>
    <row r="454" spans="1:5" customFormat="1" ht="15" x14ac:dyDescent="0.25">
      <c r="A454" s="309"/>
      <c r="B454" s="310"/>
      <c r="C454" s="311" t="s">
        <v>1029</v>
      </c>
      <c r="D454" s="312"/>
      <c r="E454" s="313"/>
    </row>
    <row r="455" spans="1:5" customFormat="1" ht="45.75" x14ac:dyDescent="0.25">
      <c r="A455" s="309"/>
      <c r="B455" s="310"/>
      <c r="C455" s="311" t="s">
        <v>681</v>
      </c>
      <c r="D455" s="312"/>
      <c r="E455" s="313"/>
    </row>
    <row r="456" spans="1:5" customFormat="1" ht="15" x14ac:dyDescent="0.25">
      <c r="A456" s="309"/>
      <c r="B456" s="310"/>
      <c r="C456" s="311" t="s">
        <v>1068</v>
      </c>
      <c r="D456" s="312"/>
      <c r="E456" s="309"/>
    </row>
    <row r="457" spans="1:5" customFormat="1" ht="12.75" customHeight="1" x14ac:dyDescent="0.25">
      <c r="A457" s="808" t="s">
        <v>968</v>
      </c>
      <c r="B457" s="809"/>
      <c r="C457" s="809"/>
      <c r="D457" s="809"/>
      <c r="E457" s="810"/>
    </row>
    <row r="458" spans="1:5" customFormat="1" ht="12.75" customHeight="1" x14ac:dyDescent="0.25">
      <c r="A458" s="805" t="s">
        <v>969</v>
      </c>
      <c r="B458" s="806"/>
      <c r="C458" s="806"/>
      <c r="D458" s="806"/>
      <c r="E458" s="807"/>
    </row>
    <row r="459" spans="1:5" customFormat="1" ht="45" x14ac:dyDescent="0.25">
      <c r="A459" s="305" t="s">
        <v>987</v>
      </c>
      <c r="B459" s="306" t="s">
        <v>971</v>
      </c>
      <c r="C459" s="306" t="s">
        <v>972</v>
      </c>
      <c r="D459" s="307" t="s">
        <v>1113</v>
      </c>
      <c r="E459" s="308">
        <v>255118.5</v>
      </c>
    </row>
    <row r="460" spans="1:5" customFormat="1" ht="34.5" x14ac:dyDescent="0.25">
      <c r="A460" s="309"/>
      <c r="B460" s="310"/>
      <c r="C460" s="311" t="s">
        <v>676</v>
      </c>
      <c r="D460" s="312"/>
      <c r="E460" s="313"/>
    </row>
    <row r="461" spans="1:5" customFormat="1" ht="15" x14ac:dyDescent="0.25">
      <c r="A461" s="309"/>
      <c r="B461" s="310"/>
      <c r="C461" s="311" t="s">
        <v>1029</v>
      </c>
      <c r="D461" s="312"/>
      <c r="E461" s="313"/>
    </row>
    <row r="462" spans="1:5" customFormat="1" ht="45.75" x14ac:dyDescent="0.25">
      <c r="A462" s="309"/>
      <c r="B462" s="310"/>
      <c r="C462" s="311" t="s">
        <v>681</v>
      </c>
      <c r="D462" s="312"/>
      <c r="E462" s="313"/>
    </row>
    <row r="463" spans="1:5" customFormat="1" ht="15" x14ac:dyDescent="0.25">
      <c r="A463" s="309"/>
      <c r="B463" s="310"/>
      <c r="C463" s="311" t="s">
        <v>1114</v>
      </c>
      <c r="D463" s="312"/>
      <c r="E463" s="309"/>
    </row>
    <row r="464" spans="1:5" customFormat="1" ht="45" x14ac:dyDescent="0.25">
      <c r="A464" s="305" t="s">
        <v>1180</v>
      </c>
      <c r="B464" s="306" t="s">
        <v>975</v>
      </c>
      <c r="C464" s="306" t="s">
        <v>972</v>
      </c>
      <c r="D464" s="307" t="s">
        <v>1115</v>
      </c>
      <c r="E464" s="308">
        <v>24255</v>
      </c>
    </row>
    <row r="465" spans="1:5" customFormat="1" ht="15" x14ac:dyDescent="0.25">
      <c r="A465" s="309"/>
      <c r="B465" s="310"/>
      <c r="C465" s="311" t="s">
        <v>1029</v>
      </c>
      <c r="D465" s="312"/>
      <c r="E465" s="313"/>
    </row>
    <row r="466" spans="1:5" customFormat="1" ht="45.75" x14ac:dyDescent="0.25">
      <c r="A466" s="309"/>
      <c r="B466" s="310"/>
      <c r="C466" s="311" t="s">
        <v>681</v>
      </c>
      <c r="D466" s="312"/>
      <c r="E466" s="313"/>
    </row>
    <row r="467" spans="1:5" customFormat="1" ht="15" x14ac:dyDescent="0.25">
      <c r="A467" s="309"/>
      <c r="B467" s="310"/>
      <c r="C467" s="311" t="s">
        <v>1032</v>
      </c>
      <c r="D467" s="312"/>
      <c r="E467" s="309"/>
    </row>
    <row r="468" spans="1:5" customFormat="1" ht="12.75" customHeight="1" x14ac:dyDescent="0.25">
      <c r="A468" s="805" t="s">
        <v>978</v>
      </c>
      <c r="B468" s="806"/>
      <c r="C468" s="806"/>
      <c r="D468" s="806"/>
      <c r="E468" s="807"/>
    </row>
    <row r="469" spans="1:5" customFormat="1" ht="45" x14ac:dyDescent="0.25">
      <c r="A469" s="305" t="s">
        <v>993</v>
      </c>
      <c r="B469" s="306" t="s">
        <v>980</v>
      </c>
      <c r="C469" s="306" t="s">
        <v>972</v>
      </c>
      <c r="D469" s="307" t="s">
        <v>1116</v>
      </c>
      <c r="E469" s="308">
        <v>367254.01</v>
      </c>
    </row>
    <row r="470" spans="1:5" customFormat="1" ht="34.5" x14ac:dyDescent="0.25">
      <c r="A470" s="309"/>
      <c r="B470" s="310"/>
      <c r="C470" s="311" t="s">
        <v>676</v>
      </c>
      <c r="D470" s="312"/>
      <c r="E470" s="313"/>
    </row>
    <row r="471" spans="1:5" customFormat="1" ht="15" x14ac:dyDescent="0.25">
      <c r="A471" s="309"/>
      <c r="B471" s="310"/>
      <c r="C471" s="311" t="s">
        <v>1029</v>
      </c>
      <c r="D471" s="312"/>
      <c r="E471" s="313"/>
    </row>
    <row r="472" spans="1:5" customFormat="1" ht="45.75" x14ac:dyDescent="0.25">
      <c r="A472" s="309"/>
      <c r="B472" s="310"/>
      <c r="C472" s="311" t="s">
        <v>681</v>
      </c>
      <c r="D472" s="312"/>
      <c r="E472" s="313"/>
    </row>
    <row r="473" spans="1:5" customFormat="1" ht="15" x14ac:dyDescent="0.25">
      <c r="A473" s="309"/>
      <c r="B473" s="310"/>
      <c r="C473" s="311" t="s">
        <v>1114</v>
      </c>
      <c r="D473" s="312"/>
      <c r="E473" s="309"/>
    </row>
    <row r="474" spans="1:5" customFormat="1" ht="45" x14ac:dyDescent="0.25">
      <c r="A474" s="305" t="s">
        <v>1181</v>
      </c>
      <c r="B474" s="306" t="s">
        <v>983</v>
      </c>
      <c r="C474" s="306" t="s">
        <v>972</v>
      </c>
      <c r="D474" s="307" t="s">
        <v>1117</v>
      </c>
      <c r="E474" s="308">
        <v>34916.11</v>
      </c>
    </row>
    <row r="475" spans="1:5" customFormat="1" ht="15" x14ac:dyDescent="0.25">
      <c r="A475" s="309"/>
      <c r="B475" s="310"/>
      <c r="C475" s="311" t="s">
        <v>1029</v>
      </c>
      <c r="D475" s="312"/>
      <c r="E475" s="313"/>
    </row>
    <row r="476" spans="1:5" customFormat="1" ht="45.75" x14ac:dyDescent="0.25">
      <c r="A476" s="309"/>
      <c r="B476" s="310"/>
      <c r="C476" s="311" t="s">
        <v>681</v>
      </c>
      <c r="D476" s="312"/>
      <c r="E476" s="313"/>
    </row>
    <row r="477" spans="1:5" customFormat="1" ht="15" x14ac:dyDescent="0.25">
      <c r="A477" s="309"/>
      <c r="B477" s="310"/>
      <c r="C477" s="311" t="s">
        <v>1032</v>
      </c>
      <c r="D477" s="312"/>
      <c r="E477" s="309"/>
    </row>
    <row r="478" spans="1:5" customFormat="1" ht="12.75" customHeight="1" x14ac:dyDescent="0.25">
      <c r="A478" s="808" t="s">
        <v>985</v>
      </c>
      <c r="B478" s="809"/>
      <c r="C478" s="809"/>
      <c r="D478" s="809"/>
      <c r="E478" s="810"/>
    </row>
    <row r="479" spans="1:5" customFormat="1" ht="12.75" customHeight="1" x14ac:dyDescent="0.25">
      <c r="A479" s="805" t="s">
        <v>986</v>
      </c>
      <c r="B479" s="806"/>
      <c r="C479" s="806"/>
      <c r="D479" s="806"/>
      <c r="E479" s="807"/>
    </row>
    <row r="480" spans="1:5" customFormat="1" ht="33.75" x14ac:dyDescent="0.25">
      <c r="A480" s="305" t="s">
        <v>995</v>
      </c>
      <c r="B480" s="306" t="s">
        <v>988</v>
      </c>
      <c r="C480" s="306" t="s">
        <v>989</v>
      </c>
      <c r="D480" s="307" t="s">
        <v>990</v>
      </c>
      <c r="E480" s="308">
        <v>72867.09</v>
      </c>
    </row>
    <row r="481" spans="1:5" customFormat="1" ht="45.75" x14ac:dyDescent="0.25">
      <c r="A481" s="309"/>
      <c r="B481" s="310"/>
      <c r="C481" s="311" t="s">
        <v>699</v>
      </c>
      <c r="D481" s="312"/>
      <c r="E481" s="313"/>
    </row>
    <row r="482" spans="1:5" customFormat="1" ht="15" x14ac:dyDescent="0.25">
      <c r="A482" s="309"/>
      <c r="B482" s="310"/>
      <c r="C482" s="311" t="s">
        <v>1118</v>
      </c>
      <c r="D482" s="312"/>
      <c r="E482" s="309"/>
    </row>
    <row r="483" spans="1:5" customFormat="1" ht="12.75" customHeight="1" x14ac:dyDescent="0.25">
      <c r="A483" s="808" t="s">
        <v>992</v>
      </c>
      <c r="B483" s="809"/>
      <c r="C483" s="809"/>
      <c r="D483" s="809"/>
      <c r="E483" s="810"/>
    </row>
    <row r="484" spans="1:5" customFormat="1" ht="56.25" x14ac:dyDescent="0.25">
      <c r="A484" s="305" t="s">
        <v>999</v>
      </c>
      <c r="B484" s="306" t="s">
        <v>994</v>
      </c>
      <c r="C484" s="306" t="s">
        <v>888</v>
      </c>
      <c r="D484" s="307" t="s">
        <v>1092</v>
      </c>
      <c r="E484" s="308">
        <v>4897237.88</v>
      </c>
    </row>
    <row r="485" spans="1:5" customFormat="1" ht="34.5" x14ac:dyDescent="0.25">
      <c r="A485" s="309"/>
      <c r="B485" s="310"/>
      <c r="C485" s="311" t="s">
        <v>740</v>
      </c>
      <c r="D485" s="312"/>
      <c r="E485" s="313"/>
    </row>
    <row r="486" spans="1:5" customFormat="1" ht="15" x14ac:dyDescent="0.25">
      <c r="A486" s="309"/>
      <c r="B486" s="310"/>
      <c r="C486" s="311" t="s">
        <v>1029</v>
      </c>
      <c r="D486" s="312"/>
      <c r="E486" s="313"/>
    </row>
    <row r="487" spans="1:5" customFormat="1" ht="45.75" x14ac:dyDescent="0.25">
      <c r="A487" s="309"/>
      <c r="B487" s="310"/>
      <c r="C487" s="311" t="s">
        <v>890</v>
      </c>
      <c r="D487" s="312"/>
      <c r="E487" s="313"/>
    </row>
    <row r="488" spans="1:5" customFormat="1" ht="15" x14ac:dyDescent="0.25">
      <c r="A488" s="309"/>
      <c r="B488" s="310"/>
      <c r="C488" s="311" t="s">
        <v>1093</v>
      </c>
      <c r="D488" s="312"/>
      <c r="E488" s="309"/>
    </row>
    <row r="489" spans="1:5" customFormat="1" ht="56.25" x14ac:dyDescent="0.25">
      <c r="A489" s="305" t="s">
        <v>1182</v>
      </c>
      <c r="B489" s="306" t="s">
        <v>996</v>
      </c>
      <c r="C489" s="306" t="s">
        <v>888</v>
      </c>
      <c r="D489" s="307" t="s">
        <v>1119</v>
      </c>
      <c r="E489" s="308">
        <v>198268.74</v>
      </c>
    </row>
    <row r="490" spans="1:5" customFormat="1" ht="15" x14ac:dyDescent="0.25">
      <c r="A490" s="309"/>
      <c r="B490" s="310"/>
      <c r="C490" s="311" t="s">
        <v>1029</v>
      </c>
      <c r="D490" s="312"/>
      <c r="E490" s="313"/>
    </row>
    <row r="491" spans="1:5" customFormat="1" ht="45.75" x14ac:dyDescent="0.25">
      <c r="A491" s="309"/>
      <c r="B491" s="310"/>
      <c r="C491" s="311" t="s">
        <v>890</v>
      </c>
      <c r="D491" s="312"/>
      <c r="E491" s="313"/>
    </row>
    <row r="492" spans="1:5" customFormat="1" ht="15" x14ac:dyDescent="0.25">
      <c r="A492" s="309"/>
      <c r="B492" s="310"/>
      <c r="C492" s="311" t="s">
        <v>1120</v>
      </c>
      <c r="D492" s="312"/>
      <c r="E492" s="309"/>
    </row>
    <row r="493" spans="1:5" customFormat="1" ht="12.75" customHeight="1" x14ac:dyDescent="0.25">
      <c r="A493" s="808" t="s">
        <v>998</v>
      </c>
      <c r="B493" s="809"/>
      <c r="C493" s="809"/>
      <c r="D493" s="809"/>
      <c r="E493" s="810"/>
    </row>
    <row r="494" spans="1:5" customFormat="1" ht="45" x14ac:dyDescent="0.25">
      <c r="A494" s="305" t="s">
        <v>1183</v>
      </c>
      <c r="B494" s="306" t="s">
        <v>1000</v>
      </c>
      <c r="C494" s="306" t="s">
        <v>1001</v>
      </c>
      <c r="D494" s="307" t="s">
        <v>1121</v>
      </c>
      <c r="E494" s="308">
        <v>401700.25</v>
      </c>
    </row>
    <row r="495" spans="1:5" customFormat="1" ht="15" x14ac:dyDescent="0.25">
      <c r="A495" s="309"/>
      <c r="B495" s="310"/>
      <c r="C495" s="311" t="s">
        <v>1122</v>
      </c>
      <c r="D495" s="312"/>
      <c r="E495" s="313"/>
    </row>
    <row r="496" spans="1:5" customFormat="1" ht="23.25" x14ac:dyDescent="0.25">
      <c r="A496" s="309"/>
      <c r="B496" s="310"/>
      <c r="C496" s="311" t="s">
        <v>1004</v>
      </c>
      <c r="D496" s="312"/>
      <c r="E496" s="313"/>
    </row>
    <row r="497" spans="1:6" customFormat="1" ht="23.25" x14ac:dyDescent="0.25">
      <c r="A497" s="309"/>
      <c r="B497" s="310"/>
      <c r="C497" s="311" t="s">
        <v>1005</v>
      </c>
      <c r="D497" s="312"/>
      <c r="E497" s="313"/>
    </row>
    <row r="498" spans="1:6" customFormat="1" ht="45.75" x14ac:dyDescent="0.25">
      <c r="A498" s="309"/>
      <c r="B498" s="310"/>
      <c r="C498" s="311" t="s">
        <v>861</v>
      </c>
      <c r="D498" s="312"/>
      <c r="E498" s="313"/>
    </row>
    <row r="499" spans="1:6" customFormat="1" ht="15" x14ac:dyDescent="0.25">
      <c r="A499" s="315"/>
      <c r="B499" s="803" t="s">
        <v>1006</v>
      </c>
      <c r="C499" s="803"/>
      <c r="D499" s="315"/>
      <c r="E499" s="316"/>
    </row>
    <row r="500" spans="1:6" customFormat="1" ht="11.25" customHeight="1" x14ac:dyDescent="0.25">
      <c r="A500" s="315"/>
      <c r="B500" s="804" t="s">
        <v>1007</v>
      </c>
      <c r="C500" s="804"/>
      <c r="D500" s="315"/>
      <c r="E500" s="317" t="s">
        <v>1123</v>
      </c>
    </row>
    <row r="501" spans="1:6" customFormat="1" ht="11.25" customHeight="1" x14ac:dyDescent="0.25">
      <c r="A501" s="315"/>
      <c r="B501" s="804" t="s">
        <v>1009</v>
      </c>
      <c r="C501" s="804"/>
      <c r="D501" s="315"/>
      <c r="E501" s="317" t="s">
        <v>1124</v>
      </c>
    </row>
    <row r="502" spans="1:6" customFormat="1" ht="11.25" customHeight="1" x14ac:dyDescent="0.25">
      <c r="A502" s="315"/>
      <c r="B502" s="804" t="s">
        <v>1011</v>
      </c>
      <c r="C502" s="804"/>
      <c r="D502" s="315"/>
      <c r="E502" s="317" t="s">
        <v>1193</v>
      </c>
    </row>
    <row r="503" spans="1:6" customFormat="1" ht="11.25" customHeight="1" x14ac:dyDescent="0.25">
      <c r="A503" s="315"/>
      <c r="B503" s="804" t="s">
        <v>1012</v>
      </c>
      <c r="C503" s="804"/>
      <c r="D503" s="315"/>
      <c r="E503" s="317" t="s">
        <v>1125</v>
      </c>
    </row>
    <row r="504" spans="1:6" customFormat="1" ht="11.25" customHeight="1" x14ac:dyDescent="0.25">
      <c r="A504" s="315"/>
      <c r="B504" s="804" t="s">
        <v>1014</v>
      </c>
      <c r="C504" s="804"/>
      <c r="D504" s="315"/>
      <c r="E504" s="317" t="s">
        <v>1126</v>
      </c>
    </row>
    <row r="505" spans="1:6" customFormat="1" ht="11.25" customHeight="1" x14ac:dyDescent="0.25">
      <c r="A505" s="315"/>
      <c r="B505" s="804" t="s">
        <v>1016</v>
      </c>
      <c r="C505" s="804"/>
      <c r="D505" s="315"/>
      <c r="E505" s="317" t="s">
        <v>1127</v>
      </c>
    </row>
    <row r="506" spans="1:6" customFormat="1" ht="11.25" customHeight="1" x14ac:dyDescent="0.25">
      <c r="A506" s="315"/>
      <c r="B506" s="804" t="s">
        <v>1018</v>
      </c>
      <c r="C506" s="804"/>
      <c r="D506" s="315"/>
      <c r="E506" s="317" t="s">
        <v>1019</v>
      </c>
    </row>
    <row r="507" spans="1:6" customFormat="1" ht="11.25" customHeight="1" x14ac:dyDescent="0.25">
      <c r="A507" s="315"/>
      <c r="B507" s="804" t="s">
        <v>1020</v>
      </c>
      <c r="C507" s="804"/>
      <c r="D507" s="315"/>
      <c r="E507" s="317" t="s">
        <v>1128</v>
      </c>
    </row>
    <row r="508" spans="1:6" customFormat="1" ht="11.25" customHeight="1" x14ac:dyDescent="0.25">
      <c r="A508" s="315"/>
      <c r="B508" s="804" t="s">
        <v>1022</v>
      </c>
      <c r="C508" s="804"/>
      <c r="D508" s="315"/>
      <c r="E508" s="317" t="s">
        <v>1129</v>
      </c>
    </row>
    <row r="509" spans="1:6" customFormat="1" ht="11.25" customHeight="1" x14ac:dyDescent="0.25">
      <c r="A509" s="315"/>
      <c r="B509" s="804" t="s">
        <v>1024</v>
      </c>
      <c r="C509" s="804"/>
      <c r="D509" s="315"/>
      <c r="E509" s="317" t="s">
        <v>1194</v>
      </c>
    </row>
    <row r="510" spans="1:6" customFormat="1" ht="11.25" customHeight="1" x14ac:dyDescent="0.25">
      <c r="A510" s="315"/>
      <c r="B510" s="803" t="s">
        <v>1025</v>
      </c>
      <c r="C510" s="803"/>
      <c r="D510" s="315"/>
      <c r="E510" s="319">
        <v>25343182.379999999</v>
      </c>
    </row>
    <row r="511" spans="1:6" customFormat="1" ht="11.25" customHeight="1" x14ac:dyDescent="0.25">
      <c r="D511" s="318"/>
      <c r="E511" s="318"/>
      <c r="F511" s="318"/>
    </row>
    <row r="512" spans="1:6" customFormat="1" ht="15" x14ac:dyDescent="0.25">
      <c r="C512" s="291"/>
    </row>
    <row r="513" spans="4:6" customFormat="1" ht="11.25" customHeight="1" x14ac:dyDescent="0.25">
      <c r="D513" s="318"/>
      <c r="E513" s="318"/>
      <c r="F513" s="318"/>
    </row>
  </sheetData>
  <mergeCells count="78">
    <mergeCell ref="A20:E20"/>
    <mergeCell ref="A6:E6"/>
    <mergeCell ref="A4:E4"/>
    <mergeCell ref="A5:E5"/>
    <mergeCell ref="A7:E7"/>
    <mergeCell ref="B10:E10"/>
    <mergeCell ref="A11:E11"/>
    <mergeCell ref="B13:E13"/>
    <mergeCell ref="A14:E14"/>
    <mergeCell ref="A107:E107"/>
    <mergeCell ref="A137:E137"/>
    <mergeCell ref="A151:E151"/>
    <mergeCell ref="A152:E152"/>
    <mergeCell ref="A165:E165"/>
    <mergeCell ref="A38:E38"/>
    <mergeCell ref="A37:E37"/>
    <mergeCell ref="A21:E21"/>
    <mergeCell ref="A22:E22"/>
    <mergeCell ref="A97:E97"/>
    <mergeCell ref="A468:E468"/>
    <mergeCell ref="A355:E355"/>
    <mergeCell ref="A55:E55"/>
    <mergeCell ref="A56:E56"/>
    <mergeCell ref="A69:E69"/>
    <mergeCell ref="A70:E70"/>
    <mergeCell ref="A85:E85"/>
    <mergeCell ref="A122:E122"/>
    <mergeCell ref="A312:E312"/>
    <mergeCell ref="A327:E327"/>
    <mergeCell ref="A332:E332"/>
    <mergeCell ref="A334:E334"/>
    <mergeCell ref="A335:E335"/>
    <mergeCell ref="A282:E282"/>
    <mergeCell ref="A292:E292"/>
    <mergeCell ref="A302:E302"/>
    <mergeCell ref="A175:E175"/>
    <mergeCell ref="A185:E185"/>
    <mergeCell ref="A198:E198"/>
    <mergeCell ref="A199:E199"/>
    <mergeCell ref="A209:E209"/>
    <mergeCell ref="A219:E219"/>
    <mergeCell ref="A229:E229"/>
    <mergeCell ref="A249:E249"/>
    <mergeCell ref="A251:E251"/>
    <mergeCell ref="A268:E268"/>
    <mergeCell ref="A253:E253"/>
    <mergeCell ref="A239:E239"/>
    <mergeCell ref="A345:E345"/>
    <mergeCell ref="A367:E367"/>
    <mergeCell ref="A369:E369"/>
    <mergeCell ref="A379:E379"/>
    <mergeCell ref="A383:E383"/>
    <mergeCell ref="A384:E384"/>
    <mergeCell ref="A394:E394"/>
    <mergeCell ref="A404:E404"/>
    <mergeCell ref="A416:E416"/>
    <mergeCell ref="A426:E426"/>
    <mergeCell ref="A427:E427"/>
    <mergeCell ref="A437:E437"/>
    <mergeCell ref="A447:E447"/>
    <mergeCell ref="A457:E457"/>
    <mergeCell ref="A458:E458"/>
    <mergeCell ref="A478:E478"/>
    <mergeCell ref="A479:E479"/>
    <mergeCell ref="A483:E483"/>
    <mergeCell ref="A493:E493"/>
    <mergeCell ref="B499:C499"/>
    <mergeCell ref="B500:C500"/>
    <mergeCell ref="B501:C501"/>
    <mergeCell ref="B502:C502"/>
    <mergeCell ref="B503:C503"/>
    <mergeCell ref="B504:C504"/>
    <mergeCell ref="B510:C510"/>
    <mergeCell ref="B505:C505"/>
    <mergeCell ref="B506:C506"/>
    <mergeCell ref="B507:C507"/>
    <mergeCell ref="B508:C508"/>
    <mergeCell ref="B509:C509"/>
  </mergeCells>
  <pageMargins left="0.4" right="0.4" top="0.75" bottom="0.75" header="0.3" footer="0.3"/>
  <pageSetup paperSize="9"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1"/>
  <sheetViews>
    <sheetView workbookViewId="0">
      <selection activeCell="A2" sqref="A2:F2"/>
    </sheetView>
  </sheetViews>
  <sheetFormatPr defaultRowHeight="15" x14ac:dyDescent="0.25"/>
  <cols>
    <col min="1" max="1" width="23.42578125" customWidth="1"/>
    <col min="2" max="2" width="29.28515625" customWidth="1"/>
    <col min="3" max="3" width="28.140625" customWidth="1"/>
    <col min="4" max="4" width="18.7109375" customWidth="1"/>
    <col min="5" max="5" width="19.7109375" customWidth="1"/>
    <col min="6" max="6" width="16.85546875" customWidth="1"/>
  </cols>
  <sheetData>
    <row r="1" spans="1:11" x14ac:dyDescent="0.25">
      <c r="A1" s="819" t="s">
        <v>152</v>
      </c>
      <c r="B1" s="819"/>
      <c r="C1" s="819"/>
      <c r="D1" s="819"/>
      <c r="E1" s="819"/>
      <c r="F1" s="819"/>
    </row>
    <row r="2" spans="1:11" ht="57.75" customHeight="1" x14ac:dyDescent="0.25">
      <c r="A2" s="820" t="str">
        <f>НМЦ!A3</f>
        <v>Всесезонный туристско-рекреационный комплекс «Эльбрус», Кабардино-Балкарская Республика. Пассажирская подвесная канатная дорога и буксировочная канатная дорога, расположенные по адресу: южный склон г. Эльбрус в районе ледника Гарабаши</v>
      </c>
      <c r="B2" s="820"/>
      <c r="C2" s="820"/>
      <c r="D2" s="820"/>
      <c r="E2" s="820"/>
      <c r="F2" s="820"/>
    </row>
    <row r="4" spans="1:11" ht="87" customHeight="1" x14ac:dyDescent="0.25">
      <c r="A4" s="121" t="s">
        <v>1131</v>
      </c>
      <c r="B4" s="120" t="s">
        <v>1132</v>
      </c>
      <c r="C4" s="120" t="s">
        <v>1133</v>
      </c>
      <c r="D4" s="121" t="s">
        <v>1134</v>
      </c>
      <c r="E4" s="121" t="s">
        <v>154</v>
      </c>
      <c r="F4" s="121" t="s">
        <v>153</v>
      </c>
    </row>
    <row r="5" spans="1:11" ht="222.75" customHeight="1" x14ac:dyDescent="0.25">
      <c r="A5" s="121" t="s">
        <v>1130</v>
      </c>
      <c r="B5" s="320">
        <f>ПД!E510</f>
        <v>15596885.720000001</v>
      </c>
      <c r="C5" s="320">
        <f>РД!E510</f>
        <v>25343182.379999999</v>
      </c>
      <c r="D5" s="320">
        <f>C5+B5</f>
        <v>40940068.100000001</v>
      </c>
      <c r="E5" s="321">
        <v>0.04</v>
      </c>
      <c r="F5" s="320">
        <f>D5*E5</f>
        <v>1637602.72</v>
      </c>
    </row>
    <row r="11" spans="1:11" x14ac:dyDescent="0.25">
      <c r="A11" s="235"/>
      <c r="B11" s="235"/>
      <c r="C11" s="235"/>
      <c r="D11" s="235"/>
      <c r="E11" s="235"/>
      <c r="F11" s="235"/>
      <c r="G11" s="235"/>
      <c r="H11" s="235"/>
      <c r="I11" s="235"/>
      <c r="J11" s="235"/>
      <c r="K11" s="235"/>
    </row>
    <row r="12" spans="1:11" x14ac:dyDescent="0.25">
      <c r="A12" s="235"/>
      <c r="B12" s="235"/>
      <c r="C12" s="235"/>
      <c r="D12" s="235"/>
      <c r="E12" s="235"/>
      <c r="F12" s="235"/>
      <c r="G12" s="235"/>
      <c r="H12" s="235"/>
      <c r="I12" s="235"/>
      <c r="J12" s="235"/>
      <c r="K12" s="235"/>
    </row>
    <row r="13" spans="1:11" x14ac:dyDescent="0.25">
      <c r="A13" s="235"/>
      <c r="B13" s="235"/>
      <c r="C13" s="235"/>
      <c r="D13" s="235"/>
      <c r="E13" s="235"/>
      <c r="F13" s="235"/>
      <c r="G13" s="235"/>
      <c r="H13" s="235"/>
      <c r="I13" s="235"/>
      <c r="J13" s="235"/>
      <c r="K13" s="235"/>
    </row>
    <row r="14" spans="1:11" s="264" customFormat="1" x14ac:dyDescent="0.25"/>
    <row r="15" spans="1:11" s="264" customFormat="1" x14ac:dyDescent="0.25"/>
    <row r="16" spans="1:11" x14ac:dyDescent="0.25">
      <c r="A16" s="235"/>
      <c r="B16" s="235"/>
      <c r="C16" s="235"/>
      <c r="D16" s="235"/>
      <c r="E16" s="235"/>
      <c r="F16" s="235"/>
      <c r="G16" s="235"/>
      <c r="H16" s="235"/>
      <c r="I16" s="235"/>
      <c r="J16" s="235"/>
      <c r="K16" s="235"/>
    </row>
    <row r="17" spans="1:11" x14ac:dyDescent="0.25">
      <c r="A17" s="235"/>
      <c r="B17" s="235"/>
      <c r="C17" s="235"/>
      <c r="D17" s="235"/>
      <c r="E17" s="235"/>
      <c r="F17" s="235"/>
      <c r="G17" s="235"/>
      <c r="H17" s="235"/>
      <c r="I17" s="235"/>
      <c r="J17" s="235"/>
      <c r="K17" s="235"/>
    </row>
    <row r="18" spans="1:11" x14ac:dyDescent="0.25">
      <c r="A18" s="235"/>
      <c r="B18" s="235"/>
      <c r="C18" s="235"/>
      <c r="D18" s="235"/>
      <c r="E18" s="235"/>
      <c r="F18" s="235"/>
      <c r="G18" s="235"/>
      <c r="H18" s="235"/>
      <c r="I18" s="235"/>
      <c r="J18" s="235"/>
      <c r="K18" s="235"/>
    </row>
    <row r="19" spans="1:11" x14ac:dyDescent="0.25">
      <c r="A19" t="s">
        <v>648</v>
      </c>
    </row>
    <row r="21" spans="1:11" s="235" customFormat="1" x14ac:dyDescent="0.25"/>
  </sheetData>
  <mergeCells count="2">
    <mergeCell ref="A1:F1"/>
    <mergeCell ref="A2:F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
  <sheetViews>
    <sheetView workbookViewId="0">
      <selection activeCell="Q42" sqref="Q42"/>
    </sheetView>
  </sheetViews>
  <sheetFormatPr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R36"/>
  <sheetViews>
    <sheetView workbookViewId="0">
      <selection activeCell="R13" sqref="R13"/>
    </sheetView>
  </sheetViews>
  <sheetFormatPr defaultRowHeight="15" outlineLevelCol="1" x14ac:dyDescent="0.25"/>
  <cols>
    <col min="1" max="1" width="5.28515625" style="529" customWidth="1"/>
    <col min="2" max="2" width="18.140625" style="529" customWidth="1"/>
    <col min="3" max="3" width="30.140625" style="529" customWidth="1"/>
    <col min="4" max="4" width="24" style="529" customWidth="1"/>
    <col min="5" max="5" width="9.85546875" style="529" customWidth="1"/>
    <col min="6" max="6" width="9.140625" style="529"/>
    <col min="7" max="7" width="13.5703125" style="529" customWidth="1"/>
    <col min="8" max="8" width="14.5703125" style="529" customWidth="1"/>
    <col min="9" max="12" width="0" style="529" hidden="1" customWidth="1" outlineLevel="1"/>
    <col min="13" max="13" width="9.140625" style="529" collapsed="1"/>
    <col min="14" max="14" width="9.140625" style="529"/>
    <col min="15" max="15" width="18" style="529" customWidth="1"/>
    <col min="16" max="16" width="13.140625" style="529" customWidth="1"/>
    <col min="17" max="18" width="9.140625" style="529"/>
    <col min="19" max="19" width="18.140625" style="529" customWidth="1"/>
    <col min="20" max="16384" width="9.140625" style="529"/>
  </cols>
  <sheetData>
    <row r="1" spans="1:21" ht="18.75" x14ac:dyDescent="0.3">
      <c r="A1" s="822" t="s">
        <v>1136</v>
      </c>
      <c r="B1" s="822"/>
      <c r="C1" s="822"/>
      <c r="D1" s="822"/>
      <c r="E1" s="822"/>
      <c r="F1" s="822"/>
      <c r="G1" s="822"/>
      <c r="H1" s="822"/>
      <c r="I1" s="822"/>
      <c r="J1" s="822"/>
      <c r="K1" s="822"/>
      <c r="L1" s="822"/>
      <c r="M1" s="822"/>
      <c r="N1" s="822"/>
      <c r="O1" s="822"/>
      <c r="P1" s="822"/>
      <c r="Q1" s="822"/>
      <c r="R1" s="822"/>
      <c r="S1" s="822"/>
      <c r="T1" s="822"/>
      <c r="U1" s="822"/>
    </row>
    <row r="2" spans="1:21" x14ac:dyDescent="0.25">
      <c r="A2" s="530"/>
      <c r="B2" s="530"/>
      <c r="C2" s="530"/>
      <c r="D2" s="530"/>
      <c r="E2" s="530"/>
      <c r="F2" s="530"/>
      <c r="G2" s="530"/>
      <c r="H2" s="530"/>
      <c r="I2" s="530"/>
      <c r="J2" s="530"/>
      <c r="K2" s="530"/>
      <c r="L2" s="530"/>
      <c r="M2" s="530"/>
      <c r="N2" s="530"/>
      <c r="O2" s="530"/>
      <c r="P2" s="530"/>
      <c r="Q2" s="530"/>
      <c r="R2" s="530"/>
      <c r="S2" s="530"/>
      <c r="T2" s="530"/>
      <c r="U2" s="530"/>
    </row>
    <row r="3" spans="1:21" x14ac:dyDescent="0.25">
      <c r="A3" s="823" t="s">
        <v>1384</v>
      </c>
      <c r="B3" s="823"/>
      <c r="C3" s="823"/>
      <c r="D3" s="823"/>
      <c r="E3" s="823"/>
      <c r="F3" s="823"/>
      <c r="G3" s="823"/>
      <c r="H3" s="823"/>
      <c r="I3" s="823"/>
      <c r="J3" s="823"/>
      <c r="K3" s="823"/>
      <c r="L3" s="823"/>
      <c r="M3" s="823"/>
      <c r="N3" s="823"/>
      <c r="O3" s="823"/>
      <c r="P3" s="823"/>
      <c r="Q3" s="823"/>
      <c r="R3" s="823"/>
      <c r="S3" s="823"/>
      <c r="T3" s="823"/>
      <c r="U3" s="823"/>
    </row>
    <row r="4" spans="1:21" x14ac:dyDescent="0.25">
      <c r="A4" s="824" t="s">
        <v>1385</v>
      </c>
      <c r="B4" s="824"/>
      <c r="C4" s="824"/>
      <c r="D4" s="824"/>
      <c r="E4" s="824"/>
      <c r="F4" s="824"/>
      <c r="G4" s="824"/>
      <c r="H4" s="824"/>
      <c r="I4" s="824"/>
      <c r="J4" s="824"/>
      <c r="K4" s="824"/>
      <c r="L4" s="824"/>
      <c r="M4" s="824"/>
      <c r="N4" s="824"/>
      <c r="O4" s="824"/>
      <c r="P4" s="824"/>
      <c r="Q4" s="824"/>
      <c r="R4" s="824"/>
      <c r="S4" s="824"/>
      <c r="T4" s="824"/>
      <c r="U4" s="824"/>
    </row>
    <row r="5" spans="1:21" x14ac:dyDescent="0.25">
      <c r="A5" s="825"/>
      <c r="B5" s="825"/>
      <c r="C5" s="825"/>
      <c r="D5" s="825"/>
      <c r="E5" s="825"/>
      <c r="F5" s="825"/>
      <c r="G5" s="825"/>
      <c r="H5" s="825"/>
      <c r="I5" s="825"/>
      <c r="J5" s="825"/>
      <c r="K5" s="825"/>
      <c r="L5" s="825"/>
      <c r="M5" s="825"/>
      <c r="N5" s="825"/>
      <c r="O5" s="825"/>
      <c r="P5" s="825"/>
      <c r="Q5" s="825"/>
      <c r="R5" s="825"/>
      <c r="S5" s="825"/>
      <c r="T5" s="825"/>
      <c r="U5" s="825"/>
    </row>
    <row r="6" spans="1:21" x14ac:dyDescent="0.25">
      <c r="A6" s="531"/>
      <c r="B6" s="532"/>
      <c r="C6" s="532"/>
      <c r="D6" s="532"/>
      <c r="E6" s="532"/>
      <c r="F6" s="532"/>
      <c r="G6" s="532"/>
      <c r="H6" s="532"/>
      <c r="I6" s="532"/>
      <c r="J6" s="532"/>
      <c r="K6" s="532"/>
      <c r="L6" s="532"/>
      <c r="M6" s="532"/>
      <c r="N6" s="532"/>
      <c r="O6" s="532"/>
      <c r="P6" s="532"/>
      <c r="Q6" s="532"/>
      <c r="R6" s="532"/>
      <c r="S6" s="531"/>
      <c r="T6" s="531"/>
      <c r="U6" s="533"/>
    </row>
    <row r="7" spans="1:21" x14ac:dyDescent="0.25">
      <c r="A7" s="826" t="s">
        <v>79</v>
      </c>
      <c r="B7" s="826" t="s">
        <v>1386</v>
      </c>
      <c r="C7" s="821" t="s">
        <v>1387</v>
      </c>
      <c r="D7" s="821" t="s">
        <v>1388</v>
      </c>
      <c r="E7" s="821" t="s">
        <v>569</v>
      </c>
      <c r="F7" s="821" t="s">
        <v>1389</v>
      </c>
      <c r="G7" s="821" t="s">
        <v>1390</v>
      </c>
      <c r="H7" s="821" t="s">
        <v>1391</v>
      </c>
      <c r="I7" s="821" t="s">
        <v>1392</v>
      </c>
      <c r="J7" s="821" t="s">
        <v>1393</v>
      </c>
      <c r="K7" s="821"/>
      <c r="L7" s="821" t="s">
        <v>1394</v>
      </c>
      <c r="M7" s="821" t="s">
        <v>1395</v>
      </c>
      <c r="N7" s="821" t="s">
        <v>1396</v>
      </c>
      <c r="O7" s="821" t="s">
        <v>1397</v>
      </c>
      <c r="P7" s="821" t="s">
        <v>1398</v>
      </c>
      <c r="Q7" s="821" t="s">
        <v>1399</v>
      </c>
      <c r="R7" s="821" t="s">
        <v>1400</v>
      </c>
      <c r="S7" s="821" t="s">
        <v>1401</v>
      </c>
      <c r="T7" s="821" t="s">
        <v>1402</v>
      </c>
      <c r="U7" s="821" t="s">
        <v>1403</v>
      </c>
    </row>
    <row r="8" spans="1:21" ht="126.75" customHeight="1" x14ac:dyDescent="0.25">
      <c r="A8" s="826"/>
      <c r="B8" s="826"/>
      <c r="C8" s="821"/>
      <c r="D8" s="821"/>
      <c r="E8" s="821"/>
      <c r="F8" s="821"/>
      <c r="G8" s="821"/>
      <c r="H8" s="821"/>
      <c r="I8" s="821"/>
      <c r="J8" s="534" t="s">
        <v>411</v>
      </c>
      <c r="K8" s="534" t="s">
        <v>1404</v>
      </c>
      <c r="L8" s="821"/>
      <c r="M8" s="821"/>
      <c r="N8" s="821"/>
      <c r="O8" s="821"/>
      <c r="P8" s="821"/>
      <c r="Q8" s="821"/>
      <c r="R8" s="821"/>
      <c r="S8" s="821"/>
      <c r="T8" s="821"/>
      <c r="U8" s="821"/>
    </row>
    <row r="9" spans="1:21" x14ac:dyDescent="0.25">
      <c r="A9" s="535">
        <v>1</v>
      </c>
      <c r="B9" s="535">
        <v>2</v>
      </c>
      <c r="C9" s="535">
        <v>3</v>
      </c>
      <c r="D9" s="535">
        <v>4</v>
      </c>
      <c r="E9" s="535">
        <v>5</v>
      </c>
      <c r="F9" s="535">
        <v>6</v>
      </c>
      <c r="G9" s="535">
        <v>7</v>
      </c>
      <c r="H9" s="535">
        <v>8</v>
      </c>
      <c r="I9" s="535">
        <v>9</v>
      </c>
      <c r="J9" s="535">
        <v>10</v>
      </c>
      <c r="K9" s="535">
        <v>11</v>
      </c>
      <c r="L9" s="535">
        <v>12</v>
      </c>
      <c r="M9" s="535">
        <v>13</v>
      </c>
      <c r="N9" s="535">
        <v>14</v>
      </c>
      <c r="O9" s="535">
        <v>15</v>
      </c>
      <c r="P9" s="535">
        <v>16</v>
      </c>
      <c r="Q9" s="535">
        <v>17</v>
      </c>
      <c r="R9" s="535">
        <v>18</v>
      </c>
      <c r="S9" s="535">
        <v>19</v>
      </c>
      <c r="T9" s="535">
        <v>20</v>
      </c>
      <c r="U9" s="535">
        <v>21</v>
      </c>
    </row>
    <row r="10" spans="1:21" x14ac:dyDescent="0.25">
      <c r="A10" s="536"/>
      <c r="B10" s="536"/>
      <c r="C10" s="537"/>
      <c r="D10" s="536"/>
      <c r="E10" s="536"/>
      <c r="F10" s="536"/>
      <c r="G10" s="536"/>
      <c r="H10" s="536"/>
      <c r="I10" s="536"/>
      <c r="J10" s="536"/>
      <c r="K10" s="536"/>
      <c r="L10" s="536"/>
      <c r="M10" s="536"/>
      <c r="N10" s="536"/>
      <c r="O10" s="536"/>
      <c r="P10" s="536"/>
      <c r="Q10" s="536"/>
      <c r="R10" s="536"/>
      <c r="S10" s="536"/>
      <c r="T10" s="536"/>
      <c r="U10" s="536"/>
    </row>
    <row r="11" spans="1:21" ht="120" x14ac:dyDescent="0.25">
      <c r="A11" s="538" t="s">
        <v>2</v>
      </c>
      <c r="B11" s="536"/>
      <c r="C11" s="539" t="s">
        <v>1135</v>
      </c>
      <c r="D11" s="540" t="s">
        <v>1405</v>
      </c>
      <c r="E11" s="541" t="s">
        <v>1406</v>
      </c>
      <c r="F11" s="541">
        <v>1</v>
      </c>
      <c r="G11" s="542">
        <v>2500000</v>
      </c>
      <c r="H11" s="542">
        <f>G11/1.22</f>
        <v>2049180.33</v>
      </c>
      <c r="I11" s="536"/>
      <c r="J11" s="536"/>
      <c r="K11" s="536"/>
      <c r="L11" s="536"/>
      <c r="M11" s="541">
        <v>2026</v>
      </c>
      <c r="N11" s="541">
        <v>3</v>
      </c>
      <c r="O11" s="541" t="s">
        <v>1407</v>
      </c>
      <c r="P11" s="543" t="s">
        <v>1408</v>
      </c>
      <c r="Q11" s="543" t="s">
        <v>1409</v>
      </c>
      <c r="R11" s="541"/>
      <c r="S11" s="544" t="s">
        <v>1410</v>
      </c>
      <c r="T11" s="541"/>
      <c r="U11" s="541"/>
    </row>
    <row r="12" spans="1:21" ht="120" x14ac:dyDescent="0.25">
      <c r="A12" s="538" t="s">
        <v>3</v>
      </c>
      <c r="B12" s="536"/>
      <c r="C12" s="539" t="s">
        <v>1135</v>
      </c>
      <c r="D12" s="540" t="s">
        <v>1411</v>
      </c>
      <c r="E12" s="541" t="s">
        <v>1406</v>
      </c>
      <c r="F12" s="541">
        <v>1</v>
      </c>
      <c r="G12" s="542">
        <v>3000000</v>
      </c>
      <c r="H12" s="542">
        <f t="shared" ref="H12:H25" si="0">G12/1.22</f>
        <v>2459016.39</v>
      </c>
      <c r="I12" s="536"/>
      <c r="J12" s="536"/>
      <c r="K12" s="536"/>
      <c r="L12" s="536"/>
      <c r="M12" s="541">
        <v>2026</v>
      </c>
      <c r="N12" s="541">
        <v>3</v>
      </c>
      <c r="O12" s="541" t="s">
        <v>1412</v>
      </c>
      <c r="P12" s="543" t="s">
        <v>1413</v>
      </c>
      <c r="Q12" s="543" t="s">
        <v>1414</v>
      </c>
      <c r="R12" s="536"/>
      <c r="S12" s="545" t="s">
        <v>1415</v>
      </c>
      <c r="T12" s="536"/>
      <c r="U12" s="536"/>
    </row>
    <row r="13" spans="1:21" ht="69.75" customHeight="1" x14ac:dyDescent="0.25">
      <c r="A13" s="538" t="s">
        <v>24</v>
      </c>
      <c r="B13" s="536"/>
      <c r="C13" s="539" t="s">
        <v>1135</v>
      </c>
      <c r="D13" s="540" t="s">
        <v>1405</v>
      </c>
      <c r="E13" s="541" t="s">
        <v>1406</v>
      </c>
      <c r="F13" s="541">
        <v>1</v>
      </c>
      <c r="G13" s="542">
        <v>2600000</v>
      </c>
      <c r="H13" s="542">
        <f t="shared" si="0"/>
        <v>2131147.54</v>
      </c>
      <c r="I13" s="536"/>
      <c r="J13" s="536"/>
      <c r="K13" s="536"/>
      <c r="L13" s="536"/>
      <c r="M13" s="541">
        <v>2026</v>
      </c>
      <c r="N13" s="541">
        <v>3</v>
      </c>
      <c r="O13" s="541" t="s">
        <v>1416</v>
      </c>
      <c r="P13" s="543" t="s">
        <v>1417</v>
      </c>
      <c r="Q13" s="543" t="s">
        <v>1418</v>
      </c>
      <c r="R13" s="536"/>
      <c r="S13" s="545" t="s">
        <v>1419</v>
      </c>
      <c r="T13" s="536"/>
      <c r="U13" s="536"/>
    </row>
    <row r="14" spans="1:21" ht="120" x14ac:dyDescent="0.25">
      <c r="A14" s="538" t="s">
        <v>5</v>
      </c>
      <c r="B14" s="536"/>
      <c r="C14" s="539" t="s">
        <v>1420</v>
      </c>
      <c r="D14" s="540" t="s">
        <v>1421</v>
      </c>
      <c r="E14" s="541" t="s">
        <v>1406</v>
      </c>
      <c r="F14" s="541">
        <v>1</v>
      </c>
      <c r="G14" s="542">
        <v>2500000</v>
      </c>
      <c r="H14" s="542">
        <f t="shared" si="0"/>
        <v>2049180.33</v>
      </c>
      <c r="I14" s="536"/>
      <c r="J14" s="536"/>
      <c r="K14" s="536"/>
      <c r="L14" s="536"/>
      <c r="M14" s="541">
        <v>2026</v>
      </c>
      <c r="N14" s="541">
        <v>3</v>
      </c>
      <c r="O14" s="541" t="s">
        <v>1407</v>
      </c>
      <c r="P14" s="543" t="s">
        <v>1408</v>
      </c>
      <c r="Q14" s="543" t="s">
        <v>1409</v>
      </c>
      <c r="R14" s="541"/>
      <c r="S14" s="544" t="s">
        <v>1410</v>
      </c>
      <c r="T14" s="536"/>
      <c r="U14" s="536"/>
    </row>
    <row r="15" spans="1:21" ht="120" x14ac:dyDescent="0.25">
      <c r="A15" s="538" t="s">
        <v>6</v>
      </c>
      <c r="B15" s="536"/>
      <c r="C15" s="539" t="s">
        <v>1422</v>
      </c>
      <c r="D15" s="540" t="s">
        <v>1421</v>
      </c>
      <c r="E15" s="541" t="s">
        <v>1406</v>
      </c>
      <c r="F15" s="541">
        <v>1</v>
      </c>
      <c r="G15" s="542">
        <v>2800000</v>
      </c>
      <c r="H15" s="542">
        <f t="shared" si="0"/>
        <v>2295081.9700000002</v>
      </c>
      <c r="I15" s="536"/>
      <c r="J15" s="536"/>
      <c r="K15" s="536"/>
      <c r="L15" s="536"/>
      <c r="M15" s="541">
        <v>2026</v>
      </c>
      <c r="N15" s="541">
        <v>3</v>
      </c>
      <c r="O15" s="541" t="s">
        <v>1412</v>
      </c>
      <c r="P15" s="543" t="s">
        <v>1413</v>
      </c>
      <c r="Q15" s="543" t="s">
        <v>1414</v>
      </c>
      <c r="R15" s="536"/>
      <c r="S15" s="545" t="s">
        <v>1415</v>
      </c>
      <c r="T15" s="536"/>
      <c r="U15" s="536"/>
    </row>
    <row r="16" spans="1:21" ht="90" x14ac:dyDescent="0.25">
      <c r="A16" s="546" t="s">
        <v>221</v>
      </c>
      <c r="B16" s="547"/>
      <c r="C16" s="539" t="s">
        <v>1420</v>
      </c>
      <c r="D16" s="540" t="s">
        <v>1421</v>
      </c>
      <c r="E16" s="541" t="s">
        <v>1406</v>
      </c>
      <c r="F16" s="541">
        <v>1</v>
      </c>
      <c r="G16" s="548">
        <v>3000000</v>
      </c>
      <c r="H16" s="542">
        <f t="shared" si="0"/>
        <v>2459016.39</v>
      </c>
      <c r="I16" s="547"/>
      <c r="J16" s="547"/>
      <c r="K16" s="547"/>
      <c r="L16" s="547"/>
      <c r="M16" s="541">
        <v>2026</v>
      </c>
      <c r="N16" s="541">
        <v>3</v>
      </c>
      <c r="O16" s="541" t="s">
        <v>1416</v>
      </c>
      <c r="P16" s="543" t="s">
        <v>1417</v>
      </c>
      <c r="Q16" s="543" t="s">
        <v>1418</v>
      </c>
      <c r="R16" s="536"/>
      <c r="S16" s="545" t="s">
        <v>1419</v>
      </c>
      <c r="T16" s="547"/>
      <c r="U16" s="547"/>
    </row>
    <row r="17" spans="1:954" ht="120" x14ac:dyDescent="0.25">
      <c r="A17" s="546" t="s">
        <v>217</v>
      </c>
      <c r="B17" s="547"/>
      <c r="C17" s="539" t="s">
        <v>1423</v>
      </c>
      <c r="D17" s="549" t="s">
        <v>1424</v>
      </c>
      <c r="E17" s="541" t="s">
        <v>1406</v>
      </c>
      <c r="F17" s="541">
        <v>1</v>
      </c>
      <c r="G17" s="542">
        <v>2000000</v>
      </c>
      <c r="H17" s="542">
        <f t="shared" si="0"/>
        <v>1639344.26</v>
      </c>
      <c r="I17" s="547"/>
      <c r="J17" s="547"/>
      <c r="K17" s="547"/>
      <c r="L17" s="547"/>
      <c r="M17" s="541">
        <v>2026</v>
      </c>
      <c r="N17" s="541">
        <v>3</v>
      </c>
      <c r="O17" s="541" t="s">
        <v>1407</v>
      </c>
      <c r="P17" s="543" t="s">
        <v>1408</v>
      </c>
      <c r="Q17" s="543" t="s">
        <v>1409</v>
      </c>
      <c r="R17" s="541"/>
      <c r="S17" s="544" t="s">
        <v>1410</v>
      </c>
      <c r="T17" s="547"/>
      <c r="U17" s="547"/>
    </row>
    <row r="18" spans="1:954" ht="120" x14ac:dyDescent="0.25">
      <c r="A18" s="546" t="s">
        <v>216</v>
      </c>
      <c r="B18" s="547"/>
      <c r="C18" s="539" t="s">
        <v>1423</v>
      </c>
      <c r="D18" s="549" t="s">
        <v>1424</v>
      </c>
      <c r="E18" s="541" t="s">
        <v>1406</v>
      </c>
      <c r="F18" s="541">
        <v>1</v>
      </c>
      <c r="G18" s="548">
        <v>2500000</v>
      </c>
      <c r="H18" s="542">
        <f t="shared" si="0"/>
        <v>2049180.33</v>
      </c>
      <c r="I18" s="547"/>
      <c r="J18" s="547"/>
      <c r="K18" s="547"/>
      <c r="L18" s="547"/>
      <c r="M18" s="541">
        <v>2026</v>
      </c>
      <c r="N18" s="541">
        <v>3</v>
      </c>
      <c r="O18" s="541" t="s">
        <v>1412</v>
      </c>
      <c r="P18" s="543" t="s">
        <v>1413</v>
      </c>
      <c r="Q18" s="543" t="s">
        <v>1414</v>
      </c>
      <c r="R18" s="536"/>
      <c r="S18" s="545" t="s">
        <v>1415</v>
      </c>
      <c r="T18" s="547"/>
      <c r="U18" s="547"/>
    </row>
    <row r="19" spans="1:954" ht="60" x14ac:dyDescent="0.25">
      <c r="A19" s="546" t="s">
        <v>215</v>
      </c>
      <c r="B19" s="547"/>
      <c r="C19" s="539" t="s">
        <v>1423</v>
      </c>
      <c r="D19" s="549" t="s">
        <v>1424</v>
      </c>
      <c r="E19" s="541" t="s">
        <v>1406</v>
      </c>
      <c r="F19" s="541">
        <v>1</v>
      </c>
      <c r="G19" s="548">
        <v>2400000</v>
      </c>
      <c r="H19" s="542">
        <f t="shared" si="0"/>
        <v>1967213.11</v>
      </c>
      <c r="I19" s="547"/>
      <c r="J19" s="547"/>
      <c r="K19" s="547"/>
      <c r="L19" s="547"/>
      <c r="M19" s="541">
        <v>2026</v>
      </c>
      <c r="N19" s="541">
        <v>3</v>
      </c>
      <c r="O19" s="541" t="s">
        <v>1416</v>
      </c>
      <c r="P19" s="543" t="s">
        <v>1417</v>
      </c>
      <c r="Q19" s="543" t="s">
        <v>1418</v>
      </c>
      <c r="R19" s="536"/>
      <c r="S19" s="545" t="s">
        <v>1419</v>
      </c>
      <c r="T19" s="547"/>
      <c r="U19" s="547"/>
    </row>
    <row r="20" spans="1:954" s="536" customFormat="1" ht="120" x14ac:dyDescent="0.25">
      <c r="A20" s="538" t="s">
        <v>211</v>
      </c>
      <c r="C20" s="550" t="s">
        <v>1425</v>
      </c>
      <c r="D20" s="540" t="s">
        <v>1426</v>
      </c>
      <c r="E20" s="541" t="s">
        <v>1406</v>
      </c>
      <c r="F20" s="541">
        <v>1</v>
      </c>
      <c r="G20" s="542">
        <v>900000</v>
      </c>
      <c r="H20" s="542">
        <f t="shared" si="0"/>
        <v>737704.92</v>
      </c>
      <c r="M20" s="541">
        <v>2026</v>
      </c>
      <c r="N20" s="541">
        <v>3</v>
      </c>
      <c r="O20" s="541" t="s">
        <v>1407</v>
      </c>
      <c r="P20" s="543" t="s">
        <v>1408</v>
      </c>
      <c r="Q20" s="543" t="s">
        <v>1409</v>
      </c>
      <c r="R20" s="541"/>
      <c r="S20" s="544" t="s">
        <v>1410</v>
      </c>
      <c r="V20" s="551"/>
      <c r="W20" s="551"/>
      <c r="X20" s="551"/>
      <c r="Y20" s="551"/>
      <c r="Z20" s="551"/>
      <c r="AA20" s="551"/>
      <c r="AB20" s="551"/>
      <c r="AC20" s="551"/>
      <c r="AD20" s="551"/>
      <c r="AE20" s="551"/>
      <c r="AF20" s="551"/>
      <c r="AG20" s="551"/>
      <c r="AH20" s="551"/>
      <c r="AI20" s="551"/>
      <c r="AJ20" s="551"/>
      <c r="AK20" s="551"/>
      <c r="AL20" s="551"/>
      <c r="AM20" s="551"/>
      <c r="AN20" s="551"/>
      <c r="AO20" s="551"/>
      <c r="AP20" s="551"/>
      <c r="AQ20" s="551"/>
      <c r="AR20" s="551"/>
      <c r="AS20" s="551"/>
      <c r="AT20" s="551"/>
      <c r="AU20" s="551"/>
      <c r="AV20" s="551"/>
      <c r="AW20" s="551"/>
      <c r="AX20" s="551"/>
      <c r="AY20" s="551"/>
      <c r="AZ20" s="551"/>
      <c r="BA20" s="551"/>
      <c r="BB20" s="551"/>
      <c r="BC20" s="551"/>
      <c r="BD20" s="551"/>
      <c r="BE20" s="551"/>
      <c r="BF20" s="551"/>
      <c r="BG20" s="551"/>
      <c r="BH20" s="551"/>
      <c r="BI20" s="551"/>
      <c r="BJ20" s="551"/>
      <c r="BK20" s="551"/>
      <c r="BL20" s="551"/>
      <c r="BM20" s="551"/>
      <c r="BN20" s="551"/>
      <c r="BO20" s="551"/>
      <c r="BP20" s="551"/>
      <c r="BQ20" s="551"/>
      <c r="BR20" s="551"/>
      <c r="BS20" s="551"/>
      <c r="BT20" s="551"/>
      <c r="BU20" s="551"/>
      <c r="BV20" s="551"/>
      <c r="BW20" s="551"/>
      <c r="BX20" s="551"/>
      <c r="BY20" s="551"/>
      <c r="BZ20" s="551"/>
      <c r="CA20" s="551"/>
      <c r="CB20" s="551"/>
      <c r="CC20" s="551"/>
      <c r="CD20" s="551"/>
      <c r="CE20" s="551"/>
      <c r="CF20" s="551"/>
      <c r="CG20" s="551"/>
      <c r="CH20" s="551"/>
      <c r="CI20" s="551"/>
      <c r="CJ20" s="551"/>
      <c r="CK20" s="551"/>
      <c r="CL20" s="551"/>
      <c r="CM20" s="551"/>
      <c r="CN20" s="551"/>
      <c r="CO20" s="551"/>
      <c r="CP20" s="551"/>
      <c r="CQ20" s="551"/>
      <c r="CR20" s="551"/>
      <c r="CS20" s="551"/>
      <c r="CT20" s="551"/>
      <c r="CU20" s="551"/>
      <c r="CV20" s="551"/>
      <c r="CW20" s="551"/>
      <c r="CX20" s="551"/>
      <c r="CY20" s="551"/>
      <c r="CZ20" s="551"/>
      <c r="DA20" s="551"/>
      <c r="DB20" s="551"/>
      <c r="DC20" s="551"/>
      <c r="DD20" s="551"/>
      <c r="DE20" s="551"/>
      <c r="DF20" s="551"/>
      <c r="DG20" s="551"/>
      <c r="DH20" s="551"/>
      <c r="DI20" s="551"/>
      <c r="DJ20" s="551"/>
      <c r="DK20" s="551"/>
      <c r="DL20" s="551"/>
      <c r="DM20" s="551"/>
      <c r="DN20" s="551"/>
      <c r="DO20" s="551"/>
      <c r="DP20" s="551"/>
      <c r="DQ20" s="551"/>
      <c r="DR20" s="551"/>
      <c r="DS20" s="551"/>
      <c r="DT20" s="551"/>
      <c r="DU20" s="551"/>
      <c r="DV20" s="551"/>
      <c r="DW20" s="551"/>
      <c r="DX20" s="551"/>
      <c r="DY20" s="551"/>
      <c r="DZ20" s="551"/>
      <c r="EA20" s="551"/>
      <c r="EB20" s="551"/>
      <c r="EC20" s="551"/>
      <c r="ED20" s="551"/>
      <c r="EE20" s="551"/>
      <c r="EF20" s="551"/>
      <c r="EG20" s="551"/>
      <c r="EH20" s="551"/>
      <c r="EI20" s="551"/>
      <c r="EJ20" s="551"/>
      <c r="EK20" s="551"/>
      <c r="EL20" s="551"/>
      <c r="EM20" s="551"/>
      <c r="EN20" s="551"/>
      <c r="EO20" s="551"/>
      <c r="EP20" s="551"/>
      <c r="EQ20" s="551"/>
      <c r="ER20" s="551"/>
      <c r="ES20" s="551"/>
      <c r="ET20" s="551"/>
      <c r="EU20" s="551"/>
      <c r="EV20" s="551"/>
      <c r="EW20" s="551"/>
      <c r="EX20" s="551"/>
      <c r="EY20" s="551"/>
      <c r="EZ20" s="551"/>
      <c r="FA20" s="551"/>
      <c r="FB20" s="551"/>
      <c r="FC20" s="551"/>
      <c r="FD20" s="551"/>
      <c r="FE20" s="551"/>
      <c r="FF20" s="551"/>
      <c r="FG20" s="551"/>
      <c r="FH20" s="551"/>
      <c r="FI20" s="551"/>
      <c r="FJ20" s="551"/>
      <c r="FK20" s="551"/>
      <c r="FL20" s="551"/>
      <c r="FM20" s="551"/>
      <c r="FN20" s="551"/>
      <c r="FO20" s="551"/>
      <c r="FP20" s="551"/>
      <c r="FQ20" s="551"/>
      <c r="FR20" s="551"/>
      <c r="FS20" s="551"/>
      <c r="FT20" s="551"/>
      <c r="FU20" s="551"/>
      <c r="FV20" s="551"/>
      <c r="FW20" s="551"/>
      <c r="FX20" s="551"/>
      <c r="FY20" s="551"/>
      <c r="FZ20" s="551"/>
      <c r="GA20" s="551"/>
      <c r="GB20" s="551"/>
      <c r="GC20" s="551"/>
      <c r="GD20" s="551"/>
      <c r="GE20" s="551"/>
      <c r="GF20" s="551"/>
      <c r="GG20" s="551"/>
      <c r="GH20" s="551"/>
      <c r="GI20" s="551"/>
      <c r="GJ20" s="551"/>
      <c r="GK20" s="551"/>
      <c r="GL20" s="551"/>
      <c r="GM20" s="551"/>
      <c r="GN20" s="551"/>
      <c r="GO20" s="551"/>
      <c r="GP20" s="551"/>
      <c r="GQ20" s="551"/>
      <c r="GR20" s="551"/>
      <c r="GS20" s="551"/>
      <c r="GT20" s="551"/>
      <c r="GU20" s="551"/>
      <c r="GV20" s="551"/>
      <c r="GW20" s="551"/>
      <c r="GX20" s="551"/>
      <c r="GY20" s="551"/>
      <c r="GZ20" s="551"/>
      <c r="HA20" s="551"/>
      <c r="HB20" s="551"/>
      <c r="HC20" s="551"/>
      <c r="HD20" s="551"/>
      <c r="HE20" s="551"/>
      <c r="HF20" s="551"/>
      <c r="HG20" s="551"/>
      <c r="HH20" s="551"/>
      <c r="HI20" s="551"/>
      <c r="HJ20" s="551"/>
      <c r="HK20" s="551"/>
      <c r="HL20" s="551"/>
      <c r="HM20" s="551"/>
      <c r="HN20" s="551"/>
      <c r="HO20" s="551"/>
      <c r="HP20" s="551"/>
      <c r="HQ20" s="551"/>
      <c r="HR20" s="551"/>
      <c r="HS20" s="551"/>
      <c r="HT20" s="551"/>
      <c r="HU20" s="551"/>
      <c r="HV20" s="551"/>
      <c r="HW20" s="551"/>
      <c r="HX20" s="551"/>
      <c r="HY20" s="551"/>
      <c r="HZ20" s="551"/>
      <c r="IA20" s="551"/>
      <c r="IB20" s="551"/>
      <c r="IC20" s="551"/>
      <c r="ID20" s="551"/>
      <c r="IE20" s="551"/>
      <c r="IF20" s="551"/>
      <c r="IG20" s="551"/>
      <c r="IH20" s="551"/>
      <c r="II20" s="551"/>
      <c r="IJ20" s="551"/>
      <c r="IK20" s="551"/>
      <c r="IL20" s="551"/>
      <c r="IM20" s="551"/>
      <c r="IN20" s="551"/>
      <c r="IO20" s="551"/>
      <c r="IP20" s="551"/>
      <c r="IQ20" s="551"/>
      <c r="IR20" s="551"/>
      <c r="IS20" s="551"/>
      <c r="IT20" s="551"/>
      <c r="IU20" s="551"/>
      <c r="IV20" s="551"/>
      <c r="IW20" s="551"/>
      <c r="IX20" s="551"/>
      <c r="IY20" s="551"/>
      <c r="IZ20" s="551"/>
      <c r="JA20" s="551"/>
      <c r="JB20" s="551"/>
      <c r="JC20" s="551"/>
      <c r="JD20" s="551"/>
      <c r="JE20" s="551"/>
      <c r="JF20" s="551"/>
      <c r="JG20" s="551"/>
      <c r="JH20" s="551"/>
      <c r="JI20" s="551"/>
      <c r="JJ20" s="551"/>
      <c r="JK20" s="551"/>
      <c r="JL20" s="551"/>
      <c r="JM20" s="551"/>
      <c r="JN20" s="551"/>
      <c r="JO20" s="551"/>
      <c r="JP20" s="551"/>
      <c r="JQ20" s="551"/>
      <c r="JR20" s="551"/>
      <c r="JS20" s="551"/>
      <c r="JT20" s="551"/>
      <c r="JU20" s="551"/>
      <c r="JV20" s="551"/>
      <c r="JW20" s="551"/>
      <c r="JX20" s="551"/>
      <c r="JY20" s="551"/>
      <c r="JZ20" s="551"/>
      <c r="KA20" s="551"/>
      <c r="KB20" s="551"/>
      <c r="KC20" s="551"/>
      <c r="KD20" s="551"/>
      <c r="KE20" s="551"/>
      <c r="KF20" s="551"/>
      <c r="KG20" s="551"/>
      <c r="KH20" s="551"/>
      <c r="KI20" s="551"/>
      <c r="KJ20" s="551"/>
      <c r="KK20" s="551"/>
      <c r="KL20" s="551"/>
      <c r="KM20" s="551"/>
      <c r="KN20" s="551"/>
      <c r="KO20" s="551"/>
      <c r="KP20" s="551"/>
      <c r="KQ20" s="551"/>
      <c r="KR20" s="551"/>
      <c r="KS20" s="551"/>
      <c r="KT20" s="551"/>
      <c r="KU20" s="551"/>
      <c r="KV20" s="551"/>
      <c r="KW20" s="551"/>
      <c r="KX20" s="551"/>
      <c r="KY20" s="551"/>
      <c r="KZ20" s="551"/>
      <c r="LA20" s="551"/>
      <c r="LB20" s="551"/>
      <c r="LC20" s="551"/>
      <c r="LD20" s="551"/>
      <c r="LE20" s="551"/>
      <c r="LF20" s="551"/>
      <c r="LG20" s="551"/>
      <c r="LH20" s="551"/>
      <c r="LI20" s="551"/>
      <c r="LJ20" s="551"/>
      <c r="LK20" s="551"/>
      <c r="LL20" s="551"/>
      <c r="LM20" s="551"/>
      <c r="LN20" s="551"/>
      <c r="LO20" s="551"/>
      <c r="LP20" s="551"/>
      <c r="LQ20" s="551"/>
      <c r="LR20" s="551"/>
      <c r="LS20" s="551"/>
      <c r="LT20" s="551"/>
      <c r="LU20" s="551"/>
      <c r="LV20" s="551"/>
      <c r="LW20" s="551"/>
      <c r="LX20" s="551"/>
      <c r="LY20" s="551"/>
      <c r="LZ20" s="551"/>
      <c r="MA20" s="551"/>
      <c r="MB20" s="551"/>
      <c r="MC20" s="551"/>
      <c r="MD20" s="551"/>
      <c r="ME20" s="551"/>
      <c r="MF20" s="551"/>
      <c r="MG20" s="551"/>
      <c r="MH20" s="551"/>
      <c r="MI20" s="551"/>
      <c r="MJ20" s="551"/>
      <c r="MK20" s="551"/>
      <c r="ML20" s="551"/>
      <c r="MM20" s="551"/>
      <c r="MN20" s="551"/>
      <c r="MO20" s="551"/>
      <c r="MP20" s="551"/>
      <c r="MQ20" s="551"/>
      <c r="MR20" s="551"/>
      <c r="MS20" s="551"/>
      <c r="MT20" s="551"/>
      <c r="MU20" s="551"/>
      <c r="MV20" s="551"/>
      <c r="MW20" s="551"/>
      <c r="MX20" s="551"/>
      <c r="MY20" s="551"/>
      <c r="MZ20" s="551"/>
      <c r="NA20" s="551"/>
      <c r="NB20" s="551"/>
      <c r="NC20" s="551"/>
      <c r="ND20" s="551"/>
      <c r="NE20" s="551"/>
      <c r="NF20" s="551"/>
      <c r="NG20" s="551"/>
      <c r="NH20" s="551"/>
      <c r="NI20" s="551"/>
      <c r="NJ20" s="551"/>
      <c r="NK20" s="551"/>
      <c r="NL20" s="551"/>
      <c r="NM20" s="551"/>
      <c r="NN20" s="551"/>
      <c r="NO20" s="551"/>
      <c r="NP20" s="551"/>
      <c r="NQ20" s="551"/>
      <c r="NR20" s="551"/>
      <c r="NS20" s="551"/>
      <c r="NT20" s="551"/>
      <c r="NU20" s="551"/>
      <c r="NV20" s="551"/>
      <c r="NW20" s="551"/>
      <c r="NX20" s="551"/>
      <c r="NY20" s="551"/>
      <c r="NZ20" s="551"/>
      <c r="OA20" s="551"/>
      <c r="OB20" s="551"/>
      <c r="OC20" s="551"/>
      <c r="OD20" s="551"/>
      <c r="OE20" s="551"/>
      <c r="OF20" s="551"/>
      <c r="OG20" s="551"/>
      <c r="OH20" s="551"/>
      <c r="OI20" s="551"/>
      <c r="OJ20" s="551"/>
      <c r="OK20" s="551"/>
      <c r="OL20" s="551"/>
      <c r="OM20" s="551"/>
      <c r="ON20" s="551"/>
      <c r="OO20" s="551"/>
      <c r="OP20" s="551"/>
      <c r="OQ20" s="551"/>
      <c r="OR20" s="551"/>
      <c r="OS20" s="551"/>
      <c r="OT20" s="551"/>
      <c r="OU20" s="551"/>
      <c r="OV20" s="551"/>
      <c r="OW20" s="551"/>
      <c r="OX20" s="551"/>
      <c r="OY20" s="551"/>
      <c r="OZ20" s="551"/>
      <c r="PA20" s="551"/>
      <c r="PB20" s="551"/>
      <c r="PC20" s="551"/>
      <c r="PD20" s="551"/>
      <c r="PE20" s="551"/>
      <c r="PF20" s="551"/>
      <c r="PG20" s="551"/>
      <c r="PH20" s="551"/>
      <c r="PI20" s="551"/>
      <c r="PJ20" s="551"/>
      <c r="PK20" s="551"/>
      <c r="PL20" s="551"/>
      <c r="PM20" s="551"/>
      <c r="PN20" s="551"/>
      <c r="PO20" s="551"/>
      <c r="PP20" s="551"/>
      <c r="PQ20" s="551"/>
      <c r="PR20" s="551"/>
      <c r="PS20" s="551"/>
      <c r="PT20" s="551"/>
      <c r="PU20" s="551"/>
      <c r="PV20" s="551"/>
      <c r="PW20" s="551"/>
      <c r="PX20" s="551"/>
      <c r="PY20" s="551"/>
      <c r="PZ20" s="551"/>
      <c r="QA20" s="551"/>
      <c r="QB20" s="551"/>
      <c r="QC20" s="551"/>
      <c r="QD20" s="551"/>
      <c r="QE20" s="551"/>
      <c r="QF20" s="551"/>
      <c r="QG20" s="551"/>
      <c r="QH20" s="551"/>
      <c r="QI20" s="551"/>
      <c r="QJ20" s="551"/>
      <c r="QK20" s="551"/>
      <c r="QL20" s="551"/>
      <c r="QM20" s="551"/>
      <c r="QN20" s="551"/>
      <c r="QO20" s="551"/>
      <c r="QP20" s="551"/>
      <c r="QQ20" s="551"/>
      <c r="QR20" s="551"/>
      <c r="QS20" s="551"/>
      <c r="QT20" s="551"/>
      <c r="QU20" s="551"/>
      <c r="QV20" s="551"/>
      <c r="QW20" s="551"/>
      <c r="QX20" s="551"/>
      <c r="QY20" s="551"/>
      <c r="QZ20" s="551"/>
      <c r="RA20" s="551"/>
      <c r="RB20" s="551"/>
      <c r="RC20" s="551"/>
      <c r="RD20" s="551"/>
      <c r="RE20" s="551"/>
      <c r="RF20" s="551"/>
      <c r="RG20" s="551"/>
      <c r="RH20" s="551"/>
      <c r="RI20" s="551"/>
      <c r="RJ20" s="551"/>
      <c r="RK20" s="551"/>
      <c r="RL20" s="551"/>
      <c r="RM20" s="551"/>
      <c r="RN20" s="551"/>
      <c r="RO20" s="551"/>
      <c r="RP20" s="551"/>
      <c r="RQ20" s="551"/>
      <c r="RR20" s="551"/>
      <c r="RS20" s="551"/>
      <c r="RT20" s="551"/>
      <c r="RU20" s="551"/>
      <c r="RV20" s="551"/>
      <c r="RW20" s="551"/>
      <c r="RX20" s="551"/>
      <c r="RY20" s="551"/>
      <c r="RZ20" s="551"/>
      <c r="SA20" s="551"/>
      <c r="SB20" s="551"/>
      <c r="SC20" s="551"/>
      <c r="SD20" s="551"/>
      <c r="SE20" s="551"/>
      <c r="SF20" s="551"/>
      <c r="SG20" s="551"/>
      <c r="SH20" s="551"/>
      <c r="SI20" s="551"/>
      <c r="SJ20" s="551"/>
      <c r="SK20" s="551"/>
      <c r="SL20" s="551"/>
      <c r="SM20" s="551"/>
      <c r="SN20" s="551"/>
      <c r="SO20" s="551"/>
      <c r="SP20" s="551"/>
      <c r="SQ20" s="551"/>
      <c r="SR20" s="551"/>
      <c r="SS20" s="551"/>
      <c r="ST20" s="551"/>
      <c r="SU20" s="551"/>
      <c r="SV20" s="551"/>
      <c r="SW20" s="551"/>
      <c r="SX20" s="551"/>
      <c r="SY20" s="551"/>
      <c r="SZ20" s="551"/>
      <c r="TA20" s="551"/>
      <c r="TB20" s="551"/>
      <c r="TC20" s="551"/>
      <c r="TD20" s="551"/>
      <c r="TE20" s="551"/>
      <c r="TF20" s="551"/>
      <c r="TG20" s="551"/>
      <c r="TH20" s="551"/>
      <c r="TI20" s="551"/>
      <c r="TJ20" s="551"/>
      <c r="TK20" s="551"/>
      <c r="TL20" s="551"/>
      <c r="TM20" s="551"/>
      <c r="TN20" s="551"/>
      <c r="TO20" s="551"/>
      <c r="TP20" s="551"/>
      <c r="TQ20" s="551"/>
      <c r="TR20" s="551"/>
      <c r="TS20" s="551"/>
      <c r="TT20" s="551"/>
      <c r="TU20" s="551"/>
      <c r="TV20" s="551"/>
      <c r="TW20" s="551"/>
      <c r="TX20" s="551"/>
      <c r="TY20" s="551"/>
      <c r="TZ20" s="551"/>
      <c r="UA20" s="551"/>
      <c r="UB20" s="551"/>
      <c r="UC20" s="551"/>
      <c r="UD20" s="551"/>
      <c r="UE20" s="551"/>
      <c r="UF20" s="551"/>
      <c r="UG20" s="551"/>
      <c r="UH20" s="551"/>
      <c r="UI20" s="551"/>
      <c r="UJ20" s="551"/>
      <c r="UK20" s="551"/>
      <c r="UL20" s="551"/>
      <c r="UM20" s="551"/>
      <c r="UN20" s="551"/>
      <c r="UO20" s="551"/>
      <c r="UP20" s="551"/>
      <c r="UQ20" s="551"/>
      <c r="UR20" s="551"/>
      <c r="US20" s="551"/>
      <c r="UT20" s="551"/>
      <c r="UU20" s="551"/>
      <c r="UV20" s="551"/>
      <c r="UW20" s="551"/>
      <c r="UX20" s="551"/>
      <c r="UY20" s="551"/>
      <c r="UZ20" s="551"/>
      <c r="VA20" s="551"/>
      <c r="VB20" s="551"/>
      <c r="VC20" s="551"/>
      <c r="VD20" s="551"/>
      <c r="VE20" s="551"/>
      <c r="VF20" s="551"/>
      <c r="VG20" s="551"/>
      <c r="VH20" s="551"/>
      <c r="VI20" s="551"/>
      <c r="VJ20" s="551"/>
      <c r="VK20" s="551"/>
      <c r="VL20" s="551"/>
      <c r="VM20" s="551"/>
      <c r="VN20" s="551"/>
      <c r="VO20" s="551"/>
      <c r="VP20" s="551"/>
      <c r="VQ20" s="551"/>
      <c r="VR20" s="551"/>
      <c r="VS20" s="551"/>
      <c r="VT20" s="551"/>
      <c r="VU20" s="551"/>
      <c r="VV20" s="551"/>
      <c r="VW20" s="551"/>
      <c r="VX20" s="551"/>
      <c r="VY20" s="551"/>
      <c r="VZ20" s="551"/>
      <c r="WA20" s="551"/>
      <c r="WB20" s="551"/>
      <c r="WC20" s="551"/>
      <c r="WD20" s="551"/>
      <c r="WE20" s="551"/>
      <c r="WF20" s="551"/>
      <c r="WG20" s="551"/>
      <c r="WH20" s="551"/>
      <c r="WI20" s="551"/>
      <c r="WJ20" s="551"/>
      <c r="WK20" s="551"/>
      <c r="WL20" s="551"/>
      <c r="WM20" s="551"/>
      <c r="WN20" s="551"/>
      <c r="WO20" s="551"/>
      <c r="WP20" s="551"/>
      <c r="WQ20" s="551"/>
      <c r="WR20" s="551"/>
      <c r="WS20" s="551"/>
      <c r="WT20" s="551"/>
      <c r="WU20" s="551"/>
      <c r="WV20" s="551"/>
      <c r="WW20" s="551"/>
      <c r="WX20" s="551"/>
      <c r="WY20" s="551"/>
      <c r="WZ20" s="551"/>
      <c r="XA20" s="551"/>
      <c r="XB20" s="551"/>
      <c r="XC20" s="551"/>
      <c r="XD20" s="551"/>
      <c r="XE20" s="551"/>
      <c r="XF20" s="551"/>
      <c r="XG20" s="551"/>
      <c r="XH20" s="551"/>
      <c r="XI20" s="551"/>
      <c r="XJ20" s="551"/>
      <c r="XK20" s="551"/>
      <c r="XL20" s="551"/>
      <c r="XM20" s="551"/>
      <c r="XN20" s="551"/>
      <c r="XO20" s="551"/>
      <c r="XP20" s="551"/>
      <c r="XQ20" s="551"/>
      <c r="XR20" s="551"/>
      <c r="XS20" s="551"/>
      <c r="XT20" s="551"/>
      <c r="XU20" s="551"/>
      <c r="XV20" s="551"/>
      <c r="XW20" s="551"/>
      <c r="XX20" s="551"/>
      <c r="XY20" s="551"/>
      <c r="XZ20" s="551"/>
      <c r="YA20" s="551"/>
      <c r="YB20" s="551"/>
      <c r="YC20" s="551"/>
      <c r="YD20" s="551"/>
      <c r="YE20" s="551"/>
      <c r="YF20" s="551"/>
      <c r="YG20" s="551"/>
      <c r="YH20" s="551"/>
      <c r="YI20" s="551"/>
      <c r="YJ20" s="551"/>
      <c r="YK20" s="551"/>
      <c r="YL20" s="551"/>
      <c r="YM20" s="551"/>
      <c r="YN20" s="551"/>
      <c r="YO20" s="551"/>
      <c r="YP20" s="551"/>
      <c r="YQ20" s="551"/>
      <c r="YR20" s="551"/>
      <c r="YS20" s="551"/>
      <c r="YT20" s="551"/>
      <c r="YU20" s="551"/>
      <c r="YV20" s="551"/>
      <c r="YW20" s="551"/>
      <c r="YX20" s="551"/>
      <c r="YY20" s="551"/>
      <c r="YZ20" s="551"/>
      <c r="ZA20" s="551"/>
      <c r="ZB20" s="551"/>
      <c r="ZC20" s="551"/>
      <c r="ZD20" s="551"/>
      <c r="ZE20" s="551"/>
      <c r="ZF20" s="551"/>
      <c r="ZG20" s="551"/>
      <c r="ZH20" s="551"/>
      <c r="ZI20" s="551"/>
      <c r="ZJ20" s="551"/>
      <c r="ZK20" s="551"/>
      <c r="ZL20" s="551"/>
      <c r="ZM20" s="551"/>
      <c r="ZN20" s="551"/>
      <c r="ZO20" s="551"/>
      <c r="ZP20" s="551"/>
      <c r="ZQ20" s="551"/>
      <c r="ZR20" s="551"/>
      <c r="ZS20" s="551"/>
      <c r="ZT20" s="551"/>
      <c r="ZU20" s="551"/>
      <c r="ZV20" s="551"/>
      <c r="ZW20" s="551"/>
      <c r="ZX20" s="551"/>
      <c r="ZY20" s="551"/>
      <c r="ZZ20" s="551"/>
      <c r="AAA20" s="551"/>
      <c r="AAB20" s="551"/>
      <c r="AAC20" s="551"/>
      <c r="AAD20" s="551"/>
      <c r="AAE20" s="551"/>
      <c r="AAF20" s="551"/>
      <c r="AAG20" s="551"/>
      <c r="AAH20" s="551"/>
      <c r="AAI20" s="551"/>
      <c r="AAJ20" s="551"/>
      <c r="AAK20" s="551"/>
      <c r="AAL20" s="551"/>
      <c r="AAM20" s="551"/>
      <c r="AAN20" s="551"/>
      <c r="AAO20" s="551"/>
      <c r="AAP20" s="551"/>
      <c r="AAQ20" s="551"/>
      <c r="AAR20" s="551"/>
      <c r="AAS20" s="551"/>
      <c r="AAT20" s="551"/>
      <c r="AAU20" s="551"/>
      <c r="AAV20" s="551"/>
      <c r="AAW20" s="551"/>
      <c r="AAX20" s="551"/>
      <c r="AAY20" s="551"/>
      <c r="AAZ20" s="551"/>
      <c r="ABA20" s="551"/>
      <c r="ABB20" s="551"/>
      <c r="ABC20" s="551"/>
      <c r="ABD20" s="551"/>
      <c r="ABE20" s="551"/>
      <c r="ABF20" s="551"/>
      <c r="ABG20" s="551"/>
      <c r="ABH20" s="551"/>
      <c r="ABI20" s="551"/>
      <c r="ABJ20" s="551"/>
      <c r="ABK20" s="551"/>
      <c r="ABL20" s="551"/>
      <c r="ABM20" s="551"/>
      <c r="ABN20" s="551"/>
      <c r="ABO20" s="551"/>
      <c r="ABP20" s="551"/>
      <c r="ABQ20" s="551"/>
      <c r="ABR20" s="551"/>
      <c r="ABS20" s="551"/>
      <c r="ABT20" s="551"/>
      <c r="ABU20" s="551"/>
      <c r="ABV20" s="551"/>
      <c r="ABW20" s="551"/>
      <c r="ABX20" s="551"/>
      <c r="ABY20" s="551"/>
      <c r="ABZ20" s="551"/>
      <c r="ACA20" s="551"/>
      <c r="ACB20" s="551"/>
      <c r="ACC20" s="551"/>
      <c r="ACD20" s="551"/>
      <c r="ACE20" s="551"/>
      <c r="ACF20" s="551"/>
      <c r="ACG20" s="551"/>
      <c r="ACH20" s="551"/>
      <c r="ACI20" s="551"/>
      <c r="ACJ20" s="551"/>
      <c r="ACK20" s="551"/>
      <c r="ACL20" s="551"/>
      <c r="ACM20" s="551"/>
      <c r="ACN20" s="551"/>
      <c r="ACO20" s="551"/>
      <c r="ACP20" s="551"/>
      <c r="ACQ20" s="551"/>
      <c r="ACR20" s="551"/>
      <c r="ACS20" s="551"/>
      <c r="ACT20" s="551"/>
      <c r="ACU20" s="551"/>
      <c r="ACV20" s="551"/>
      <c r="ACW20" s="551"/>
      <c r="ACX20" s="551"/>
      <c r="ACY20" s="551"/>
      <c r="ACZ20" s="551"/>
      <c r="ADA20" s="551"/>
      <c r="ADB20" s="551"/>
      <c r="ADC20" s="551"/>
      <c r="ADD20" s="551"/>
      <c r="ADE20" s="551"/>
      <c r="ADF20" s="551"/>
      <c r="ADG20" s="551"/>
      <c r="ADH20" s="551"/>
      <c r="ADI20" s="551"/>
      <c r="ADJ20" s="551"/>
      <c r="ADK20" s="551"/>
      <c r="ADL20" s="551"/>
      <c r="ADM20" s="551"/>
      <c r="ADN20" s="551"/>
      <c r="ADO20" s="551"/>
      <c r="ADP20" s="551"/>
      <c r="ADQ20" s="551"/>
      <c r="ADR20" s="551"/>
      <c r="ADS20" s="551"/>
      <c r="ADT20" s="551"/>
      <c r="ADU20" s="551"/>
      <c r="ADV20" s="551"/>
      <c r="ADW20" s="551"/>
      <c r="ADX20" s="551"/>
      <c r="ADY20" s="551"/>
      <c r="ADZ20" s="551"/>
      <c r="AEA20" s="551"/>
      <c r="AEB20" s="551"/>
      <c r="AEC20" s="551"/>
      <c r="AED20" s="551"/>
      <c r="AEE20" s="551"/>
      <c r="AEF20" s="551"/>
      <c r="AEG20" s="551"/>
      <c r="AEH20" s="551"/>
      <c r="AEI20" s="551"/>
      <c r="AEJ20" s="551"/>
      <c r="AEK20" s="551"/>
      <c r="AEL20" s="551"/>
      <c r="AEM20" s="551"/>
      <c r="AEN20" s="551"/>
      <c r="AEO20" s="551"/>
      <c r="AEP20" s="551"/>
      <c r="AEQ20" s="551"/>
      <c r="AER20" s="551"/>
      <c r="AES20" s="551"/>
      <c r="AET20" s="551"/>
      <c r="AEU20" s="551"/>
      <c r="AEV20" s="551"/>
      <c r="AEW20" s="551"/>
      <c r="AEX20" s="551"/>
      <c r="AEY20" s="551"/>
      <c r="AEZ20" s="551"/>
      <c r="AFA20" s="551"/>
      <c r="AFB20" s="551"/>
      <c r="AFC20" s="551"/>
      <c r="AFD20" s="551"/>
      <c r="AFE20" s="551"/>
      <c r="AFF20" s="551"/>
      <c r="AFG20" s="551"/>
      <c r="AFH20" s="551"/>
      <c r="AFI20" s="551"/>
      <c r="AFJ20" s="551"/>
      <c r="AFK20" s="551"/>
      <c r="AFL20" s="551"/>
      <c r="AFM20" s="551"/>
      <c r="AFN20" s="551"/>
      <c r="AFO20" s="551"/>
      <c r="AFP20" s="551"/>
      <c r="AFQ20" s="551"/>
      <c r="AFR20" s="551"/>
      <c r="AFS20" s="551"/>
      <c r="AFT20" s="551"/>
      <c r="AFU20" s="551"/>
      <c r="AFV20" s="551"/>
      <c r="AFW20" s="551"/>
      <c r="AFX20" s="551"/>
      <c r="AFY20" s="551"/>
      <c r="AFZ20" s="551"/>
      <c r="AGA20" s="551"/>
      <c r="AGB20" s="551"/>
      <c r="AGC20" s="551"/>
      <c r="AGD20" s="551"/>
      <c r="AGE20" s="551"/>
      <c r="AGF20" s="551"/>
      <c r="AGG20" s="551"/>
      <c r="AGH20" s="551"/>
      <c r="AGI20" s="551"/>
      <c r="AGJ20" s="551"/>
      <c r="AGK20" s="551"/>
      <c r="AGL20" s="551"/>
      <c r="AGM20" s="551"/>
      <c r="AGN20" s="551"/>
      <c r="AGO20" s="551"/>
      <c r="AGP20" s="551"/>
      <c r="AGQ20" s="551"/>
      <c r="AGR20" s="551"/>
      <c r="AGS20" s="551"/>
      <c r="AGT20" s="551"/>
      <c r="AGU20" s="551"/>
      <c r="AGV20" s="551"/>
      <c r="AGW20" s="551"/>
      <c r="AGX20" s="551"/>
      <c r="AGY20" s="551"/>
      <c r="AGZ20" s="551"/>
      <c r="AHA20" s="551"/>
      <c r="AHB20" s="551"/>
      <c r="AHC20" s="551"/>
      <c r="AHD20" s="551"/>
      <c r="AHE20" s="551"/>
      <c r="AHF20" s="551"/>
      <c r="AHG20" s="551"/>
      <c r="AHH20" s="551"/>
      <c r="AHI20" s="551"/>
      <c r="AHJ20" s="551"/>
      <c r="AHK20" s="551"/>
      <c r="AHL20" s="551"/>
      <c r="AHM20" s="551"/>
      <c r="AHN20" s="551"/>
      <c r="AHO20" s="551"/>
      <c r="AHP20" s="551"/>
      <c r="AHQ20" s="551"/>
      <c r="AHR20" s="551"/>
      <c r="AHS20" s="551"/>
      <c r="AHT20" s="551"/>
      <c r="AHU20" s="551"/>
      <c r="AHV20" s="551"/>
      <c r="AHW20" s="551"/>
      <c r="AHX20" s="551"/>
      <c r="AHY20" s="551"/>
      <c r="AHZ20" s="551"/>
      <c r="AIA20" s="551"/>
      <c r="AIB20" s="551"/>
      <c r="AIC20" s="551"/>
      <c r="AID20" s="551"/>
      <c r="AIE20" s="551"/>
      <c r="AIF20" s="551"/>
      <c r="AIG20" s="551"/>
      <c r="AIH20" s="551"/>
      <c r="AII20" s="551"/>
      <c r="AIJ20" s="551"/>
      <c r="AIK20" s="551"/>
      <c r="AIL20" s="551"/>
      <c r="AIM20" s="551"/>
      <c r="AIN20" s="551"/>
      <c r="AIO20" s="551"/>
      <c r="AIP20" s="551"/>
      <c r="AIQ20" s="551"/>
      <c r="AIR20" s="551"/>
      <c r="AIS20" s="551"/>
      <c r="AIT20" s="551"/>
      <c r="AIU20" s="551"/>
      <c r="AIV20" s="551"/>
      <c r="AIW20" s="551"/>
      <c r="AIX20" s="551"/>
      <c r="AIY20" s="551"/>
      <c r="AIZ20" s="551"/>
      <c r="AJA20" s="551"/>
      <c r="AJB20" s="551"/>
      <c r="AJC20" s="551"/>
      <c r="AJD20" s="551"/>
      <c r="AJE20" s="551"/>
      <c r="AJF20" s="551"/>
      <c r="AJG20" s="551"/>
      <c r="AJH20" s="551"/>
      <c r="AJI20" s="551"/>
      <c r="AJJ20" s="551"/>
      <c r="AJK20" s="551"/>
      <c r="AJL20" s="551"/>
      <c r="AJM20" s="551"/>
      <c r="AJN20" s="551"/>
      <c r="AJO20" s="551"/>
      <c r="AJP20" s="551"/>
      <c r="AJQ20" s="551"/>
      <c r="AJR20" s="551"/>
    </row>
    <row r="21" spans="1:954" s="536" customFormat="1" ht="120" x14ac:dyDescent="0.25">
      <c r="A21" s="538" t="s">
        <v>210</v>
      </c>
      <c r="C21" s="540" t="s">
        <v>1425</v>
      </c>
      <c r="D21" s="540" t="s">
        <v>1426</v>
      </c>
      <c r="E21" s="541" t="s">
        <v>1406</v>
      </c>
      <c r="F21" s="541">
        <v>1</v>
      </c>
      <c r="G21" s="542">
        <v>1000000</v>
      </c>
      <c r="H21" s="542">
        <f t="shared" si="0"/>
        <v>819672.13</v>
      </c>
      <c r="M21" s="541">
        <v>2026</v>
      </c>
      <c r="N21" s="541">
        <v>3</v>
      </c>
      <c r="O21" s="541" t="s">
        <v>1412</v>
      </c>
      <c r="P21" s="543" t="s">
        <v>1413</v>
      </c>
      <c r="Q21" s="543" t="s">
        <v>1414</v>
      </c>
      <c r="S21" s="545" t="s">
        <v>1415</v>
      </c>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1"/>
      <c r="AY21" s="551"/>
      <c r="AZ21" s="551"/>
      <c r="BA21" s="551"/>
      <c r="BB21" s="551"/>
      <c r="BC21" s="551"/>
      <c r="BD21" s="551"/>
      <c r="BE21" s="551"/>
      <c r="BF21" s="551"/>
      <c r="BG21" s="551"/>
      <c r="BH21" s="551"/>
      <c r="BI21" s="551"/>
      <c r="BJ21" s="551"/>
      <c r="BK21" s="551"/>
      <c r="BL21" s="551"/>
      <c r="BM21" s="551"/>
      <c r="BN21" s="551"/>
      <c r="BO21" s="551"/>
      <c r="BP21" s="551"/>
      <c r="BQ21" s="551"/>
      <c r="BR21" s="551"/>
      <c r="BS21" s="551"/>
      <c r="BT21" s="551"/>
      <c r="BU21" s="551"/>
      <c r="BV21" s="551"/>
      <c r="BW21" s="551"/>
      <c r="BX21" s="551"/>
      <c r="BY21" s="551"/>
      <c r="BZ21" s="551"/>
      <c r="CA21" s="551"/>
      <c r="CB21" s="551"/>
      <c r="CC21" s="551"/>
      <c r="CD21" s="551"/>
      <c r="CE21" s="551"/>
      <c r="CF21" s="551"/>
      <c r="CG21" s="551"/>
      <c r="CH21" s="551"/>
      <c r="CI21" s="551"/>
      <c r="CJ21" s="551"/>
      <c r="CK21" s="551"/>
      <c r="CL21" s="551"/>
      <c r="CM21" s="551"/>
      <c r="CN21" s="551"/>
      <c r="CO21" s="551"/>
      <c r="CP21" s="551"/>
      <c r="CQ21" s="551"/>
      <c r="CR21" s="551"/>
      <c r="CS21" s="551"/>
      <c r="CT21" s="551"/>
      <c r="CU21" s="551"/>
      <c r="CV21" s="551"/>
      <c r="CW21" s="551"/>
      <c r="CX21" s="551"/>
      <c r="CY21" s="551"/>
      <c r="CZ21" s="551"/>
      <c r="DA21" s="551"/>
      <c r="DB21" s="551"/>
      <c r="DC21" s="551"/>
      <c r="DD21" s="551"/>
      <c r="DE21" s="551"/>
      <c r="DF21" s="551"/>
      <c r="DG21" s="551"/>
      <c r="DH21" s="551"/>
      <c r="DI21" s="551"/>
      <c r="DJ21" s="551"/>
      <c r="DK21" s="551"/>
      <c r="DL21" s="551"/>
      <c r="DM21" s="551"/>
      <c r="DN21" s="551"/>
      <c r="DO21" s="551"/>
      <c r="DP21" s="551"/>
      <c r="DQ21" s="551"/>
      <c r="DR21" s="551"/>
      <c r="DS21" s="551"/>
      <c r="DT21" s="551"/>
      <c r="DU21" s="551"/>
      <c r="DV21" s="551"/>
      <c r="DW21" s="551"/>
      <c r="DX21" s="551"/>
      <c r="DY21" s="551"/>
      <c r="DZ21" s="551"/>
      <c r="EA21" s="551"/>
      <c r="EB21" s="551"/>
      <c r="EC21" s="551"/>
      <c r="ED21" s="551"/>
      <c r="EE21" s="551"/>
      <c r="EF21" s="551"/>
      <c r="EG21" s="551"/>
      <c r="EH21" s="551"/>
      <c r="EI21" s="551"/>
      <c r="EJ21" s="551"/>
      <c r="EK21" s="551"/>
      <c r="EL21" s="551"/>
      <c r="EM21" s="551"/>
      <c r="EN21" s="551"/>
      <c r="EO21" s="551"/>
      <c r="EP21" s="551"/>
      <c r="EQ21" s="551"/>
      <c r="ER21" s="551"/>
      <c r="ES21" s="551"/>
      <c r="ET21" s="551"/>
      <c r="EU21" s="551"/>
      <c r="EV21" s="551"/>
      <c r="EW21" s="551"/>
      <c r="EX21" s="551"/>
      <c r="EY21" s="551"/>
      <c r="EZ21" s="551"/>
      <c r="FA21" s="551"/>
      <c r="FB21" s="551"/>
      <c r="FC21" s="551"/>
      <c r="FD21" s="551"/>
      <c r="FE21" s="551"/>
      <c r="FF21" s="551"/>
      <c r="FG21" s="551"/>
      <c r="FH21" s="551"/>
      <c r="FI21" s="551"/>
      <c r="FJ21" s="551"/>
      <c r="FK21" s="551"/>
      <c r="FL21" s="551"/>
      <c r="FM21" s="551"/>
      <c r="FN21" s="551"/>
      <c r="FO21" s="551"/>
      <c r="FP21" s="551"/>
      <c r="FQ21" s="551"/>
      <c r="FR21" s="551"/>
      <c r="FS21" s="551"/>
      <c r="FT21" s="551"/>
      <c r="FU21" s="551"/>
      <c r="FV21" s="551"/>
      <c r="FW21" s="551"/>
      <c r="FX21" s="551"/>
      <c r="FY21" s="551"/>
      <c r="FZ21" s="551"/>
      <c r="GA21" s="551"/>
      <c r="GB21" s="551"/>
      <c r="GC21" s="551"/>
      <c r="GD21" s="551"/>
      <c r="GE21" s="551"/>
      <c r="GF21" s="551"/>
      <c r="GG21" s="551"/>
      <c r="GH21" s="551"/>
      <c r="GI21" s="551"/>
      <c r="GJ21" s="551"/>
      <c r="GK21" s="551"/>
      <c r="GL21" s="551"/>
      <c r="GM21" s="551"/>
      <c r="GN21" s="551"/>
      <c r="GO21" s="551"/>
      <c r="GP21" s="551"/>
      <c r="GQ21" s="551"/>
      <c r="GR21" s="551"/>
      <c r="GS21" s="551"/>
      <c r="GT21" s="551"/>
      <c r="GU21" s="551"/>
      <c r="GV21" s="551"/>
      <c r="GW21" s="551"/>
      <c r="GX21" s="551"/>
      <c r="GY21" s="551"/>
      <c r="GZ21" s="551"/>
      <c r="HA21" s="551"/>
      <c r="HB21" s="551"/>
      <c r="HC21" s="551"/>
      <c r="HD21" s="551"/>
      <c r="HE21" s="551"/>
      <c r="HF21" s="551"/>
      <c r="HG21" s="551"/>
      <c r="HH21" s="551"/>
      <c r="HI21" s="551"/>
      <c r="HJ21" s="551"/>
      <c r="HK21" s="551"/>
      <c r="HL21" s="551"/>
      <c r="HM21" s="551"/>
      <c r="HN21" s="551"/>
      <c r="HO21" s="551"/>
      <c r="HP21" s="551"/>
      <c r="HQ21" s="551"/>
      <c r="HR21" s="551"/>
      <c r="HS21" s="551"/>
      <c r="HT21" s="551"/>
      <c r="HU21" s="551"/>
      <c r="HV21" s="551"/>
      <c r="HW21" s="551"/>
      <c r="HX21" s="551"/>
      <c r="HY21" s="551"/>
      <c r="HZ21" s="551"/>
      <c r="IA21" s="551"/>
      <c r="IB21" s="551"/>
      <c r="IC21" s="551"/>
      <c r="ID21" s="551"/>
      <c r="IE21" s="551"/>
      <c r="IF21" s="551"/>
      <c r="IG21" s="551"/>
      <c r="IH21" s="551"/>
      <c r="II21" s="551"/>
      <c r="IJ21" s="551"/>
      <c r="IK21" s="551"/>
      <c r="IL21" s="551"/>
      <c r="IM21" s="551"/>
      <c r="IN21" s="551"/>
      <c r="IO21" s="551"/>
      <c r="IP21" s="551"/>
      <c r="IQ21" s="551"/>
      <c r="IR21" s="551"/>
      <c r="IS21" s="551"/>
      <c r="IT21" s="551"/>
      <c r="IU21" s="551"/>
      <c r="IV21" s="551"/>
      <c r="IW21" s="551"/>
      <c r="IX21" s="551"/>
      <c r="IY21" s="551"/>
      <c r="IZ21" s="551"/>
      <c r="JA21" s="551"/>
      <c r="JB21" s="551"/>
      <c r="JC21" s="551"/>
      <c r="JD21" s="551"/>
      <c r="JE21" s="551"/>
      <c r="JF21" s="551"/>
      <c r="JG21" s="551"/>
      <c r="JH21" s="551"/>
      <c r="JI21" s="551"/>
      <c r="JJ21" s="551"/>
      <c r="JK21" s="551"/>
      <c r="JL21" s="551"/>
      <c r="JM21" s="551"/>
      <c r="JN21" s="551"/>
      <c r="JO21" s="551"/>
      <c r="JP21" s="551"/>
      <c r="JQ21" s="551"/>
      <c r="JR21" s="551"/>
      <c r="JS21" s="551"/>
      <c r="JT21" s="551"/>
      <c r="JU21" s="551"/>
      <c r="JV21" s="551"/>
      <c r="JW21" s="551"/>
      <c r="JX21" s="551"/>
      <c r="JY21" s="551"/>
      <c r="JZ21" s="551"/>
      <c r="KA21" s="551"/>
      <c r="KB21" s="551"/>
      <c r="KC21" s="551"/>
      <c r="KD21" s="551"/>
      <c r="KE21" s="551"/>
      <c r="KF21" s="551"/>
      <c r="KG21" s="551"/>
      <c r="KH21" s="551"/>
      <c r="KI21" s="551"/>
      <c r="KJ21" s="551"/>
      <c r="KK21" s="551"/>
      <c r="KL21" s="551"/>
      <c r="KM21" s="551"/>
      <c r="KN21" s="551"/>
      <c r="KO21" s="551"/>
      <c r="KP21" s="551"/>
      <c r="KQ21" s="551"/>
      <c r="KR21" s="551"/>
      <c r="KS21" s="551"/>
      <c r="KT21" s="551"/>
      <c r="KU21" s="551"/>
      <c r="KV21" s="551"/>
      <c r="KW21" s="551"/>
      <c r="KX21" s="551"/>
      <c r="KY21" s="551"/>
      <c r="KZ21" s="551"/>
      <c r="LA21" s="551"/>
      <c r="LB21" s="551"/>
      <c r="LC21" s="551"/>
      <c r="LD21" s="551"/>
      <c r="LE21" s="551"/>
      <c r="LF21" s="551"/>
      <c r="LG21" s="551"/>
      <c r="LH21" s="551"/>
      <c r="LI21" s="551"/>
      <c r="LJ21" s="551"/>
      <c r="LK21" s="551"/>
      <c r="LL21" s="551"/>
      <c r="LM21" s="551"/>
      <c r="LN21" s="551"/>
      <c r="LO21" s="551"/>
      <c r="LP21" s="551"/>
      <c r="LQ21" s="551"/>
      <c r="LR21" s="551"/>
      <c r="LS21" s="551"/>
      <c r="LT21" s="551"/>
      <c r="LU21" s="551"/>
      <c r="LV21" s="551"/>
      <c r="LW21" s="551"/>
      <c r="LX21" s="551"/>
      <c r="LY21" s="551"/>
      <c r="LZ21" s="551"/>
      <c r="MA21" s="551"/>
      <c r="MB21" s="551"/>
      <c r="MC21" s="551"/>
      <c r="MD21" s="551"/>
      <c r="ME21" s="551"/>
      <c r="MF21" s="551"/>
      <c r="MG21" s="551"/>
      <c r="MH21" s="551"/>
      <c r="MI21" s="551"/>
      <c r="MJ21" s="551"/>
      <c r="MK21" s="551"/>
      <c r="ML21" s="551"/>
      <c r="MM21" s="551"/>
      <c r="MN21" s="551"/>
      <c r="MO21" s="551"/>
      <c r="MP21" s="551"/>
      <c r="MQ21" s="551"/>
      <c r="MR21" s="551"/>
      <c r="MS21" s="551"/>
      <c r="MT21" s="551"/>
      <c r="MU21" s="551"/>
      <c r="MV21" s="551"/>
      <c r="MW21" s="551"/>
      <c r="MX21" s="551"/>
      <c r="MY21" s="551"/>
      <c r="MZ21" s="551"/>
      <c r="NA21" s="551"/>
      <c r="NB21" s="551"/>
      <c r="NC21" s="551"/>
      <c r="ND21" s="551"/>
      <c r="NE21" s="551"/>
      <c r="NF21" s="551"/>
      <c r="NG21" s="551"/>
      <c r="NH21" s="551"/>
      <c r="NI21" s="551"/>
      <c r="NJ21" s="551"/>
      <c r="NK21" s="551"/>
      <c r="NL21" s="551"/>
      <c r="NM21" s="551"/>
      <c r="NN21" s="551"/>
      <c r="NO21" s="551"/>
      <c r="NP21" s="551"/>
      <c r="NQ21" s="551"/>
      <c r="NR21" s="551"/>
      <c r="NS21" s="551"/>
      <c r="NT21" s="551"/>
      <c r="NU21" s="551"/>
      <c r="NV21" s="551"/>
      <c r="NW21" s="551"/>
      <c r="NX21" s="551"/>
      <c r="NY21" s="551"/>
      <c r="NZ21" s="551"/>
      <c r="OA21" s="551"/>
      <c r="OB21" s="551"/>
      <c r="OC21" s="551"/>
      <c r="OD21" s="551"/>
      <c r="OE21" s="551"/>
      <c r="OF21" s="551"/>
      <c r="OG21" s="551"/>
      <c r="OH21" s="551"/>
      <c r="OI21" s="551"/>
      <c r="OJ21" s="551"/>
      <c r="OK21" s="551"/>
      <c r="OL21" s="551"/>
      <c r="OM21" s="551"/>
      <c r="ON21" s="551"/>
      <c r="OO21" s="551"/>
      <c r="OP21" s="551"/>
      <c r="OQ21" s="551"/>
      <c r="OR21" s="551"/>
      <c r="OS21" s="551"/>
      <c r="OT21" s="551"/>
      <c r="OU21" s="551"/>
      <c r="OV21" s="551"/>
      <c r="OW21" s="551"/>
      <c r="OX21" s="551"/>
      <c r="OY21" s="551"/>
      <c r="OZ21" s="551"/>
      <c r="PA21" s="551"/>
      <c r="PB21" s="551"/>
      <c r="PC21" s="551"/>
      <c r="PD21" s="551"/>
      <c r="PE21" s="551"/>
      <c r="PF21" s="551"/>
      <c r="PG21" s="551"/>
      <c r="PH21" s="551"/>
      <c r="PI21" s="551"/>
      <c r="PJ21" s="551"/>
      <c r="PK21" s="551"/>
      <c r="PL21" s="551"/>
      <c r="PM21" s="551"/>
      <c r="PN21" s="551"/>
      <c r="PO21" s="551"/>
      <c r="PP21" s="551"/>
      <c r="PQ21" s="551"/>
      <c r="PR21" s="551"/>
      <c r="PS21" s="551"/>
      <c r="PT21" s="551"/>
      <c r="PU21" s="551"/>
      <c r="PV21" s="551"/>
      <c r="PW21" s="551"/>
      <c r="PX21" s="551"/>
      <c r="PY21" s="551"/>
      <c r="PZ21" s="551"/>
      <c r="QA21" s="551"/>
      <c r="QB21" s="551"/>
      <c r="QC21" s="551"/>
      <c r="QD21" s="551"/>
      <c r="QE21" s="551"/>
      <c r="QF21" s="551"/>
      <c r="QG21" s="551"/>
      <c r="QH21" s="551"/>
      <c r="QI21" s="551"/>
      <c r="QJ21" s="551"/>
      <c r="QK21" s="551"/>
      <c r="QL21" s="551"/>
      <c r="QM21" s="551"/>
      <c r="QN21" s="551"/>
      <c r="QO21" s="551"/>
      <c r="QP21" s="551"/>
      <c r="QQ21" s="551"/>
      <c r="QR21" s="551"/>
      <c r="QS21" s="551"/>
      <c r="QT21" s="551"/>
      <c r="QU21" s="551"/>
      <c r="QV21" s="551"/>
      <c r="QW21" s="551"/>
      <c r="QX21" s="551"/>
      <c r="QY21" s="551"/>
      <c r="QZ21" s="551"/>
      <c r="RA21" s="551"/>
      <c r="RB21" s="551"/>
      <c r="RC21" s="551"/>
      <c r="RD21" s="551"/>
      <c r="RE21" s="551"/>
      <c r="RF21" s="551"/>
      <c r="RG21" s="551"/>
      <c r="RH21" s="551"/>
      <c r="RI21" s="551"/>
      <c r="RJ21" s="551"/>
      <c r="RK21" s="551"/>
      <c r="RL21" s="551"/>
      <c r="RM21" s="551"/>
      <c r="RN21" s="551"/>
      <c r="RO21" s="551"/>
      <c r="RP21" s="551"/>
      <c r="RQ21" s="551"/>
      <c r="RR21" s="551"/>
      <c r="RS21" s="551"/>
      <c r="RT21" s="551"/>
      <c r="RU21" s="551"/>
      <c r="RV21" s="551"/>
      <c r="RW21" s="551"/>
      <c r="RX21" s="551"/>
      <c r="RY21" s="551"/>
      <c r="RZ21" s="551"/>
      <c r="SA21" s="551"/>
      <c r="SB21" s="551"/>
      <c r="SC21" s="551"/>
      <c r="SD21" s="551"/>
      <c r="SE21" s="551"/>
      <c r="SF21" s="551"/>
      <c r="SG21" s="551"/>
      <c r="SH21" s="551"/>
      <c r="SI21" s="551"/>
      <c r="SJ21" s="551"/>
      <c r="SK21" s="551"/>
      <c r="SL21" s="551"/>
      <c r="SM21" s="551"/>
      <c r="SN21" s="551"/>
      <c r="SO21" s="551"/>
      <c r="SP21" s="551"/>
      <c r="SQ21" s="551"/>
      <c r="SR21" s="551"/>
      <c r="SS21" s="551"/>
      <c r="ST21" s="551"/>
      <c r="SU21" s="551"/>
      <c r="SV21" s="551"/>
      <c r="SW21" s="551"/>
      <c r="SX21" s="551"/>
      <c r="SY21" s="551"/>
      <c r="SZ21" s="551"/>
      <c r="TA21" s="551"/>
      <c r="TB21" s="551"/>
      <c r="TC21" s="551"/>
      <c r="TD21" s="551"/>
      <c r="TE21" s="551"/>
      <c r="TF21" s="551"/>
      <c r="TG21" s="551"/>
      <c r="TH21" s="551"/>
      <c r="TI21" s="551"/>
      <c r="TJ21" s="551"/>
      <c r="TK21" s="551"/>
      <c r="TL21" s="551"/>
      <c r="TM21" s="551"/>
      <c r="TN21" s="551"/>
      <c r="TO21" s="551"/>
      <c r="TP21" s="551"/>
      <c r="TQ21" s="551"/>
      <c r="TR21" s="551"/>
      <c r="TS21" s="551"/>
      <c r="TT21" s="551"/>
      <c r="TU21" s="551"/>
      <c r="TV21" s="551"/>
      <c r="TW21" s="551"/>
      <c r="TX21" s="551"/>
      <c r="TY21" s="551"/>
      <c r="TZ21" s="551"/>
      <c r="UA21" s="551"/>
      <c r="UB21" s="551"/>
      <c r="UC21" s="551"/>
      <c r="UD21" s="551"/>
      <c r="UE21" s="551"/>
      <c r="UF21" s="551"/>
      <c r="UG21" s="551"/>
      <c r="UH21" s="551"/>
      <c r="UI21" s="551"/>
      <c r="UJ21" s="551"/>
      <c r="UK21" s="551"/>
      <c r="UL21" s="551"/>
      <c r="UM21" s="551"/>
      <c r="UN21" s="551"/>
      <c r="UO21" s="551"/>
      <c r="UP21" s="551"/>
      <c r="UQ21" s="551"/>
      <c r="UR21" s="551"/>
      <c r="US21" s="551"/>
      <c r="UT21" s="551"/>
      <c r="UU21" s="551"/>
      <c r="UV21" s="551"/>
      <c r="UW21" s="551"/>
      <c r="UX21" s="551"/>
      <c r="UY21" s="551"/>
      <c r="UZ21" s="551"/>
      <c r="VA21" s="551"/>
      <c r="VB21" s="551"/>
      <c r="VC21" s="551"/>
      <c r="VD21" s="551"/>
      <c r="VE21" s="551"/>
      <c r="VF21" s="551"/>
      <c r="VG21" s="551"/>
      <c r="VH21" s="551"/>
      <c r="VI21" s="551"/>
      <c r="VJ21" s="551"/>
      <c r="VK21" s="551"/>
      <c r="VL21" s="551"/>
      <c r="VM21" s="551"/>
      <c r="VN21" s="551"/>
      <c r="VO21" s="551"/>
      <c r="VP21" s="551"/>
      <c r="VQ21" s="551"/>
      <c r="VR21" s="551"/>
      <c r="VS21" s="551"/>
      <c r="VT21" s="551"/>
      <c r="VU21" s="551"/>
      <c r="VV21" s="551"/>
      <c r="VW21" s="551"/>
      <c r="VX21" s="551"/>
      <c r="VY21" s="551"/>
      <c r="VZ21" s="551"/>
      <c r="WA21" s="551"/>
      <c r="WB21" s="551"/>
      <c r="WC21" s="551"/>
      <c r="WD21" s="551"/>
      <c r="WE21" s="551"/>
      <c r="WF21" s="551"/>
      <c r="WG21" s="551"/>
      <c r="WH21" s="551"/>
      <c r="WI21" s="551"/>
      <c r="WJ21" s="551"/>
      <c r="WK21" s="551"/>
      <c r="WL21" s="551"/>
      <c r="WM21" s="551"/>
      <c r="WN21" s="551"/>
      <c r="WO21" s="551"/>
      <c r="WP21" s="551"/>
      <c r="WQ21" s="551"/>
      <c r="WR21" s="551"/>
      <c r="WS21" s="551"/>
      <c r="WT21" s="551"/>
      <c r="WU21" s="551"/>
      <c r="WV21" s="551"/>
      <c r="WW21" s="551"/>
      <c r="WX21" s="551"/>
      <c r="WY21" s="551"/>
      <c r="WZ21" s="551"/>
      <c r="XA21" s="551"/>
      <c r="XB21" s="551"/>
      <c r="XC21" s="551"/>
      <c r="XD21" s="551"/>
      <c r="XE21" s="551"/>
      <c r="XF21" s="551"/>
      <c r="XG21" s="551"/>
      <c r="XH21" s="551"/>
      <c r="XI21" s="551"/>
      <c r="XJ21" s="551"/>
      <c r="XK21" s="551"/>
      <c r="XL21" s="551"/>
      <c r="XM21" s="551"/>
      <c r="XN21" s="551"/>
      <c r="XO21" s="551"/>
      <c r="XP21" s="551"/>
      <c r="XQ21" s="551"/>
      <c r="XR21" s="551"/>
      <c r="XS21" s="551"/>
      <c r="XT21" s="551"/>
      <c r="XU21" s="551"/>
      <c r="XV21" s="551"/>
      <c r="XW21" s="551"/>
      <c r="XX21" s="551"/>
      <c r="XY21" s="551"/>
      <c r="XZ21" s="551"/>
      <c r="YA21" s="551"/>
      <c r="YB21" s="551"/>
      <c r="YC21" s="551"/>
      <c r="YD21" s="551"/>
      <c r="YE21" s="551"/>
      <c r="YF21" s="551"/>
      <c r="YG21" s="551"/>
      <c r="YH21" s="551"/>
      <c r="YI21" s="551"/>
      <c r="YJ21" s="551"/>
      <c r="YK21" s="551"/>
      <c r="YL21" s="551"/>
      <c r="YM21" s="551"/>
      <c r="YN21" s="551"/>
      <c r="YO21" s="551"/>
      <c r="YP21" s="551"/>
      <c r="YQ21" s="551"/>
      <c r="YR21" s="551"/>
      <c r="YS21" s="551"/>
      <c r="YT21" s="551"/>
      <c r="YU21" s="551"/>
      <c r="YV21" s="551"/>
      <c r="YW21" s="551"/>
      <c r="YX21" s="551"/>
      <c r="YY21" s="551"/>
      <c r="YZ21" s="551"/>
      <c r="ZA21" s="551"/>
      <c r="ZB21" s="551"/>
      <c r="ZC21" s="551"/>
      <c r="ZD21" s="551"/>
      <c r="ZE21" s="551"/>
      <c r="ZF21" s="551"/>
      <c r="ZG21" s="551"/>
      <c r="ZH21" s="551"/>
      <c r="ZI21" s="551"/>
      <c r="ZJ21" s="551"/>
      <c r="ZK21" s="551"/>
      <c r="ZL21" s="551"/>
      <c r="ZM21" s="551"/>
      <c r="ZN21" s="551"/>
      <c r="ZO21" s="551"/>
      <c r="ZP21" s="551"/>
      <c r="ZQ21" s="551"/>
      <c r="ZR21" s="551"/>
      <c r="ZS21" s="551"/>
      <c r="ZT21" s="551"/>
      <c r="ZU21" s="551"/>
      <c r="ZV21" s="551"/>
      <c r="ZW21" s="551"/>
      <c r="ZX21" s="551"/>
      <c r="ZY21" s="551"/>
      <c r="ZZ21" s="551"/>
      <c r="AAA21" s="551"/>
      <c r="AAB21" s="551"/>
      <c r="AAC21" s="551"/>
      <c r="AAD21" s="551"/>
      <c r="AAE21" s="551"/>
      <c r="AAF21" s="551"/>
      <c r="AAG21" s="551"/>
      <c r="AAH21" s="551"/>
      <c r="AAI21" s="551"/>
      <c r="AAJ21" s="551"/>
      <c r="AAK21" s="551"/>
      <c r="AAL21" s="551"/>
      <c r="AAM21" s="551"/>
      <c r="AAN21" s="551"/>
      <c r="AAO21" s="551"/>
      <c r="AAP21" s="551"/>
      <c r="AAQ21" s="551"/>
      <c r="AAR21" s="551"/>
      <c r="AAS21" s="551"/>
      <c r="AAT21" s="551"/>
      <c r="AAU21" s="551"/>
      <c r="AAV21" s="551"/>
      <c r="AAW21" s="551"/>
      <c r="AAX21" s="551"/>
      <c r="AAY21" s="551"/>
      <c r="AAZ21" s="551"/>
      <c r="ABA21" s="551"/>
      <c r="ABB21" s="551"/>
      <c r="ABC21" s="551"/>
      <c r="ABD21" s="551"/>
      <c r="ABE21" s="551"/>
      <c r="ABF21" s="551"/>
      <c r="ABG21" s="551"/>
      <c r="ABH21" s="551"/>
      <c r="ABI21" s="551"/>
      <c r="ABJ21" s="551"/>
      <c r="ABK21" s="551"/>
      <c r="ABL21" s="551"/>
      <c r="ABM21" s="551"/>
      <c r="ABN21" s="551"/>
      <c r="ABO21" s="551"/>
      <c r="ABP21" s="551"/>
      <c r="ABQ21" s="551"/>
      <c r="ABR21" s="551"/>
      <c r="ABS21" s="551"/>
      <c r="ABT21" s="551"/>
      <c r="ABU21" s="551"/>
      <c r="ABV21" s="551"/>
      <c r="ABW21" s="551"/>
      <c r="ABX21" s="551"/>
      <c r="ABY21" s="551"/>
      <c r="ABZ21" s="551"/>
      <c r="ACA21" s="551"/>
      <c r="ACB21" s="551"/>
      <c r="ACC21" s="551"/>
      <c r="ACD21" s="551"/>
      <c r="ACE21" s="551"/>
      <c r="ACF21" s="551"/>
      <c r="ACG21" s="551"/>
      <c r="ACH21" s="551"/>
      <c r="ACI21" s="551"/>
      <c r="ACJ21" s="551"/>
      <c r="ACK21" s="551"/>
      <c r="ACL21" s="551"/>
      <c r="ACM21" s="551"/>
      <c r="ACN21" s="551"/>
      <c r="ACO21" s="551"/>
      <c r="ACP21" s="551"/>
      <c r="ACQ21" s="551"/>
      <c r="ACR21" s="551"/>
      <c r="ACS21" s="551"/>
      <c r="ACT21" s="551"/>
      <c r="ACU21" s="551"/>
      <c r="ACV21" s="551"/>
      <c r="ACW21" s="551"/>
      <c r="ACX21" s="551"/>
      <c r="ACY21" s="551"/>
      <c r="ACZ21" s="551"/>
      <c r="ADA21" s="551"/>
      <c r="ADB21" s="551"/>
      <c r="ADC21" s="551"/>
      <c r="ADD21" s="551"/>
      <c r="ADE21" s="551"/>
      <c r="ADF21" s="551"/>
      <c r="ADG21" s="551"/>
      <c r="ADH21" s="551"/>
      <c r="ADI21" s="551"/>
      <c r="ADJ21" s="551"/>
      <c r="ADK21" s="551"/>
      <c r="ADL21" s="551"/>
      <c r="ADM21" s="551"/>
      <c r="ADN21" s="551"/>
      <c r="ADO21" s="551"/>
      <c r="ADP21" s="551"/>
      <c r="ADQ21" s="551"/>
      <c r="ADR21" s="551"/>
      <c r="ADS21" s="551"/>
      <c r="ADT21" s="551"/>
      <c r="ADU21" s="551"/>
      <c r="ADV21" s="551"/>
      <c r="ADW21" s="551"/>
      <c r="ADX21" s="551"/>
      <c r="ADY21" s="551"/>
      <c r="ADZ21" s="551"/>
      <c r="AEA21" s="551"/>
      <c r="AEB21" s="551"/>
      <c r="AEC21" s="551"/>
      <c r="AED21" s="551"/>
      <c r="AEE21" s="551"/>
      <c r="AEF21" s="551"/>
      <c r="AEG21" s="551"/>
      <c r="AEH21" s="551"/>
      <c r="AEI21" s="551"/>
      <c r="AEJ21" s="551"/>
      <c r="AEK21" s="551"/>
      <c r="AEL21" s="551"/>
      <c r="AEM21" s="551"/>
      <c r="AEN21" s="551"/>
      <c r="AEO21" s="551"/>
      <c r="AEP21" s="551"/>
      <c r="AEQ21" s="551"/>
      <c r="AER21" s="551"/>
      <c r="AES21" s="551"/>
      <c r="AET21" s="551"/>
      <c r="AEU21" s="551"/>
      <c r="AEV21" s="551"/>
      <c r="AEW21" s="551"/>
      <c r="AEX21" s="551"/>
      <c r="AEY21" s="551"/>
      <c r="AEZ21" s="551"/>
      <c r="AFA21" s="551"/>
      <c r="AFB21" s="551"/>
      <c r="AFC21" s="551"/>
      <c r="AFD21" s="551"/>
      <c r="AFE21" s="551"/>
      <c r="AFF21" s="551"/>
      <c r="AFG21" s="551"/>
      <c r="AFH21" s="551"/>
      <c r="AFI21" s="551"/>
      <c r="AFJ21" s="551"/>
      <c r="AFK21" s="551"/>
      <c r="AFL21" s="551"/>
      <c r="AFM21" s="551"/>
      <c r="AFN21" s="551"/>
      <c r="AFO21" s="551"/>
      <c r="AFP21" s="551"/>
      <c r="AFQ21" s="551"/>
      <c r="AFR21" s="551"/>
      <c r="AFS21" s="551"/>
      <c r="AFT21" s="551"/>
      <c r="AFU21" s="551"/>
      <c r="AFV21" s="551"/>
      <c r="AFW21" s="551"/>
      <c r="AFX21" s="551"/>
      <c r="AFY21" s="551"/>
      <c r="AFZ21" s="551"/>
      <c r="AGA21" s="551"/>
      <c r="AGB21" s="551"/>
      <c r="AGC21" s="551"/>
      <c r="AGD21" s="551"/>
      <c r="AGE21" s="551"/>
      <c r="AGF21" s="551"/>
      <c r="AGG21" s="551"/>
      <c r="AGH21" s="551"/>
      <c r="AGI21" s="551"/>
      <c r="AGJ21" s="551"/>
      <c r="AGK21" s="551"/>
      <c r="AGL21" s="551"/>
      <c r="AGM21" s="551"/>
      <c r="AGN21" s="551"/>
      <c r="AGO21" s="551"/>
      <c r="AGP21" s="551"/>
      <c r="AGQ21" s="551"/>
      <c r="AGR21" s="551"/>
      <c r="AGS21" s="551"/>
      <c r="AGT21" s="551"/>
      <c r="AGU21" s="551"/>
      <c r="AGV21" s="551"/>
      <c r="AGW21" s="551"/>
      <c r="AGX21" s="551"/>
      <c r="AGY21" s="551"/>
      <c r="AGZ21" s="551"/>
      <c r="AHA21" s="551"/>
      <c r="AHB21" s="551"/>
      <c r="AHC21" s="551"/>
      <c r="AHD21" s="551"/>
      <c r="AHE21" s="551"/>
      <c r="AHF21" s="551"/>
      <c r="AHG21" s="551"/>
      <c r="AHH21" s="551"/>
      <c r="AHI21" s="551"/>
      <c r="AHJ21" s="551"/>
      <c r="AHK21" s="551"/>
      <c r="AHL21" s="551"/>
      <c r="AHM21" s="551"/>
      <c r="AHN21" s="551"/>
      <c r="AHO21" s="551"/>
      <c r="AHP21" s="551"/>
      <c r="AHQ21" s="551"/>
      <c r="AHR21" s="551"/>
      <c r="AHS21" s="551"/>
      <c r="AHT21" s="551"/>
      <c r="AHU21" s="551"/>
      <c r="AHV21" s="551"/>
      <c r="AHW21" s="551"/>
      <c r="AHX21" s="551"/>
      <c r="AHY21" s="551"/>
      <c r="AHZ21" s="551"/>
      <c r="AIA21" s="551"/>
      <c r="AIB21" s="551"/>
      <c r="AIC21" s="551"/>
      <c r="AID21" s="551"/>
      <c r="AIE21" s="551"/>
      <c r="AIF21" s="551"/>
      <c r="AIG21" s="551"/>
      <c r="AIH21" s="551"/>
      <c r="AII21" s="551"/>
      <c r="AIJ21" s="551"/>
      <c r="AIK21" s="551"/>
      <c r="AIL21" s="551"/>
      <c r="AIM21" s="551"/>
      <c r="AIN21" s="551"/>
      <c r="AIO21" s="551"/>
      <c r="AIP21" s="551"/>
      <c r="AIQ21" s="551"/>
      <c r="AIR21" s="551"/>
      <c r="AIS21" s="551"/>
      <c r="AIT21" s="551"/>
      <c r="AIU21" s="551"/>
      <c r="AIV21" s="551"/>
      <c r="AIW21" s="551"/>
      <c r="AIX21" s="551"/>
      <c r="AIY21" s="551"/>
      <c r="AIZ21" s="551"/>
      <c r="AJA21" s="551"/>
      <c r="AJB21" s="551"/>
      <c r="AJC21" s="551"/>
      <c r="AJD21" s="551"/>
      <c r="AJE21" s="551"/>
      <c r="AJF21" s="551"/>
      <c r="AJG21" s="551"/>
      <c r="AJH21" s="551"/>
      <c r="AJI21" s="551"/>
      <c r="AJJ21" s="551"/>
      <c r="AJK21" s="551"/>
      <c r="AJL21" s="551"/>
      <c r="AJM21" s="551"/>
      <c r="AJN21" s="551"/>
      <c r="AJO21" s="551"/>
      <c r="AJP21" s="551"/>
      <c r="AJQ21" s="551"/>
      <c r="AJR21" s="551"/>
    </row>
    <row r="22" spans="1:954" s="536" customFormat="1" ht="90" x14ac:dyDescent="0.25">
      <c r="A22" s="538" t="s">
        <v>209</v>
      </c>
      <c r="C22" s="540" t="s">
        <v>1425</v>
      </c>
      <c r="D22" s="540" t="s">
        <v>1426</v>
      </c>
      <c r="E22" s="541" t="s">
        <v>1406</v>
      </c>
      <c r="F22" s="541">
        <v>1</v>
      </c>
      <c r="G22" s="542">
        <v>1200000</v>
      </c>
      <c r="H22" s="542">
        <f t="shared" si="0"/>
        <v>983606.56</v>
      </c>
      <c r="M22" s="541">
        <v>2026</v>
      </c>
      <c r="N22" s="541">
        <v>3</v>
      </c>
      <c r="O22" s="541" t="s">
        <v>1416</v>
      </c>
      <c r="P22" s="543" t="s">
        <v>1417</v>
      </c>
      <c r="Q22" s="543" t="s">
        <v>1418</v>
      </c>
      <c r="S22" s="545" t="s">
        <v>1419</v>
      </c>
      <c r="V22" s="551"/>
      <c r="W22" s="551"/>
      <c r="X22" s="551"/>
      <c r="Y22" s="551"/>
      <c r="Z22" s="551"/>
      <c r="AA22" s="551"/>
      <c r="AB22" s="551"/>
      <c r="AC22" s="551"/>
      <c r="AD22" s="551"/>
      <c r="AE22" s="551"/>
      <c r="AF22" s="551"/>
      <c r="AG22" s="551"/>
      <c r="AH22" s="551"/>
      <c r="AI22" s="551"/>
      <c r="AJ22" s="551"/>
      <c r="AK22" s="551"/>
      <c r="AL22" s="551"/>
      <c r="AM22" s="551"/>
      <c r="AN22" s="551"/>
      <c r="AO22" s="551"/>
      <c r="AP22" s="551"/>
      <c r="AQ22" s="551"/>
      <c r="AR22" s="551"/>
      <c r="AS22" s="551"/>
      <c r="AT22" s="551"/>
      <c r="AU22" s="551"/>
      <c r="AV22" s="551"/>
      <c r="AW22" s="551"/>
      <c r="AX22" s="551"/>
      <c r="AY22" s="551"/>
      <c r="AZ22" s="551"/>
      <c r="BA22" s="551"/>
      <c r="BB22" s="551"/>
      <c r="BC22" s="551"/>
      <c r="BD22" s="551"/>
      <c r="BE22" s="551"/>
      <c r="BF22" s="551"/>
      <c r="BG22" s="551"/>
      <c r="BH22" s="551"/>
      <c r="BI22" s="551"/>
      <c r="BJ22" s="551"/>
      <c r="BK22" s="551"/>
      <c r="BL22" s="551"/>
      <c r="BM22" s="551"/>
      <c r="BN22" s="551"/>
      <c r="BO22" s="551"/>
      <c r="BP22" s="551"/>
      <c r="BQ22" s="551"/>
      <c r="BR22" s="551"/>
      <c r="BS22" s="551"/>
      <c r="BT22" s="551"/>
      <c r="BU22" s="551"/>
      <c r="BV22" s="551"/>
      <c r="BW22" s="551"/>
      <c r="BX22" s="551"/>
      <c r="BY22" s="551"/>
      <c r="BZ22" s="551"/>
      <c r="CA22" s="551"/>
      <c r="CB22" s="551"/>
      <c r="CC22" s="551"/>
      <c r="CD22" s="551"/>
      <c r="CE22" s="551"/>
      <c r="CF22" s="551"/>
      <c r="CG22" s="551"/>
      <c r="CH22" s="551"/>
      <c r="CI22" s="551"/>
      <c r="CJ22" s="551"/>
      <c r="CK22" s="551"/>
      <c r="CL22" s="551"/>
      <c r="CM22" s="551"/>
      <c r="CN22" s="551"/>
      <c r="CO22" s="551"/>
      <c r="CP22" s="551"/>
      <c r="CQ22" s="551"/>
      <c r="CR22" s="551"/>
      <c r="CS22" s="551"/>
      <c r="CT22" s="551"/>
      <c r="CU22" s="551"/>
      <c r="CV22" s="551"/>
      <c r="CW22" s="551"/>
      <c r="CX22" s="551"/>
      <c r="CY22" s="551"/>
      <c r="CZ22" s="552"/>
      <c r="DA22" s="553"/>
      <c r="DB22" s="553"/>
      <c r="DC22" s="553"/>
      <c r="DD22" s="553"/>
      <c r="DE22" s="553"/>
      <c r="DF22" s="553"/>
      <c r="DG22" s="553"/>
      <c r="DH22" s="553"/>
      <c r="DI22" s="553"/>
      <c r="DJ22" s="553"/>
      <c r="DK22" s="553"/>
      <c r="DL22" s="553"/>
      <c r="DM22" s="553"/>
      <c r="DN22" s="553"/>
      <c r="DO22" s="553"/>
      <c r="DP22" s="553"/>
      <c r="DQ22" s="553"/>
      <c r="DR22" s="553"/>
      <c r="DS22" s="553"/>
      <c r="DT22" s="553"/>
      <c r="DU22" s="553"/>
      <c r="DV22" s="553"/>
      <c r="DW22" s="553"/>
      <c r="DX22" s="553"/>
      <c r="DY22" s="553"/>
      <c r="DZ22" s="553"/>
      <c r="EA22" s="553"/>
      <c r="EB22" s="553"/>
      <c r="EC22" s="553"/>
      <c r="ED22" s="553"/>
      <c r="EE22" s="553"/>
      <c r="EF22" s="553"/>
      <c r="EG22" s="553"/>
      <c r="EH22" s="553"/>
      <c r="EI22" s="553"/>
      <c r="EJ22" s="553"/>
      <c r="EK22" s="553"/>
      <c r="EL22" s="553"/>
      <c r="EM22" s="553"/>
      <c r="EN22" s="553"/>
      <c r="EO22" s="553"/>
      <c r="EP22" s="553"/>
      <c r="EQ22" s="553"/>
      <c r="ER22" s="553"/>
      <c r="ES22" s="553"/>
      <c r="ET22" s="553"/>
      <c r="EU22" s="553"/>
      <c r="EV22" s="553"/>
      <c r="EW22" s="553"/>
      <c r="EX22" s="553"/>
      <c r="EY22" s="553"/>
      <c r="EZ22" s="553"/>
      <c r="FA22" s="553"/>
      <c r="FB22" s="553"/>
      <c r="FC22" s="553"/>
      <c r="FD22" s="553"/>
      <c r="FE22" s="553"/>
      <c r="FF22" s="553"/>
      <c r="FG22" s="553"/>
      <c r="FH22" s="553"/>
      <c r="FI22" s="553"/>
      <c r="FJ22" s="553"/>
      <c r="FK22" s="553"/>
      <c r="FL22" s="553"/>
      <c r="FM22" s="553"/>
      <c r="FN22" s="553"/>
      <c r="FO22" s="553"/>
      <c r="FP22" s="553"/>
      <c r="FQ22" s="553"/>
      <c r="FR22" s="553"/>
      <c r="FS22" s="553"/>
      <c r="FT22" s="553"/>
      <c r="FU22" s="553"/>
      <c r="FV22" s="553"/>
      <c r="FW22" s="553"/>
      <c r="FX22" s="553"/>
      <c r="FY22" s="553"/>
      <c r="FZ22" s="553"/>
      <c r="GA22" s="553"/>
      <c r="GB22" s="553"/>
      <c r="GC22" s="553"/>
      <c r="GD22" s="553"/>
      <c r="GE22" s="553"/>
      <c r="GF22" s="553"/>
      <c r="GG22" s="553"/>
      <c r="GH22" s="553"/>
      <c r="GI22" s="553"/>
      <c r="GJ22" s="553"/>
      <c r="GK22" s="553"/>
      <c r="GL22" s="553"/>
      <c r="GM22" s="553"/>
      <c r="GN22" s="553"/>
      <c r="GO22" s="553"/>
      <c r="GP22" s="553"/>
      <c r="GQ22" s="553"/>
      <c r="GR22" s="553"/>
      <c r="GS22" s="553"/>
      <c r="GT22" s="553"/>
      <c r="GU22" s="553"/>
      <c r="GV22" s="553"/>
      <c r="GW22" s="553"/>
      <c r="GX22" s="553"/>
      <c r="GY22" s="553"/>
      <c r="GZ22" s="553"/>
      <c r="HA22" s="553"/>
      <c r="HB22" s="553"/>
      <c r="HC22" s="553"/>
      <c r="HD22" s="553"/>
      <c r="HE22" s="553"/>
      <c r="HF22" s="553"/>
      <c r="HG22" s="553"/>
      <c r="HH22" s="553"/>
      <c r="HI22" s="553"/>
      <c r="HJ22" s="553"/>
      <c r="HK22" s="553"/>
      <c r="HL22" s="553"/>
      <c r="HM22" s="553"/>
      <c r="HN22" s="553"/>
      <c r="HO22" s="553"/>
      <c r="HP22" s="553"/>
      <c r="HQ22" s="553"/>
      <c r="HR22" s="553"/>
      <c r="HS22" s="553"/>
      <c r="HT22" s="553"/>
      <c r="HU22" s="553"/>
      <c r="HV22" s="553"/>
      <c r="HW22" s="553"/>
      <c r="HX22" s="553"/>
      <c r="HY22" s="553"/>
      <c r="HZ22" s="553"/>
      <c r="IA22" s="553"/>
      <c r="IB22" s="553"/>
      <c r="IC22" s="553"/>
      <c r="ID22" s="553"/>
      <c r="IE22" s="553"/>
      <c r="IF22" s="553"/>
      <c r="IG22" s="553"/>
      <c r="IH22" s="553"/>
      <c r="II22" s="553"/>
      <c r="IJ22" s="553"/>
      <c r="IK22" s="553"/>
      <c r="IL22" s="553"/>
      <c r="IM22" s="553"/>
      <c r="IN22" s="553"/>
      <c r="IO22" s="553"/>
      <c r="IP22" s="553"/>
      <c r="IQ22" s="553"/>
      <c r="IR22" s="553"/>
      <c r="IS22" s="553"/>
      <c r="IT22" s="553"/>
      <c r="IU22" s="553"/>
      <c r="IV22" s="553"/>
      <c r="IW22" s="553"/>
      <c r="IX22" s="553"/>
      <c r="IY22" s="553"/>
      <c r="IZ22" s="553"/>
      <c r="JA22" s="553"/>
      <c r="JB22" s="553"/>
      <c r="JC22" s="553"/>
      <c r="JD22" s="553"/>
      <c r="JE22" s="553"/>
      <c r="JF22" s="553"/>
      <c r="JG22" s="553"/>
      <c r="JH22" s="553"/>
      <c r="JI22" s="553"/>
      <c r="JJ22" s="553"/>
      <c r="JK22" s="553"/>
      <c r="JL22" s="553"/>
      <c r="JM22" s="553"/>
      <c r="JN22" s="553"/>
      <c r="JO22" s="553"/>
      <c r="JP22" s="553"/>
      <c r="JQ22" s="553"/>
      <c r="JR22" s="553"/>
      <c r="JS22" s="553"/>
      <c r="JT22" s="553"/>
      <c r="JU22" s="553"/>
      <c r="JV22" s="553"/>
      <c r="JW22" s="553"/>
      <c r="JX22" s="553"/>
      <c r="JY22" s="553"/>
      <c r="JZ22" s="553"/>
      <c r="KA22" s="553"/>
      <c r="KB22" s="553"/>
      <c r="KC22" s="553"/>
      <c r="KD22" s="553"/>
      <c r="KE22" s="553"/>
      <c r="KF22" s="553"/>
      <c r="KG22" s="553"/>
      <c r="KH22" s="553"/>
      <c r="KI22" s="553"/>
      <c r="KJ22" s="553"/>
      <c r="KK22" s="553"/>
      <c r="KL22" s="553"/>
      <c r="KM22" s="553"/>
      <c r="KN22" s="553"/>
      <c r="KO22" s="553"/>
      <c r="KP22" s="553"/>
      <c r="KQ22" s="553"/>
      <c r="KR22" s="553"/>
      <c r="KS22" s="553"/>
      <c r="KT22" s="553"/>
      <c r="KU22" s="553"/>
      <c r="KV22" s="553"/>
      <c r="KW22" s="553"/>
      <c r="KX22" s="553"/>
      <c r="KY22" s="553"/>
      <c r="KZ22" s="553"/>
      <c r="LA22" s="553"/>
      <c r="LB22" s="553"/>
      <c r="LC22" s="553"/>
      <c r="LD22" s="553"/>
      <c r="LE22" s="553"/>
      <c r="LF22" s="553"/>
      <c r="LG22" s="553"/>
      <c r="LH22" s="553"/>
      <c r="LI22" s="553"/>
      <c r="LJ22" s="553"/>
      <c r="LK22" s="553"/>
      <c r="LL22" s="553"/>
      <c r="LM22" s="553"/>
      <c r="LN22" s="553"/>
      <c r="LO22" s="553"/>
      <c r="LP22" s="553"/>
      <c r="LQ22" s="553"/>
      <c r="LR22" s="553"/>
      <c r="LS22" s="553"/>
      <c r="LT22" s="553"/>
      <c r="LU22" s="553"/>
      <c r="LV22" s="553"/>
      <c r="LW22" s="553"/>
      <c r="LX22" s="553"/>
      <c r="LY22" s="553"/>
      <c r="LZ22" s="553"/>
      <c r="MA22" s="553"/>
      <c r="MB22" s="553"/>
      <c r="MC22" s="553"/>
      <c r="MD22" s="553"/>
      <c r="ME22" s="553"/>
      <c r="MF22" s="553"/>
      <c r="MG22" s="553"/>
      <c r="MH22" s="553"/>
      <c r="MI22" s="553"/>
      <c r="MJ22" s="553"/>
      <c r="MK22" s="553"/>
      <c r="ML22" s="553"/>
      <c r="MM22" s="553"/>
      <c r="MN22" s="553"/>
      <c r="MO22" s="553"/>
      <c r="MP22" s="553"/>
      <c r="MQ22" s="553"/>
      <c r="MR22" s="553"/>
      <c r="MS22" s="553"/>
      <c r="MT22" s="553"/>
      <c r="MU22" s="553"/>
      <c r="MV22" s="553"/>
      <c r="MW22" s="553"/>
      <c r="MX22" s="553"/>
      <c r="MY22" s="553"/>
      <c r="MZ22" s="553"/>
      <c r="NA22" s="553"/>
      <c r="NB22" s="553"/>
      <c r="NC22" s="553"/>
      <c r="ND22" s="553"/>
      <c r="NE22" s="553"/>
      <c r="NF22" s="553"/>
      <c r="NG22" s="553"/>
      <c r="NH22" s="553"/>
      <c r="NI22" s="553"/>
      <c r="NJ22" s="553"/>
      <c r="NK22" s="553"/>
      <c r="NL22" s="553"/>
      <c r="NM22" s="553"/>
      <c r="NN22" s="553"/>
      <c r="NO22" s="553"/>
      <c r="NP22" s="553"/>
      <c r="NQ22" s="553"/>
      <c r="NR22" s="553"/>
      <c r="NS22" s="553"/>
      <c r="NT22" s="553"/>
      <c r="NU22" s="553"/>
      <c r="NV22" s="553"/>
      <c r="NW22" s="553"/>
      <c r="NX22" s="553"/>
      <c r="NY22" s="553"/>
      <c r="NZ22" s="553"/>
      <c r="OA22" s="553"/>
      <c r="OB22" s="553"/>
      <c r="OC22" s="553"/>
      <c r="OD22" s="553"/>
      <c r="OE22" s="553"/>
      <c r="OF22" s="553"/>
      <c r="OG22" s="553"/>
      <c r="OH22" s="553"/>
      <c r="OI22" s="553"/>
      <c r="OJ22" s="553"/>
      <c r="OK22" s="553"/>
      <c r="OL22" s="553"/>
      <c r="OM22" s="553"/>
      <c r="ON22" s="553"/>
      <c r="OO22" s="553"/>
      <c r="OP22" s="553"/>
      <c r="OQ22" s="553"/>
      <c r="OR22" s="553"/>
      <c r="OS22" s="553"/>
      <c r="OT22" s="553"/>
      <c r="OU22" s="553"/>
      <c r="OV22" s="553"/>
      <c r="OW22" s="553"/>
      <c r="OX22" s="553"/>
      <c r="OY22" s="553"/>
      <c r="OZ22" s="553"/>
      <c r="PA22" s="553"/>
      <c r="PB22" s="553"/>
      <c r="PC22" s="553"/>
      <c r="PD22" s="553"/>
      <c r="PE22" s="553"/>
      <c r="PF22" s="553"/>
      <c r="PG22" s="553"/>
      <c r="PH22" s="553"/>
      <c r="PI22" s="553"/>
      <c r="PJ22" s="553"/>
      <c r="PK22" s="553"/>
      <c r="PL22" s="553"/>
      <c r="PM22" s="553"/>
      <c r="PN22" s="553"/>
      <c r="PO22" s="553"/>
      <c r="PP22" s="553"/>
      <c r="PQ22" s="553"/>
      <c r="PR22" s="553"/>
      <c r="PS22" s="553"/>
      <c r="PT22" s="553"/>
      <c r="PU22" s="553"/>
      <c r="PV22" s="553"/>
      <c r="PW22" s="553"/>
      <c r="PX22" s="553"/>
      <c r="PY22" s="553"/>
      <c r="PZ22" s="553"/>
      <c r="QA22" s="553"/>
      <c r="QB22" s="553"/>
      <c r="QC22" s="553"/>
      <c r="QD22" s="553"/>
      <c r="QE22" s="553"/>
      <c r="QF22" s="553"/>
      <c r="QG22" s="553"/>
      <c r="QH22" s="553"/>
      <c r="QI22" s="553"/>
      <c r="QJ22" s="553"/>
      <c r="QK22" s="553"/>
      <c r="QL22" s="553"/>
      <c r="QM22" s="553"/>
      <c r="QN22" s="553"/>
      <c r="QO22" s="553"/>
      <c r="QP22" s="553"/>
      <c r="QQ22" s="553"/>
      <c r="QR22" s="553"/>
      <c r="QS22" s="553"/>
      <c r="QT22" s="553"/>
      <c r="QU22" s="553"/>
      <c r="QV22" s="553"/>
      <c r="QW22" s="553"/>
      <c r="QX22" s="553"/>
      <c r="QY22" s="553"/>
      <c r="QZ22" s="553"/>
      <c r="RA22" s="553"/>
      <c r="RB22" s="553"/>
      <c r="RC22" s="553"/>
      <c r="RD22" s="553"/>
      <c r="RE22" s="553"/>
      <c r="RF22" s="553"/>
      <c r="RG22" s="553"/>
      <c r="RH22" s="553"/>
      <c r="RI22" s="553"/>
      <c r="RJ22" s="553"/>
      <c r="RK22" s="553"/>
      <c r="RL22" s="553"/>
      <c r="RM22" s="553"/>
      <c r="RN22" s="553"/>
      <c r="RO22" s="553"/>
      <c r="RP22" s="553"/>
      <c r="RQ22" s="553"/>
      <c r="RR22" s="553"/>
      <c r="RS22" s="553"/>
      <c r="RT22" s="553"/>
      <c r="RU22" s="553"/>
      <c r="RV22" s="553"/>
      <c r="RW22" s="553"/>
      <c r="RX22" s="553"/>
      <c r="RY22" s="553"/>
      <c r="RZ22" s="553"/>
      <c r="SA22" s="553"/>
      <c r="SB22" s="553"/>
      <c r="SC22" s="553"/>
      <c r="SD22" s="553"/>
      <c r="SE22" s="553"/>
      <c r="SF22" s="553"/>
      <c r="SG22" s="553"/>
      <c r="SH22" s="553"/>
      <c r="SI22" s="553"/>
      <c r="SJ22" s="553"/>
      <c r="SK22" s="553"/>
      <c r="SL22" s="553"/>
      <c r="SM22" s="553"/>
      <c r="SN22" s="553"/>
      <c r="SO22" s="553"/>
      <c r="SP22" s="553"/>
      <c r="SQ22" s="553"/>
      <c r="SR22" s="553"/>
      <c r="SS22" s="553"/>
      <c r="ST22" s="553"/>
      <c r="SU22" s="553"/>
      <c r="SV22" s="553"/>
      <c r="SW22" s="553"/>
      <c r="SX22" s="553"/>
      <c r="SY22" s="553"/>
      <c r="SZ22" s="553"/>
      <c r="TA22" s="553"/>
      <c r="TB22" s="553"/>
      <c r="TC22" s="553"/>
      <c r="TD22" s="553"/>
      <c r="TE22" s="553"/>
      <c r="TF22" s="553"/>
      <c r="TG22" s="553"/>
      <c r="TH22" s="553"/>
      <c r="TI22" s="553"/>
      <c r="TJ22" s="553"/>
      <c r="TK22" s="553"/>
      <c r="TL22" s="553"/>
      <c r="TM22" s="553"/>
      <c r="TN22" s="553"/>
      <c r="TO22" s="553"/>
      <c r="TP22" s="553"/>
      <c r="TQ22" s="553"/>
      <c r="TR22" s="553"/>
      <c r="TS22" s="553"/>
      <c r="TT22" s="553"/>
      <c r="TU22" s="553"/>
      <c r="TV22" s="553"/>
      <c r="TW22" s="553"/>
      <c r="TX22" s="553"/>
      <c r="TY22" s="553"/>
      <c r="TZ22" s="553"/>
      <c r="UA22" s="553"/>
      <c r="UB22" s="553"/>
      <c r="UC22" s="553"/>
      <c r="UD22" s="553"/>
      <c r="UE22" s="553"/>
      <c r="UF22" s="553"/>
      <c r="UG22" s="553"/>
      <c r="UH22" s="553"/>
      <c r="UI22" s="553"/>
      <c r="UJ22" s="553"/>
      <c r="UK22" s="553"/>
      <c r="UL22" s="553"/>
      <c r="UM22" s="553"/>
      <c r="UN22" s="553"/>
      <c r="UO22" s="553"/>
      <c r="UP22" s="553"/>
      <c r="UQ22" s="553"/>
      <c r="UR22" s="553"/>
      <c r="US22" s="553"/>
      <c r="UT22" s="553"/>
      <c r="UU22" s="553"/>
      <c r="UV22" s="553"/>
      <c r="UW22" s="553"/>
      <c r="UX22" s="553"/>
      <c r="UY22" s="553"/>
      <c r="UZ22" s="553"/>
      <c r="VA22" s="553"/>
      <c r="VB22" s="553"/>
      <c r="VC22" s="553"/>
      <c r="VD22" s="553"/>
      <c r="VE22" s="553"/>
      <c r="VF22" s="553"/>
      <c r="VG22" s="553"/>
      <c r="VH22" s="553"/>
      <c r="VI22" s="553"/>
      <c r="VJ22" s="553"/>
      <c r="VK22" s="553"/>
      <c r="VL22" s="553"/>
      <c r="VM22" s="553"/>
      <c r="VN22" s="553"/>
      <c r="VO22" s="553"/>
      <c r="VP22" s="553"/>
      <c r="VQ22" s="553"/>
      <c r="VR22" s="553"/>
      <c r="VS22" s="553"/>
      <c r="VT22" s="553"/>
      <c r="VU22" s="553"/>
      <c r="VV22" s="553"/>
      <c r="VW22" s="553"/>
      <c r="VX22" s="553"/>
      <c r="VY22" s="553"/>
      <c r="VZ22" s="553"/>
      <c r="WA22" s="553"/>
      <c r="WB22" s="553"/>
      <c r="WC22" s="553"/>
      <c r="WD22" s="553"/>
      <c r="WE22" s="553"/>
      <c r="WF22" s="553"/>
      <c r="WG22" s="553"/>
      <c r="WH22" s="553"/>
      <c r="WI22" s="553"/>
      <c r="WJ22" s="553"/>
      <c r="WK22" s="553"/>
      <c r="WL22" s="553"/>
      <c r="WM22" s="553"/>
      <c r="WN22" s="553"/>
      <c r="WO22" s="553"/>
      <c r="WP22" s="553"/>
      <c r="WQ22" s="553"/>
      <c r="WR22" s="553"/>
      <c r="WS22" s="553"/>
      <c r="WT22" s="553"/>
      <c r="WU22" s="553"/>
      <c r="WV22" s="553"/>
      <c r="WW22" s="553"/>
      <c r="WX22" s="553"/>
      <c r="WY22" s="553"/>
      <c r="WZ22" s="553"/>
      <c r="XA22" s="553"/>
      <c r="XB22" s="553"/>
      <c r="XC22" s="553"/>
      <c r="XD22" s="553"/>
      <c r="XE22" s="553"/>
      <c r="XF22" s="553"/>
      <c r="XG22" s="553"/>
      <c r="XH22" s="553"/>
      <c r="XI22" s="553"/>
      <c r="XJ22" s="553"/>
      <c r="XK22" s="553"/>
      <c r="XL22" s="553"/>
      <c r="XM22" s="553"/>
      <c r="XN22" s="553"/>
      <c r="XO22" s="553"/>
      <c r="XP22" s="553"/>
      <c r="XQ22" s="553"/>
      <c r="XR22" s="553"/>
      <c r="XS22" s="553"/>
      <c r="XT22" s="553"/>
      <c r="XU22" s="553"/>
      <c r="XV22" s="553"/>
      <c r="XW22" s="553"/>
      <c r="XX22" s="553"/>
      <c r="XY22" s="553"/>
      <c r="XZ22" s="553"/>
      <c r="YA22" s="553"/>
      <c r="YB22" s="553"/>
      <c r="YC22" s="553"/>
      <c r="YD22" s="553"/>
      <c r="YE22" s="553"/>
      <c r="YF22" s="553"/>
      <c r="YG22" s="553"/>
      <c r="YH22" s="553"/>
      <c r="YI22" s="553"/>
      <c r="YJ22" s="553"/>
      <c r="YK22" s="553"/>
      <c r="YL22" s="553"/>
      <c r="YM22" s="553"/>
      <c r="YN22" s="553"/>
      <c r="YO22" s="553"/>
      <c r="YP22" s="553"/>
      <c r="YQ22" s="553"/>
      <c r="YR22" s="553"/>
      <c r="YS22" s="553"/>
      <c r="YT22" s="553"/>
      <c r="YU22" s="553"/>
      <c r="YV22" s="553"/>
      <c r="YW22" s="553"/>
      <c r="YX22" s="553"/>
      <c r="YY22" s="553"/>
      <c r="YZ22" s="553"/>
      <c r="ZA22" s="553"/>
      <c r="ZB22" s="553"/>
      <c r="ZC22" s="553"/>
      <c r="ZD22" s="553"/>
      <c r="ZE22" s="553"/>
      <c r="ZF22" s="553"/>
      <c r="ZG22" s="553"/>
      <c r="ZH22" s="553"/>
      <c r="ZI22" s="553"/>
      <c r="ZJ22" s="553"/>
      <c r="ZK22" s="553"/>
      <c r="ZL22" s="553"/>
      <c r="ZM22" s="553"/>
      <c r="ZN22" s="553"/>
      <c r="ZO22" s="553"/>
      <c r="ZP22" s="553"/>
      <c r="ZQ22" s="553"/>
      <c r="ZR22" s="553"/>
      <c r="ZS22" s="553"/>
      <c r="ZT22" s="553"/>
      <c r="ZU22" s="553"/>
      <c r="ZV22" s="553"/>
      <c r="ZW22" s="553"/>
      <c r="ZX22" s="553"/>
      <c r="ZY22" s="553"/>
      <c r="ZZ22" s="553"/>
      <c r="AAA22" s="553"/>
      <c r="AAB22" s="553"/>
      <c r="AAC22" s="553"/>
      <c r="AAD22" s="553"/>
      <c r="AAE22" s="553"/>
      <c r="AAF22" s="553"/>
      <c r="AAG22" s="553"/>
      <c r="AAH22" s="553"/>
      <c r="AAI22" s="553"/>
      <c r="AAJ22" s="553"/>
      <c r="AAK22" s="553"/>
      <c r="AAL22" s="553"/>
      <c r="AAM22" s="553"/>
      <c r="AAN22" s="553"/>
      <c r="AAO22" s="553"/>
      <c r="AAP22" s="553"/>
      <c r="AAQ22" s="553"/>
      <c r="AAR22" s="553"/>
      <c r="AAS22" s="553"/>
      <c r="AAT22" s="553"/>
      <c r="AAU22" s="553"/>
      <c r="AAV22" s="553"/>
      <c r="AAW22" s="553"/>
      <c r="AAX22" s="553"/>
      <c r="AAY22" s="553"/>
      <c r="AAZ22" s="553"/>
      <c r="ABA22" s="553"/>
      <c r="ABB22" s="553"/>
      <c r="ABC22" s="553"/>
      <c r="ABD22" s="553"/>
      <c r="ABE22" s="553"/>
      <c r="ABF22" s="553"/>
      <c r="ABG22" s="553"/>
      <c r="ABH22" s="553"/>
      <c r="ABI22" s="553"/>
      <c r="ABJ22" s="553"/>
      <c r="ABK22" s="553"/>
      <c r="ABL22" s="553"/>
      <c r="ABM22" s="553"/>
      <c r="ABN22" s="553"/>
      <c r="ABO22" s="553"/>
      <c r="ABP22" s="553"/>
      <c r="ABQ22" s="553"/>
      <c r="ABR22" s="553"/>
      <c r="ABS22" s="553"/>
      <c r="ABT22" s="553"/>
      <c r="ABU22" s="553"/>
      <c r="ABV22" s="553"/>
      <c r="ABW22" s="553"/>
      <c r="ABX22" s="553"/>
      <c r="ABY22" s="553"/>
      <c r="ABZ22" s="553"/>
      <c r="ACA22" s="553"/>
      <c r="ACB22" s="553"/>
      <c r="ACC22" s="553"/>
      <c r="ACD22" s="553"/>
      <c r="ACE22" s="553"/>
      <c r="ACF22" s="553"/>
      <c r="ACG22" s="553"/>
      <c r="ACH22" s="553"/>
      <c r="ACI22" s="553"/>
      <c r="ACJ22" s="553"/>
      <c r="ACK22" s="553"/>
      <c r="ACL22" s="553"/>
      <c r="ACM22" s="553"/>
      <c r="ACN22" s="553"/>
      <c r="ACO22" s="553"/>
      <c r="ACP22" s="553"/>
      <c r="ACQ22" s="553"/>
      <c r="ACR22" s="553"/>
      <c r="ACS22" s="553"/>
      <c r="ACT22" s="553"/>
      <c r="ACU22" s="553"/>
      <c r="ACV22" s="553"/>
      <c r="ACW22" s="553"/>
      <c r="ACX22" s="553"/>
      <c r="ACY22" s="553"/>
      <c r="ACZ22" s="553"/>
      <c r="ADA22" s="553"/>
      <c r="ADB22" s="553"/>
      <c r="ADC22" s="553"/>
      <c r="ADD22" s="553"/>
      <c r="ADE22" s="553"/>
      <c r="ADF22" s="553"/>
      <c r="ADG22" s="553"/>
      <c r="ADH22" s="553"/>
      <c r="ADI22" s="553"/>
      <c r="ADJ22" s="553"/>
      <c r="ADK22" s="553"/>
      <c r="ADL22" s="553"/>
      <c r="ADM22" s="553"/>
      <c r="ADN22" s="553"/>
      <c r="ADO22" s="553"/>
      <c r="ADP22" s="553"/>
      <c r="ADQ22" s="553"/>
      <c r="ADR22" s="553"/>
      <c r="ADS22" s="553"/>
      <c r="ADT22" s="553"/>
      <c r="ADU22" s="553"/>
      <c r="ADV22" s="553"/>
      <c r="ADW22" s="553"/>
      <c r="ADX22" s="553"/>
      <c r="ADY22" s="553"/>
      <c r="ADZ22" s="553"/>
      <c r="AEA22" s="553"/>
      <c r="AEB22" s="553"/>
      <c r="AEC22" s="553"/>
      <c r="AED22" s="553"/>
      <c r="AEE22" s="553"/>
      <c r="AEF22" s="553"/>
      <c r="AEG22" s="553"/>
      <c r="AEH22" s="553"/>
      <c r="AEI22" s="553"/>
      <c r="AEJ22" s="553"/>
      <c r="AEK22" s="553"/>
      <c r="AEL22" s="553"/>
      <c r="AEM22" s="553"/>
      <c r="AEN22" s="553"/>
      <c r="AEO22" s="553"/>
      <c r="AEP22" s="553"/>
      <c r="AEQ22" s="553"/>
      <c r="AER22" s="553"/>
      <c r="AES22" s="553"/>
      <c r="AET22" s="553"/>
      <c r="AEU22" s="553"/>
      <c r="AEV22" s="553"/>
      <c r="AEW22" s="553"/>
      <c r="AEX22" s="553"/>
      <c r="AEY22" s="553"/>
      <c r="AEZ22" s="553"/>
      <c r="AFA22" s="553"/>
      <c r="AFB22" s="553"/>
      <c r="AFC22" s="553"/>
      <c r="AFD22" s="553"/>
      <c r="AFE22" s="553"/>
      <c r="AFF22" s="553"/>
      <c r="AFG22" s="553"/>
      <c r="AFH22" s="553"/>
      <c r="AFI22" s="553"/>
      <c r="AFJ22" s="553"/>
      <c r="AFK22" s="553"/>
      <c r="AFL22" s="553"/>
      <c r="AFM22" s="553"/>
      <c r="AFN22" s="553"/>
      <c r="AFO22" s="553"/>
      <c r="AFP22" s="553"/>
      <c r="AFQ22" s="553"/>
      <c r="AFR22" s="553"/>
      <c r="AFS22" s="553"/>
      <c r="AFT22" s="553"/>
      <c r="AFU22" s="553"/>
      <c r="AFV22" s="553"/>
      <c r="AFW22" s="553"/>
      <c r="AFX22" s="553"/>
      <c r="AFY22" s="553"/>
      <c r="AFZ22" s="553"/>
      <c r="AGA22" s="553"/>
      <c r="AGB22" s="553"/>
      <c r="AGC22" s="553"/>
      <c r="AGD22" s="553"/>
      <c r="AGE22" s="553"/>
      <c r="AGF22" s="553"/>
      <c r="AGG22" s="553"/>
      <c r="AGH22" s="553"/>
      <c r="AGI22" s="553"/>
      <c r="AGJ22" s="553"/>
      <c r="AGK22" s="553"/>
      <c r="AGL22" s="553"/>
      <c r="AGM22" s="553"/>
      <c r="AGN22" s="553"/>
      <c r="AGO22" s="553"/>
      <c r="AGP22" s="553"/>
      <c r="AGQ22" s="553"/>
      <c r="AGR22" s="553"/>
      <c r="AGS22" s="553"/>
      <c r="AGT22" s="553"/>
      <c r="AGU22" s="553"/>
      <c r="AGV22" s="553"/>
      <c r="AGW22" s="553"/>
      <c r="AGX22" s="553"/>
      <c r="AGY22" s="553"/>
      <c r="AGZ22" s="553"/>
      <c r="AHA22" s="553"/>
      <c r="AHB22" s="553"/>
      <c r="AHC22" s="553"/>
      <c r="AHD22" s="553"/>
      <c r="AHE22" s="553"/>
      <c r="AHF22" s="553"/>
      <c r="AHG22" s="553"/>
      <c r="AHH22" s="553"/>
      <c r="AHI22" s="553"/>
      <c r="AHJ22" s="553"/>
      <c r="AHK22" s="553"/>
      <c r="AHL22" s="553"/>
      <c r="AHM22" s="553"/>
      <c r="AHN22" s="553"/>
      <c r="AHO22" s="553"/>
      <c r="AHP22" s="553"/>
      <c r="AHQ22" s="553"/>
      <c r="AHR22" s="553"/>
      <c r="AHS22" s="553"/>
      <c r="AHT22" s="553"/>
      <c r="AHU22" s="553"/>
      <c r="AHV22" s="553"/>
      <c r="AHW22" s="553"/>
      <c r="AHX22" s="553"/>
      <c r="AHY22" s="553"/>
      <c r="AHZ22" s="553"/>
      <c r="AIA22" s="553"/>
      <c r="AIB22" s="553"/>
      <c r="AIC22" s="553"/>
      <c r="AID22" s="553"/>
      <c r="AIE22" s="553"/>
      <c r="AIF22" s="553"/>
      <c r="AIG22" s="553"/>
      <c r="AIH22" s="553"/>
      <c r="AII22" s="553"/>
      <c r="AIJ22" s="553"/>
      <c r="AIK22" s="553"/>
      <c r="AIL22" s="553"/>
      <c r="AIM22" s="553"/>
      <c r="AIN22" s="553"/>
      <c r="AIO22" s="553"/>
      <c r="AIP22" s="553"/>
      <c r="AIQ22" s="553"/>
      <c r="AIR22" s="553"/>
      <c r="AIS22" s="553"/>
      <c r="AIT22" s="553"/>
      <c r="AIU22" s="553"/>
      <c r="AIV22" s="553"/>
      <c r="AIW22" s="553"/>
      <c r="AIX22" s="553"/>
      <c r="AIY22" s="553"/>
      <c r="AIZ22" s="553"/>
      <c r="AJA22" s="553"/>
      <c r="AJB22" s="553"/>
      <c r="AJC22" s="553"/>
      <c r="AJD22" s="553"/>
      <c r="AJE22" s="553"/>
      <c r="AJF22" s="553"/>
      <c r="AJG22" s="553"/>
      <c r="AJH22" s="553"/>
      <c r="AJI22" s="553"/>
      <c r="AJJ22" s="553"/>
      <c r="AJK22" s="553"/>
      <c r="AJL22" s="553"/>
      <c r="AJM22" s="553"/>
      <c r="AJN22" s="553"/>
      <c r="AJO22" s="553"/>
      <c r="AJP22" s="553"/>
      <c r="AJQ22" s="553"/>
      <c r="AJR22" s="553"/>
    </row>
    <row r="23" spans="1:954" s="555" customFormat="1" ht="120" x14ac:dyDescent="0.25">
      <c r="A23" s="538" t="s">
        <v>205</v>
      </c>
      <c r="B23" s="536"/>
      <c r="C23" s="540" t="s">
        <v>1427</v>
      </c>
      <c r="D23" s="540" t="s">
        <v>1428</v>
      </c>
      <c r="E23" s="541" t="s">
        <v>1406</v>
      </c>
      <c r="F23" s="541">
        <v>1</v>
      </c>
      <c r="G23" s="542">
        <v>1500000</v>
      </c>
      <c r="H23" s="542">
        <f t="shared" si="0"/>
        <v>1229508.2</v>
      </c>
      <c r="I23" s="536"/>
      <c r="J23" s="536"/>
      <c r="K23" s="536"/>
      <c r="L23" s="536"/>
      <c r="M23" s="541">
        <v>2026</v>
      </c>
      <c r="N23" s="541">
        <v>3</v>
      </c>
      <c r="O23" s="541" t="s">
        <v>1407</v>
      </c>
      <c r="P23" s="543" t="s">
        <v>1408</v>
      </c>
      <c r="Q23" s="543" t="s">
        <v>1409</v>
      </c>
      <c r="R23" s="541"/>
      <c r="S23" s="544" t="s">
        <v>1410</v>
      </c>
      <c r="T23" s="536"/>
      <c r="U23" s="536"/>
      <c r="V23" s="551"/>
      <c r="W23" s="551"/>
      <c r="X23" s="551"/>
      <c r="Y23" s="551"/>
      <c r="Z23" s="551"/>
      <c r="AA23" s="551"/>
      <c r="AB23" s="551"/>
      <c r="AC23" s="551"/>
      <c r="AD23" s="551"/>
      <c r="AE23" s="551"/>
      <c r="AF23" s="551"/>
      <c r="AG23" s="551"/>
      <c r="AH23" s="551"/>
      <c r="AI23" s="551"/>
      <c r="AJ23" s="551"/>
      <c r="AK23" s="551"/>
      <c r="AL23" s="551"/>
      <c r="AM23" s="551"/>
      <c r="AN23" s="551"/>
      <c r="AO23" s="551"/>
      <c r="AP23" s="551"/>
      <c r="AQ23" s="551"/>
      <c r="AR23" s="551"/>
      <c r="AS23" s="551"/>
      <c r="AT23" s="551"/>
      <c r="AU23" s="551"/>
      <c r="AV23" s="551"/>
      <c r="AW23" s="551"/>
      <c r="AX23" s="551"/>
      <c r="AY23" s="551"/>
      <c r="AZ23" s="551"/>
      <c r="BA23" s="551"/>
      <c r="BB23" s="551"/>
      <c r="BC23" s="551"/>
      <c r="BD23" s="551"/>
      <c r="BE23" s="551"/>
      <c r="BF23" s="551"/>
      <c r="BG23" s="551"/>
      <c r="BH23" s="551"/>
      <c r="BI23" s="551"/>
      <c r="BJ23" s="551"/>
      <c r="BK23" s="551"/>
      <c r="BL23" s="551"/>
      <c r="BM23" s="551"/>
      <c r="BN23" s="551"/>
      <c r="BO23" s="551"/>
      <c r="BP23" s="551"/>
      <c r="BQ23" s="551"/>
      <c r="BR23" s="551"/>
      <c r="BS23" s="551"/>
      <c r="BT23" s="551"/>
      <c r="BU23" s="551"/>
      <c r="BV23" s="551"/>
      <c r="BW23" s="551"/>
      <c r="BX23" s="551"/>
      <c r="BY23" s="551"/>
      <c r="BZ23" s="551"/>
      <c r="CA23" s="551"/>
      <c r="CB23" s="551"/>
      <c r="CC23" s="551"/>
      <c r="CD23" s="551"/>
      <c r="CE23" s="551"/>
      <c r="CF23" s="551"/>
      <c r="CG23" s="551"/>
      <c r="CH23" s="551"/>
      <c r="CI23" s="551"/>
      <c r="CJ23" s="551"/>
      <c r="CK23" s="551"/>
      <c r="CL23" s="551"/>
      <c r="CM23" s="551"/>
      <c r="CN23" s="551"/>
      <c r="CO23" s="551"/>
      <c r="CP23" s="551"/>
      <c r="CQ23" s="551"/>
      <c r="CR23" s="551"/>
      <c r="CS23" s="551"/>
      <c r="CT23" s="551"/>
      <c r="CU23" s="551"/>
      <c r="CV23" s="551"/>
      <c r="CW23" s="551"/>
      <c r="CX23" s="551"/>
      <c r="CY23" s="551"/>
      <c r="CZ23" s="554"/>
    </row>
    <row r="24" spans="1:954" s="555" customFormat="1" ht="120" x14ac:dyDescent="0.25">
      <c r="A24" s="556" t="s">
        <v>1429</v>
      </c>
      <c r="C24" s="557" t="s">
        <v>1427</v>
      </c>
      <c r="D24" s="557" t="s">
        <v>1428</v>
      </c>
      <c r="E24" s="558" t="s">
        <v>1406</v>
      </c>
      <c r="F24" s="558">
        <v>1</v>
      </c>
      <c r="G24" s="559">
        <v>1800000</v>
      </c>
      <c r="H24" s="559">
        <f t="shared" si="0"/>
        <v>1475409.84</v>
      </c>
      <c r="M24" s="558">
        <v>2026</v>
      </c>
      <c r="N24" s="558">
        <v>3</v>
      </c>
      <c r="O24" s="558" t="s">
        <v>1412</v>
      </c>
      <c r="P24" s="560" t="s">
        <v>1413</v>
      </c>
      <c r="Q24" s="560" t="s">
        <v>1414</v>
      </c>
      <c r="S24" s="561" t="s">
        <v>1415</v>
      </c>
      <c r="V24" s="551"/>
      <c r="W24" s="551"/>
      <c r="X24" s="551"/>
      <c r="Y24" s="551"/>
      <c r="Z24" s="551"/>
      <c r="AA24" s="551"/>
      <c r="AB24" s="551"/>
      <c r="AC24" s="551"/>
      <c r="AD24" s="551"/>
      <c r="AE24" s="551"/>
      <c r="AF24" s="551"/>
      <c r="AG24" s="551"/>
      <c r="AH24" s="551"/>
      <c r="AI24" s="551"/>
      <c r="AJ24" s="551"/>
      <c r="AK24" s="551"/>
      <c r="AL24" s="551"/>
      <c r="AM24" s="551"/>
      <c r="AN24" s="551"/>
      <c r="AO24" s="551"/>
      <c r="AP24" s="551"/>
      <c r="AQ24" s="551"/>
      <c r="AR24" s="551"/>
      <c r="AS24" s="551"/>
      <c r="AT24" s="551"/>
      <c r="AU24" s="551"/>
      <c r="AV24" s="551"/>
      <c r="AW24" s="551"/>
      <c r="AX24" s="551"/>
      <c r="AY24" s="551"/>
      <c r="AZ24" s="551"/>
      <c r="BA24" s="551"/>
      <c r="BB24" s="551"/>
      <c r="BC24" s="551"/>
      <c r="BD24" s="551"/>
      <c r="BE24" s="551"/>
      <c r="BF24" s="551"/>
      <c r="BG24" s="551"/>
      <c r="BH24" s="551"/>
      <c r="BI24" s="551"/>
      <c r="BJ24" s="551"/>
      <c r="BK24" s="551"/>
      <c r="BL24" s="551"/>
      <c r="BM24" s="551"/>
      <c r="BN24" s="551"/>
      <c r="BO24" s="551"/>
      <c r="BP24" s="551"/>
      <c r="BQ24" s="551"/>
      <c r="BR24" s="551"/>
      <c r="BS24" s="551"/>
      <c r="BT24" s="551"/>
      <c r="BU24" s="551"/>
      <c r="BV24" s="551"/>
      <c r="BW24" s="551"/>
      <c r="BX24" s="551"/>
      <c r="BY24" s="551"/>
      <c r="BZ24" s="551"/>
      <c r="CA24" s="551"/>
      <c r="CB24" s="551"/>
      <c r="CC24" s="551"/>
      <c r="CD24" s="551"/>
      <c r="CE24" s="551"/>
      <c r="CF24" s="551"/>
      <c r="CG24" s="551"/>
      <c r="CH24" s="551"/>
      <c r="CI24" s="551"/>
      <c r="CJ24" s="551"/>
      <c r="CK24" s="551"/>
      <c r="CL24" s="551"/>
      <c r="CM24" s="551"/>
      <c r="CN24" s="551"/>
      <c r="CO24" s="551"/>
      <c r="CP24" s="551"/>
      <c r="CQ24" s="551"/>
      <c r="CR24" s="551"/>
      <c r="CS24" s="551"/>
      <c r="CT24" s="551"/>
      <c r="CU24" s="551"/>
      <c r="CV24" s="551"/>
      <c r="CW24" s="551"/>
      <c r="CX24" s="551"/>
      <c r="CY24" s="551"/>
      <c r="CZ24" s="554"/>
    </row>
    <row r="25" spans="1:954" s="555" customFormat="1" ht="60" x14ac:dyDescent="0.25">
      <c r="A25" s="556" t="s">
        <v>1430</v>
      </c>
      <c r="C25" s="557" t="s">
        <v>1427</v>
      </c>
      <c r="D25" s="557" t="s">
        <v>1428</v>
      </c>
      <c r="E25" s="558" t="s">
        <v>1406</v>
      </c>
      <c r="F25" s="558">
        <v>1</v>
      </c>
      <c r="G25" s="559">
        <v>1750000</v>
      </c>
      <c r="H25" s="559">
        <f t="shared" si="0"/>
        <v>1434426.23</v>
      </c>
      <c r="M25" s="558">
        <v>2026</v>
      </c>
      <c r="N25" s="558">
        <v>3</v>
      </c>
      <c r="O25" s="558" t="s">
        <v>1416</v>
      </c>
      <c r="P25" s="560" t="s">
        <v>1417</v>
      </c>
      <c r="Q25" s="560" t="s">
        <v>1418</v>
      </c>
      <c r="S25" s="561" t="s">
        <v>1419</v>
      </c>
      <c r="V25" s="551"/>
      <c r="W25" s="551"/>
      <c r="X25" s="551"/>
      <c r="Y25" s="551"/>
      <c r="Z25" s="551"/>
      <c r="AA25" s="551"/>
      <c r="AB25" s="551"/>
      <c r="AC25" s="551"/>
      <c r="AD25" s="551"/>
      <c r="AE25" s="551"/>
      <c r="AF25" s="551"/>
      <c r="AG25" s="551"/>
      <c r="AH25" s="551"/>
      <c r="AI25" s="551"/>
      <c r="AJ25" s="551"/>
      <c r="AK25" s="551"/>
      <c r="AL25" s="551"/>
      <c r="AM25" s="551"/>
      <c r="AN25" s="551"/>
      <c r="AO25" s="551"/>
      <c r="AP25" s="551"/>
      <c r="AQ25" s="551"/>
      <c r="AR25" s="551"/>
      <c r="AS25" s="551"/>
      <c r="AT25" s="551"/>
      <c r="AU25" s="551"/>
      <c r="AV25" s="551"/>
      <c r="AW25" s="551"/>
      <c r="AX25" s="551"/>
      <c r="AY25" s="551"/>
      <c r="AZ25" s="551"/>
      <c r="BA25" s="551"/>
      <c r="BB25" s="551"/>
      <c r="BC25" s="551"/>
      <c r="BD25" s="551"/>
      <c r="BE25" s="551"/>
      <c r="BF25" s="551"/>
      <c r="BG25" s="551"/>
      <c r="BH25" s="551"/>
      <c r="BI25" s="551"/>
      <c r="BJ25" s="551"/>
      <c r="BK25" s="551"/>
      <c r="BL25" s="551"/>
      <c r="BM25" s="551"/>
      <c r="BN25" s="551"/>
      <c r="BO25" s="551"/>
      <c r="BP25" s="551"/>
      <c r="BQ25" s="551"/>
      <c r="BR25" s="551"/>
      <c r="BS25" s="551"/>
      <c r="BT25" s="551"/>
      <c r="BU25" s="551"/>
      <c r="BV25" s="551"/>
      <c r="BW25" s="551"/>
      <c r="BX25" s="551"/>
      <c r="BY25" s="551"/>
      <c r="BZ25" s="551"/>
      <c r="CA25" s="551"/>
      <c r="CB25" s="551"/>
      <c r="CC25" s="551"/>
      <c r="CD25" s="551"/>
      <c r="CE25" s="551"/>
      <c r="CF25" s="551"/>
      <c r="CG25" s="551"/>
      <c r="CH25" s="551"/>
      <c r="CI25" s="551"/>
      <c r="CJ25" s="551"/>
      <c r="CK25" s="551"/>
      <c r="CL25" s="551"/>
      <c r="CM25" s="551"/>
      <c r="CN25" s="551"/>
      <c r="CO25" s="551"/>
      <c r="CP25" s="551"/>
      <c r="CQ25" s="551"/>
      <c r="CR25" s="551"/>
      <c r="CS25" s="551"/>
      <c r="CT25" s="551"/>
      <c r="CU25" s="551"/>
      <c r="CV25" s="551"/>
      <c r="CW25" s="551"/>
      <c r="CX25" s="551"/>
      <c r="CY25" s="551"/>
      <c r="CZ25" s="554"/>
    </row>
    <row r="27" spans="1:954" x14ac:dyDescent="0.25">
      <c r="D27" s="529" t="s">
        <v>568</v>
      </c>
    </row>
    <row r="29" spans="1:954" x14ac:dyDescent="0.25">
      <c r="B29" s="562"/>
      <c r="C29" s="563"/>
      <c r="D29" s="564"/>
      <c r="E29" s="563"/>
      <c r="F29" s="563"/>
      <c r="G29" s="565"/>
      <c r="H29" s="563"/>
      <c r="I29" s="566"/>
      <c r="J29" s="567"/>
      <c r="K29" s="568"/>
      <c r="L29" s="567"/>
      <c r="M29" s="567"/>
      <c r="N29" s="568"/>
      <c r="O29" s="568"/>
      <c r="P29" s="568"/>
      <c r="Q29" s="569"/>
      <c r="R29" s="565"/>
      <c r="S29" s="570"/>
      <c r="T29" s="570"/>
      <c r="U29" s="571"/>
    </row>
    <row r="30" spans="1:954" x14ac:dyDescent="0.25">
      <c r="B30" s="572"/>
      <c r="C30" s="572"/>
      <c r="D30" s="573"/>
      <c r="E30" s="574"/>
      <c r="F30" s="574"/>
      <c r="G30" s="572"/>
      <c r="H30" s="572"/>
      <c r="I30" s="572"/>
      <c r="J30" s="572"/>
      <c r="K30" s="575"/>
      <c r="L30" s="574"/>
      <c r="M30" s="572"/>
      <c r="N30" s="572"/>
      <c r="O30" s="572"/>
      <c r="P30" s="572"/>
      <c r="Q30" s="576"/>
      <c r="R30" s="575"/>
      <c r="S30" s="577"/>
      <c r="T30" s="577"/>
      <c r="U30" s="576"/>
    </row>
    <row r="31" spans="1:954" x14ac:dyDescent="0.25">
      <c r="B31" s="578"/>
      <c r="C31" s="576"/>
      <c r="D31" s="579"/>
      <c r="E31" s="576"/>
      <c r="F31" s="576"/>
      <c r="G31" s="576"/>
      <c r="H31" s="576"/>
      <c r="I31" s="576"/>
      <c r="J31" s="576"/>
      <c r="K31" s="576"/>
      <c r="L31" s="576"/>
      <c r="M31" s="576"/>
      <c r="N31" s="576"/>
      <c r="O31" s="576"/>
      <c r="P31" s="576"/>
      <c r="Q31" s="576"/>
      <c r="R31" s="576"/>
      <c r="S31" s="577"/>
      <c r="T31" s="577"/>
      <c r="U31" s="576"/>
    </row>
    <row r="32" spans="1:954" x14ac:dyDescent="0.25">
      <c r="B32" s="562"/>
      <c r="C32" s="563"/>
      <c r="D32" s="564"/>
      <c r="E32" s="563"/>
      <c r="F32" s="563"/>
      <c r="G32" s="565"/>
      <c r="H32" s="563"/>
      <c r="I32" s="566"/>
      <c r="J32" s="580"/>
      <c r="K32" s="564"/>
      <c r="L32" s="580"/>
      <c r="M32" s="580"/>
      <c r="N32" s="564"/>
      <c r="O32" s="564"/>
      <c r="P32" s="564"/>
      <c r="Q32" s="569"/>
      <c r="R32" s="565"/>
      <c r="S32" s="570"/>
      <c r="T32" s="570"/>
      <c r="U32" s="571"/>
    </row>
    <row r="33" spans="2:21" x14ac:dyDescent="0.25">
      <c r="B33" s="572"/>
      <c r="C33" s="572"/>
      <c r="D33" s="573"/>
      <c r="E33" s="574"/>
      <c r="F33" s="574"/>
      <c r="G33" s="572"/>
      <c r="H33" s="572"/>
      <c r="I33" s="572"/>
      <c r="J33" s="572"/>
      <c r="K33" s="575"/>
      <c r="L33" s="572"/>
      <c r="M33" s="572"/>
      <c r="N33" s="572"/>
      <c r="O33" s="572"/>
      <c r="P33" s="572"/>
      <c r="Q33" s="576"/>
      <c r="R33" s="575"/>
      <c r="S33" s="577"/>
      <c r="T33" s="577"/>
      <c r="U33" s="576"/>
    </row>
    <row r="34" spans="2:21" x14ac:dyDescent="0.25">
      <c r="B34" s="581"/>
      <c r="C34" s="581"/>
      <c r="D34" s="582"/>
      <c r="E34" s="581"/>
      <c r="F34" s="581"/>
      <c r="G34" s="581"/>
      <c r="H34" s="581"/>
      <c r="I34" s="581"/>
      <c r="J34" s="581"/>
      <c r="K34" s="581"/>
      <c r="L34" s="581"/>
      <c r="M34" s="581"/>
      <c r="N34" s="581"/>
      <c r="O34" s="581"/>
      <c r="P34" s="581"/>
      <c r="Q34" s="583"/>
      <c r="R34" s="581"/>
      <c r="S34" s="584"/>
      <c r="T34" s="584"/>
      <c r="U34" s="585"/>
    </row>
    <row r="35" spans="2:21" x14ac:dyDescent="0.25">
      <c r="B35" s="562"/>
      <c r="C35" s="563"/>
      <c r="D35" s="564"/>
      <c r="E35" s="563"/>
      <c r="F35" s="563"/>
      <c r="G35" s="565"/>
      <c r="H35" s="563"/>
      <c r="I35" s="566"/>
      <c r="J35" s="567"/>
      <c r="K35" s="568"/>
      <c r="L35" s="567"/>
      <c r="M35" s="567"/>
      <c r="N35" s="568"/>
      <c r="O35" s="568"/>
      <c r="P35" s="568"/>
      <c r="Q35" s="569"/>
      <c r="R35" s="565"/>
      <c r="S35" s="570"/>
      <c r="T35" s="570"/>
      <c r="U35" s="571"/>
    </row>
    <row r="36" spans="2:21" x14ac:dyDescent="0.25">
      <c r="B36" s="572"/>
      <c r="C36" s="572"/>
      <c r="D36" s="573"/>
      <c r="E36" s="574"/>
      <c r="F36" s="574"/>
      <c r="G36" s="572"/>
      <c r="H36" s="572"/>
      <c r="I36" s="572"/>
      <c r="J36" s="572"/>
      <c r="K36" s="575"/>
      <c r="L36" s="572"/>
      <c r="M36" s="572"/>
      <c r="N36" s="572"/>
      <c r="O36" s="572"/>
      <c r="P36" s="572"/>
      <c r="Q36" s="576"/>
      <c r="R36" s="575"/>
      <c r="S36" s="577"/>
      <c r="T36" s="577"/>
      <c r="U36" s="576"/>
    </row>
  </sheetData>
  <mergeCells count="24">
    <mergeCell ref="T7:T8"/>
    <mergeCell ref="U7:U8"/>
    <mergeCell ref="N7:N8"/>
    <mergeCell ref="O7:O8"/>
    <mergeCell ref="P7:P8"/>
    <mergeCell ref="Q7:Q8"/>
    <mergeCell ref="R7:R8"/>
    <mergeCell ref="S7:S8"/>
    <mergeCell ref="M7:M8"/>
    <mergeCell ref="A1:U1"/>
    <mergeCell ref="A3:U3"/>
    <mergeCell ref="A4:U4"/>
    <mergeCell ref="A5:U5"/>
    <mergeCell ref="A7:A8"/>
    <mergeCell ref="B7:B8"/>
    <mergeCell ref="C7:C8"/>
    <mergeCell ref="D7:D8"/>
    <mergeCell ref="E7:E8"/>
    <mergeCell ref="F7:F8"/>
    <mergeCell ref="G7:G8"/>
    <mergeCell ref="H7:H8"/>
    <mergeCell ref="I7:I8"/>
    <mergeCell ref="J7:K7"/>
    <mergeCell ref="L7:L8"/>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21"/>
  <sheetViews>
    <sheetView workbookViewId="0">
      <selection activeCell="A8" sqref="A8:M8"/>
    </sheetView>
  </sheetViews>
  <sheetFormatPr defaultRowHeight="15" x14ac:dyDescent="0.25"/>
  <cols>
    <col min="2" max="2" width="33" customWidth="1"/>
    <col min="3" max="3" width="15.5703125" customWidth="1"/>
    <col min="4" max="4" width="15.7109375" customWidth="1"/>
    <col min="5" max="5" width="14.28515625" customWidth="1"/>
    <col min="6" max="6" width="12.5703125" customWidth="1"/>
    <col min="7" max="7" width="17.140625" customWidth="1"/>
    <col min="11" max="11" width="19.28515625" customWidth="1"/>
  </cols>
  <sheetData>
    <row r="1" spans="1:14" x14ac:dyDescent="0.25">
      <c r="A1" s="819" t="s">
        <v>182</v>
      </c>
      <c r="B1" s="819"/>
      <c r="C1" s="819"/>
      <c r="D1" s="819"/>
      <c r="E1" s="819"/>
      <c r="F1" s="819"/>
      <c r="G1" s="819"/>
      <c r="H1" s="819"/>
      <c r="I1" s="819"/>
      <c r="J1" s="819"/>
      <c r="K1" s="819"/>
      <c r="L1" s="819"/>
      <c r="M1" s="819"/>
      <c r="N1" s="819"/>
    </row>
    <row r="3" spans="1:14" ht="42" customHeight="1" x14ac:dyDescent="0.25">
      <c r="A3" s="832" t="s">
        <v>183</v>
      </c>
      <c r="B3" s="832"/>
      <c r="C3" s="832"/>
      <c r="D3" s="832"/>
      <c r="E3" s="832"/>
      <c r="F3" s="832"/>
      <c r="G3" s="832"/>
      <c r="H3" s="832"/>
      <c r="I3" s="832"/>
      <c r="J3" s="832"/>
      <c r="K3" s="832"/>
      <c r="L3" s="832"/>
      <c r="M3" s="832"/>
      <c r="N3" s="832"/>
    </row>
    <row r="4" spans="1:14" ht="57.75" customHeight="1" x14ac:dyDescent="0.25">
      <c r="A4" t="s">
        <v>647</v>
      </c>
    </row>
    <row r="5" spans="1:14" ht="70.5" customHeight="1" x14ac:dyDescent="0.25">
      <c r="A5" s="833" t="s">
        <v>184</v>
      </c>
      <c r="B5" s="833"/>
      <c r="C5" s="833"/>
      <c r="D5" s="833"/>
      <c r="E5" s="833"/>
      <c r="F5" s="833"/>
      <c r="G5" s="833"/>
      <c r="H5" s="833"/>
      <c r="I5" s="833"/>
      <c r="J5" s="833"/>
      <c r="K5" s="833"/>
      <c r="L5" s="833"/>
      <c r="M5" s="833"/>
    </row>
    <row r="6" spans="1:14" x14ac:dyDescent="0.25">
      <c r="A6" s="833" t="s">
        <v>185</v>
      </c>
      <c r="B6" s="833"/>
      <c r="C6" s="833"/>
      <c r="D6" s="833"/>
      <c r="E6" s="833"/>
      <c r="F6" s="833"/>
      <c r="G6" s="833"/>
      <c r="H6" s="833"/>
      <c r="I6" s="833"/>
      <c r="J6" s="833"/>
      <c r="K6" s="833"/>
      <c r="L6" s="833"/>
      <c r="M6" s="833"/>
    </row>
    <row r="7" spans="1:14" ht="42.75" customHeight="1" x14ac:dyDescent="0.25">
      <c r="A7" s="833" t="s">
        <v>186</v>
      </c>
      <c r="B7" s="833"/>
      <c r="C7" s="833"/>
      <c r="D7" s="833"/>
      <c r="E7" s="833"/>
      <c r="F7" s="833"/>
      <c r="G7" s="833"/>
      <c r="H7" s="833"/>
      <c r="I7" s="833"/>
      <c r="J7" s="833"/>
      <c r="K7" s="833"/>
      <c r="L7" s="833"/>
      <c r="M7" s="833"/>
    </row>
    <row r="8" spans="1:14" x14ac:dyDescent="0.25">
      <c r="A8" s="831" t="s">
        <v>187</v>
      </c>
      <c r="B8" s="831"/>
      <c r="C8" s="831"/>
      <c r="D8" s="831"/>
      <c r="E8" s="831"/>
      <c r="F8" s="831"/>
      <c r="G8" s="831"/>
      <c r="H8" s="831"/>
      <c r="I8" s="831"/>
      <c r="J8" s="831"/>
      <c r="K8" s="831"/>
      <c r="L8" s="831"/>
      <c r="M8" s="831"/>
    </row>
    <row r="9" spans="1:14" x14ac:dyDescent="0.25">
      <c r="A9" s="831" t="s">
        <v>188</v>
      </c>
      <c r="B9" s="831"/>
      <c r="C9" s="831"/>
      <c r="D9" s="831"/>
      <c r="E9" s="831"/>
      <c r="F9" s="831"/>
      <c r="G9" s="831"/>
      <c r="H9" s="831"/>
      <c r="I9" s="831"/>
      <c r="J9" s="831"/>
      <c r="K9" s="831"/>
      <c r="L9" s="831"/>
      <c r="M9" s="831"/>
    </row>
    <row r="11" spans="1:14" ht="150" x14ac:dyDescent="0.25">
      <c r="A11" s="236" t="s">
        <v>123</v>
      </c>
      <c r="B11" s="237" t="s">
        <v>189</v>
      </c>
      <c r="C11" s="238" t="s">
        <v>649</v>
      </c>
      <c r="D11" s="238" t="s">
        <v>650</v>
      </c>
      <c r="E11" s="238" t="s">
        <v>651</v>
      </c>
      <c r="F11" s="238" t="s">
        <v>652</v>
      </c>
      <c r="G11" s="238" t="s">
        <v>190</v>
      </c>
      <c r="H11" s="239"/>
      <c r="I11" s="239"/>
      <c r="J11" s="239"/>
      <c r="K11" s="235"/>
    </row>
    <row r="12" spans="1:14" ht="15.75" x14ac:dyDescent="0.25">
      <c r="A12" s="240">
        <v>1</v>
      </c>
      <c r="B12" s="240">
        <v>2</v>
      </c>
      <c r="C12" s="240">
        <v>3</v>
      </c>
      <c r="D12" s="240">
        <v>4</v>
      </c>
      <c r="E12" s="240">
        <v>5</v>
      </c>
      <c r="F12" s="240">
        <v>6</v>
      </c>
      <c r="G12" s="240">
        <v>7</v>
      </c>
      <c r="H12" s="239"/>
      <c r="I12" s="239"/>
      <c r="J12" s="235"/>
      <c r="K12" s="235"/>
    </row>
    <row r="13" spans="1:14" ht="15.75" x14ac:dyDescent="0.25">
      <c r="A13" s="241"/>
      <c r="B13" s="827" t="s">
        <v>191</v>
      </c>
      <c r="C13" s="828"/>
      <c r="D13" s="828"/>
      <c r="E13" s="828"/>
      <c r="F13" s="828"/>
      <c r="G13" s="829"/>
      <c r="H13" s="239"/>
      <c r="I13" s="239"/>
      <c r="J13" s="235"/>
      <c r="K13" s="235"/>
    </row>
    <row r="14" spans="1:14" s="264" customFormat="1" ht="15.75" x14ac:dyDescent="0.25">
      <c r="A14" s="128">
        <v>1</v>
      </c>
      <c r="B14" s="265" t="s">
        <v>195</v>
      </c>
      <c r="C14" s="137">
        <v>10</v>
      </c>
      <c r="D14" s="128" t="s">
        <v>192</v>
      </c>
      <c r="E14" s="128">
        <v>1</v>
      </c>
      <c r="F14" s="138">
        <v>1.32</v>
      </c>
      <c r="G14" s="139">
        <f>C14/D16*E14*F14</f>
        <v>1.1000000000000001</v>
      </c>
      <c r="H14" s="107"/>
      <c r="I14" s="107"/>
    </row>
    <row r="15" spans="1:14" s="264" customFormat="1" ht="15.75" x14ac:dyDescent="0.25">
      <c r="A15" s="128">
        <v>2</v>
      </c>
      <c r="B15" s="265" t="s">
        <v>196</v>
      </c>
      <c r="C15" s="137">
        <v>2</v>
      </c>
      <c r="D15" s="128" t="s">
        <v>192</v>
      </c>
      <c r="E15" s="128">
        <v>1</v>
      </c>
      <c r="F15" s="138">
        <v>2.25</v>
      </c>
      <c r="G15" s="139">
        <f>C15/D16*E15*F15</f>
        <v>0.38</v>
      </c>
      <c r="H15" s="107"/>
      <c r="I15" s="107"/>
    </row>
    <row r="16" spans="1:14" ht="15.75" x14ac:dyDescent="0.25">
      <c r="A16" s="243"/>
      <c r="B16" s="247" t="s">
        <v>85</v>
      </c>
      <c r="C16" s="244">
        <f>SUM(C14:C15)</f>
        <v>12</v>
      </c>
      <c r="D16" s="244">
        <f>SUM(C14:C15)</f>
        <v>12</v>
      </c>
      <c r="E16" s="242">
        <f>SUM(E14:E15)</f>
        <v>2</v>
      </c>
      <c r="F16" s="245"/>
      <c r="G16" s="246">
        <f>(G14+G15)/E16</f>
        <v>0.74</v>
      </c>
      <c r="H16" s="239"/>
      <c r="I16" s="235"/>
      <c r="J16" s="239"/>
      <c r="K16" s="235"/>
    </row>
    <row r="17" spans="1:11" x14ac:dyDescent="0.25">
      <c r="A17" s="248"/>
      <c r="B17" s="249"/>
      <c r="C17" s="249"/>
      <c r="D17" s="250"/>
      <c r="E17" s="250"/>
      <c r="F17" s="250"/>
      <c r="G17" s="248"/>
      <c r="H17" s="251"/>
      <c r="I17" s="250"/>
      <c r="J17" s="250"/>
      <c r="K17" s="235"/>
    </row>
    <row r="18" spans="1:11" ht="15.75" x14ac:dyDescent="0.25">
      <c r="A18" s="830" t="s">
        <v>193</v>
      </c>
      <c r="B18" s="830"/>
      <c r="C18" s="830"/>
      <c r="D18" s="830"/>
      <c r="E18" s="830"/>
      <c r="F18" s="830"/>
      <c r="G18" s="830"/>
      <c r="H18" s="830"/>
      <c r="I18" s="830"/>
      <c r="J18" s="830"/>
      <c r="K18" s="830"/>
    </row>
    <row r="19" spans="1:11" ht="15.75" x14ac:dyDescent="0.25">
      <c r="A19" s="129" t="s">
        <v>648</v>
      </c>
      <c r="B19" s="129">
        <v>1</v>
      </c>
      <c r="C19" s="129">
        <v>2</v>
      </c>
      <c r="D19" s="129">
        <v>3</v>
      </c>
      <c r="E19" s="129">
        <v>4</v>
      </c>
      <c r="F19" s="129">
        <v>5</v>
      </c>
      <c r="G19" s="129">
        <v>6</v>
      </c>
      <c r="H19" s="129">
        <v>7</v>
      </c>
      <c r="I19" s="129">
        <v>8</v>
      </c>
      <c r="J19" s="129">
        <v>9</v>
      </c>
      <c r="K19" s="129">
        <v>10</v>
      </c>
    </row>
    <row r="20" spans="1:11" ht="15.75" x14ac:dyDescent="0.25">
      <c r="A20" s="130">
        <v>1</v>
      </c>
      <c r="B20" s="132">
        <v>131113.1</v>
      </c>
      <c r="C20" s="131">
        <f t="shared" ref="C20" si="0">247/12</f>
        <v>20.58</v>
      </c>
      <c r="D20" s="133">
        <f t="shared" ref="D20" si="1">B20/C20</f>
        <v>6370.9</v>
      </c>
      <c r="E20" s="134">
        <v>0.40060000000000001</v>
      </c>
      <c r="F20" s="134">
        <v>0.1</v>
      </c>
      <c r="G20" s="133">
        <f t="shared" ref="G20" si="2">(D20*(1+F20))/E20</f>
        <v>17493.73</v>
      </c>
      <c r="H20" s="140">
        <f>D16</f>
        <v>12</v>
      </c>
      <c r="I20" s="140">
        <f>E16</f>
        <v>2</v>
      </c>
      <c r="J20" s="141">
        <f>G16</f>
        <v>0.74</v>
      </c>
      <c r="K20" s="136">
        <f t="shared" ref="K20" si="3">G20*H20*I20*J20</f>
        <v>310688.64000000001</v>
      </c>
    </row>
    <row r="21" spans="1:11" s="235" customFormat="1" ht="15.75" x14ac:dyDescent="0.25">
      <c r="A21" s="241"/>
      <c r="B21" s="273"/>
      <c r="C21" s="245"/>
      <c r="D21" s="274"/>
      <c r="E21" s="275"/>
      <c r="F21" s="275"/>
      <c r="G21" s="274"/>
      <c r="H21" s="135"/>
      <c r="I21" s="135"/>
      <c r="J21" s="276" t="s">
        <v>194</v>
      </c>
      <c r="K21" s="277">
        <f>K20*1.22</f>
        <v>379040.14</v>
      </c>
    </row>
  </sheetData>
  <mergeCells count="9">
    <mergeCell ref="B13:G13"/>
    <mergeCell ref="A18:K18"/>
    <mergeCell ref="A9:M9"/>
    <mergeCell ref="A3:N3"/>
    <mergeCell ref="A1:N1"/>
    <mergeCell ref="A5:M5"/>
    <mergeCell ref="A6:M6"/>
    <mergeCell ref="A7:M7"/>
    <mergeCell ref="A8:M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34"/>
  <sheetViews>
    <sheetView view="pageBreakPreview" zoomScaleNormal="100" zoomScaleSheetLayoutView="100" workbookViewId="0">
      <selection activeCell="C4" sqref="C4:K4"/>
    </sheetView>
  </sheetViews>
  <sheetFormatPr defaultColWidth="9.140625" defaultRowHeight="15" x14ac:dyDescent="0.25"/>
  <cols>
    <col min="1" max="1" width="4.85546875" style="24" customWidth="1"/>
    <col min="2" max="6" width="10.7109375" style="24" customWidth="1"/>
    <col min="7" max="7" width="14.28515625" style="24" customWidth="1"/>
    <col min="8" max="11" width="10.7109375" style="24" customWidth="1"/>
    <col min="12" max="18" width="9.140625" style="24"/>
    <col min="19" max="19" width="85.140625" style="24" customWidth="1"/>
    <col min="20" max="16384" width="9.140625" style="24"/>
  </cols>
  <sheetData>
    <row r="1" spans="1:11" ht="15.75" x14ac:dyDescent="0.25">
      <c r="A1" s="600" t="s">
        <v>116</v>
      </c>
      <c r="B1" s="600"/>
      <c r="C1" s="600"/>
      <c r="D1" s="600"/>
      <c r="E1" s="600"/>
      <c r="F1" s="600"/>
      <c r="G1" s="600"/>
      <c r="H1" s="600"/>
      <c r="I1" s="600"/>
      <c r="J1" s="600"/>
      <c r="K1" s="600"/>
    </row>
    <row r="2" spans="1:11" ht="15.75" x14ac:dyDescent="0.25">
      <c r="A2" s="600" t="s">
        <v>103</v>
      </c>
      <c r="B2" s="600"/>
      <c r="C2" s="600"/>
      <c r="D2" s="600"/>
      <c r="E2" s="600"/>
      <c r="F2" s="600"/>
      <c r="G2" s="600"/>
      <c r="H2" s="600"/>
      <c r="I2" s="600"/>
      <c r="J2" s="600"/>
      <c r="K2" s="600"/>
    </row>
    <row r="3" spans="1:11" ht="15.75" x14ac:dyDescent="0.25">
      <c r="A3" s="606" t="s">
        <v>171</v>
      </c>
      <c r="B3" s="606"/>
      <c r="C3" s="606"/>
      <c r="D3" s="606"/>
      <c r="E3" s="606"/>
      <c r="F3" s="606"/>
      <c r="G3" s="606"/>
      <c r="H3" s="606"/>
      <c r="I3" s="606"/>
      <c r="J3" s="606"/>
      <c r="K3" s="606"/>
    </row>
    <row r="4" spans="1:11" ht="70.5" customHeight="1" x14ac:dyDescent="0.25">
      <c r="A4" s="605" t="s">
        <v>172</v>
      </c>
      <c r="B4" s="605"/>
      <c r="C4" s="604" t="str">
        <f>Пояснительная!A4</f>
        <v>Всесезонный туристско-рекреационный комплекс «Эльбрус», Кабардино-Балкарская Республика. Пассажирская подвесная канатная дорога и буксировочная канатная дорога, расположенные по адресу: южный склон г. Эльбрус в районе ледника Гарабаши</v>
      </c>
      <c r="D4" s="604"/>
      <c r="E4" s="604"/>
      <c r="F4" s="604"/>
      <c r="G4" s="604"/>
      <c r="H4" s="604"/>
      <c r="I4" s="604"/>
      <c r="J4" s="604"/>
      <c r="K4" s="604"/>
    </row>
    <row r="5" spans="1:11" ht="15.75" x14ac:dyDescent="0.25">
      <c r="A5" s="144"/>
      <c r="B5" s="144"/>
      <c r="C5" s="143"/>
      <c r="D5" s="143"/>
      <c r="E5" s="143"/>
      <c r="F5" s="143"/>
      <c r="G5" s="143"/>
      <c r="H5" s="143"/>
      <c r="I5" s="143"/>
      <c r="J5" s="143"/>
      <c r="K5" s="143"/>
    </row>
    <row r="6" spans="1:11" ht="35.25" customHeight="1" x14ac:dyDescent="0.25">
      <c r="A6" s="604" t="s">
        <v>104</v>
      </c>
      <c r="B6" s="604"/>
      <c r="C6" s="604"/>
      <c r="D6" s="604"/>
      <c r="E6" s="604"/>
      <c r="F6" s="604"/>
      <c r="G6" s="34">
        <f>НМЦ!E22</f>
        <v>64002667.07</v>
      </c>
      <c r="H6" s="33"/>
      <c r="I6" s="33"/>
      <c r="J6" s="33"/>
      <c r="K6" s="33"/>
    </row>
    <row r="7" spans="1:11" ht="15.75" x14ac:dyDescent="0.25">
      <c r="A7" s="603" t="str">
        <f>CONCATENATE("(",[12]!СуммаПрописью(G6),")")</f>
        <v>(Шестьдесят четыре миллиона две тысячи шестьсот шестьдесят семь рублей 07 копеек)</v>
      </c>
      <c r="B7" s="603"/>
      <c r="C7" s="603"/>
      <c r="D7" s="603"/>
      <c r="E7" s="603"/>
      <c r="F7" s="603"/>
      <c r="G7" s="603"/>
      <c r="H7" s="603"/>
      <c r="I7" s="603"/>
      <c r="J7" s="603"/>
      <c r="K7" s="603"/>
    </row>
    <row r="8" spans="1:11" ht="29.25" customHeight="1" x14ac:dyDescent="0.25">
      <c r="A8" s="28" t="s">
        <v>105</v>
      </c>
      <c r="B8" s="28"/>
      <c r="C8" s="28"/>
      <c r="D8" s="28"/>
      <c r="E8" s="28"/>
      <c r="F8" s="28"/>
      <c r="G8" s="28"/>
      <c r="H8" s="28"/>
      <c r="I8" s="28"/>
      <c r="J8" s="28"/>
      <c r="K8" s="28"/>
    </row>
    <row r="9" spans="1:11" s="91" customFormat="1" ht="15.75" x14ac:dyDescent="0.25">
      <c r="A9" s="346">
        <v>1</v>
      </c>
      <c r="B9" s="598" t="s">
        <v>84</v>
      </c>
      <c r="C9" s="598"/>
      <c r="D9" s="598"/>
      <c r="E9" s="598"/>
      <c r="F9" s="598"/>
      <c r="G9" s="598"/>
      <c r="H9" s="598"/>
      <c r="I9" s="598"/>
      <c r="J9" s="598"/>
      <c r="K9" s="598"/>
    </row>
    <row r="10" spans="1:11" s="91" customFormat="1" ht="39.950000000000003" customHeight="1" x14ac:dyDescent="0.25">
      <c r="A10" s="346">
        <v>2</v>
      </c>
      <c r="B10" s="601" t="s">
        <v>179</v>
      </c>
      <c r="C10" s="601"/>
      <c r="D10" s="601"/>
      <c r="E10" s="601"/>
      <c r="F10" s="601"/>
      <c r="G10" s="601"/>
      <c r="H10" s="601"/>
      <c r="I10" s="601"/>
      <c r="J10" s="601"/>
      <c r="K10" s="601"/>
    </row>
    <row r="11" spans="1:11" s="91" customFormat="1" ht="39.950000000000003" customHeight="1" x14ac:dyDescent="0.25">
      <c r="A11" s="346">
        <v>3</v>
      </c>
      <c r="B11" s="599" t="s">
        <v>1137</v>
      </c>
      <c r="C11" s="599"/>
      <c r="D11" s="599"/>
      <c r="E11" s="599"/>
      <c r="F11" s="599"/>
      <c r="G11" s="599"/>
      <c r="H11" s="599"/>
      <c r="I11" s="599"/>
      <c r="J11" s="599"/>
      <c r="K11" s="599"/>
    </row>
    <row r="12" spans="1:11" s="91" customFormat="1" ht="39.950000000000003" customHeight="1" x14ac:dyDescent="0.25">
      <c r="A12" s="346">
        <v>4</v>
      </c>
      <c r="B12" s="601" t="s">
        <v>1138</v>
      </c>
      <c r="C12" s="601"/>
      <c r="D12" s="601"/>
      <c r="E12" s="601"/>
      <c r="F12" s="601"/>
      <c r="G12" s="601"/>
      <c r="H12" s="601"/>
      <c r="I12" s="601"/>
      <c r="J12" s="601"/>
      <c r="K12" s="601"/>
    </row>
    <row r="13" spans="1:11" s="91" customFormat="1" ht="39.950000000000003" customHeight="1" x14ac:dyDescent="0.25">
      <c r="A13" s="346">
        <v>5</v>
      </c>
      <c r="B13" s="602" t="s">
        <v>139</v>
      </c>
      <c r="C13" s="602"/>
      <c r="D13" s="602"/>
      <c r="E13" s="602"/>
      <c r="F13" s="602"/>
      <c r="G13" s="602"/>
      <c r="H13" s="602"/>
      <c r="I13" s="602"/>
      <c r="J13" s="602"/>
      <c r="K13" s="602"/>
    </row>
    <row r="14" spans="1:11" s="91" customFormat="1" ht="39.950000000000003" customHeight="1" x14ac:dyDescent="0.25">
      <c r="A14" s="346">
        <v>6</v>
      </c>
      <c r="B14" s="598" t="s">
        <v>121</v>
      </c>
      <c r="C14" s="598"/>
      <c r="D14" s="598"/>
      <c r="E14" s="598"/>
      <c r="F14" s="598"/>
      <c r="G14" s="598"/>
      <c r="H14" s="598"/>
      <c r="I14" s="598"/>
      <c r="J14" s="598"/>
      <c r="K14" s="598"/>
    </row>
    <row r="15" spans="1:11" s="91" customFormat="1" ht="54.75" customHeight="1" x14ac:dyDescent="0.25">
      <c r="A15" s="346">
        <v>7</v>
      </c>
      <c r="B15" s="598" t="s">
        <v>232</v>
      </c>
      <c r="C15" s="598"/>
      <c r="D15" s="598"/>
      <c r="E15" s="598"/>
      <c r="F15" s="598"/>
      <c r="G15" s="598"/>
      <c r="H15" s="598"/>
      <c r="I15" s="598"/>
      <c r="J15" s="598"/>
      <c r="K15" s="598"/>
    </row>
    <row r="16" spans="1:11" s="91" customFormat="1" ht="39.950000000000003" customHeight="1" x14ac:dyDescent="0.25">
      <c r="A16" s="346">
        <v>8</v>
      </c>
      <c r="B16" s="599" t="s">
        <v>1135</v>
      </c>
      <c r="C16" s="599"/>
      <c r="D16" s="599"/>
      <c r="E16" s="599"/>
      <c r="F16" s="599"/>
      <c r="G16" s="599"/>
      <c r="H16" s="599"/>
      <c r="I16" s="599"/>
      <c r="J16" s="599"/>
      <c r="K16" s="599"/>
    </row>
    <row r="17" spans="1:19" s="91" customFormat="1" ht="39.950000000000003" customHeight="1" x14ac:dyDescent="0.25">
      <c r="A17" s="346">
        <v>9</v>
      </c>
      <c r="B17" s="599" t="s">
        <v>1147</v>
      </c>
      <c r="C17" s="599"/>
      <c r="D17" s="599"/>
      <c r="E17" s="599"/>
      <c r="F17" s="599"/>
      <c r="G17" s="599"/>
      <c r="H17" s="599"/>
      <c r="I17" s="599"/>
      <c r="J17" s="599"/>
      <c r="K17" s="599"/>
    </row>
    <row r="18" spans="1:19" s="91" customFormat="1" ht="45" customHeight="1" x14ac:dyDescent="0.25">
      <c r="A18" s="346">
        <v>10</v>
      </c>
      <c r="B18" s="599" t="s">
        <v>1148</v>
      </c>
      <c r="C18" s="599"/>
      <c r="D18" s="599"/>
      <c r="E18" s="599"/>
      <c r="F18" s="599"/>
      <c r="G18" s="599"/>
      <c r="H18" s="599"/>
      <c r="I18" s="599"/>
      <c r="J18" s="599"/>
      <c r="K18" s="599"/>
    </row>
    <row r="19" spans="1:19" s="91" customFormat="1" ht="17.25" customHeight="1" x14ac:dyDescent="0.25">
      <c r="A19" s="35"/>
      <c r="B19" s="28"/>
      <c r="C19" s="28"/>
      <c r="D19" s="28"/>
      <c r="E19" s="28"/>
      <c r="F19" s="28"/>
      <c r="G19" s="28"/>
      <c r="H19" s="28"/>
      <c r="I19" s="28"/>
      <c r="J19" s="28"/>
      <c r="K19" s="28"/>
      <c r="S19" s="353"/>
    </row>
    <row r="20" spans="1:19" ht="30" customHeight="1" x14ac:dyDescent="0.25">
      <c r="A20" s="607" t="s">
        <v>164</v>
      </c>
      <c r="B20" s="607"/>
      <c r="C20" s="607"/>
      <c r="D20" s="607"/>
      <c r="E20" s="607"/>
      <c r="F20" s="607"/>
      <c r="G20" s="607"/>
      <c r="H20" s="607"/>
      <c r="I20" s="607"/>
      <c r="J20" s="607"/>
      <c r="K20" s="607"/>
    </row>
    <row r="21" spans="1:19" ht="15.6" customHeight="1" x14ac:dyDescent="0.25">
      <c r="A21" s="38"/>
      <c r="B21" s="36"/>
      <c r="C21" s="36"/>
      <c r="D21" s="37"/>
      <c r="E21" s="35"/>
      <c r="F21" s="35"/>
      <c r="G21" s="35"/>
      <c r="H21" s="35"/>
      <c r="I21" s="35"/>
      <c r="J21" s="35"/>
      <c r="K21" s="35"/>
    </row>
    <row r="22" spans="1:19" s="91" customFormat="1" ht="15.75" x14ac:dyDescent="0.25">
      <c r="A22" s="35" t="s">
        <v>653</v>
      </c>
      <c r="B22" s="35"/>
      <c r="C22" s="35"/>
      <c r="D22" s="35"/>
      <c r="E22" s="35"/>
      <c r="F22" s="35"/>
      <c r="G22" s="35"/>
      <c r="H22" s="35"/>
      <c r="I22" s="35"/>
      <c r="J22" s="35"/>
      <c r="K22" s="35"/>
    </row>
    <row r="23" spans="1:19" ht="15.75" x14ac:dyDescent="0.25">
      <c r="A23" s="35"/>
      <c r="B23" s="35"/>
      <c r="C23" s="35"/>
      <c r="D23" s="35"/>
      <c r="E23" s="35"/>
      <c r="F23" s="35"/>
      <c r="G23" s="35"/>
      <c r="H23" s="35"/>
      <c r="I23" s="35"/>
      <c r="J23" s="35"/>
      <c r="K23" s="35"/>
    </row>
    <row r="24" spans="1:19" ht="15.75" x14ac:dyDescent="0.25">
      <c r="A24" s="35" t="s">
        <v>106</v>
      </c>
      <c r="B24" s="35"/>
      <c r="C24" s="35"/>
      <c r="D24" s="35"/>
      <c r="E24" s="35"/>
      <c r="F24" s="35"/>
      <c r="G24" s="35"/>
      <c r="H24" s="35"/>
      <c r="I24" s="35"/>
      <c r="J24" s="35"/>
      <c r="K24" s="35"/>
    </row>
    <row r="25" spans="1:19" ht="15.75" x14ac:dyDescent="0.25">
      <c r="A25" s="35" t="s">
        <v>107</v>
      </c>
      <c r="B25" s="35"/>
      <c r="C25" s="35"/>
      <c r="D25" s="35"/>
      <c r="E25" s="35"/>
      <c r="F25" s="35"/>
      <c r="G25" s="35"/>
      <c r="H25" s="35"/>
      <c r="I25" s="35"/>
      <c r="J25" s="35"/>
      <c r="K25" s="35"/>
    </row>
    <row r="26" spans="1:19" ht="15.75" x14ac:dyDescent="0.25">
      <c r="A26" s="35"/>
      <c r="B26" s="35"/>
      <c r="C26" s="35"/>
      <c r="D26" s="35"/>
      <c r="E26" s="35"/>
      <c r="F26" s="35"/>
      <c r="G26" s="35"/>
      <c r="H26" s="35"/>
      <c r="I26" s="35"/>
      <c r="J26" s="35"/>
      <c r="K26" s="35"/>
    </row>
    <row r="27" spans="1:19" s="26" customFormat="1" ht="15.75" x14ac:dyDescent="0.25">
      <c r="A27" s="96" t="s">
        <v>129</v>
      </c>
      <c r="B27" s="97"/>
      <c r="C27" s="98"/>
    </row>
    <row r="28" spans="1:19" ht="74.25" customHeight="1" x14ac:dyDescent="0.25">
      <c r="A28" s="586" t="str">
        <f>Пояснительная!A23</f>
        <v>Начальник отдела ценообразования
управления проектов
департамента развития инфраструктуры</v>
      </c>
      <c r="B28" s="586"/>
      <c r="C28" s="586"/>
      <c r="D28" s="586"/>
      <c r="E28" s="586"/>
      <c r="F28" s="586"/>
      <c r="G28" s="586"/>
      <c r="I28" s="608" t="str">
        <f>Пояснительная!C23</f>
        <v>А.Ю. Татаринов</v>
      </c>
      <c r="J28" s="608"/>
      <c r="K28" s="608"/>
    </row>
    <row r="29" spans="1:19" ht="15.75" x14ac:dyDescent="0.25">
      <c r="A29" s="111"/>
      <c r="B29" s="111"/>
      <c r="J29" s="109"/>
    </row>
    <row r="30" spans="1:19" ht="15.75" x14ac:dyDescent="0.25">
      <c r="A30" s="112" t="s">
        <v>118</v>
      </c>
      <c r="B30" s="97"/>
      <c r="J30" s="108"/>
    </row>
    <row r="31" spans="1:19" ht="61.5" customHeight="1" x14ac:dyDescent="0.25">
      <c r="A31" s="586" t="str">
        <f>Пояснительная!A26</f>
        <v>Заместитель директора департамента
по ценообразованию и сметному регулированию
Департамента развития инфраструктуры</v>
      </c>
      <c r="B31" s="586"/>
      <c r="C31" s="586"/>
      <c r="D31" s="586"/>
      <c r="E31" s="586"/>
      <c r="F31" s="586"/>
      <c r="G31" s="586"/>
      <c r="I31" s="608" t="str">
        <f>Пояснительная!C26</f>
        <v>Е.А. Татаринова</v>
      </c>
      <c r="J31" s="608"/>
      <c r="K31" s="608"/>
    </row>
    <row r="32" spans="1:19" ht="15.75" x14ac:dyDescent="0.25">
      <c r="A32" s="111"/>
      <c r="B32" s="111"/>
      <c r="J32" s="109"/>
    </row>
    <row r="33" spans="1:11" ht="15.75" x14ac:dyDescent="0.25">
      <c r="A33" s="586" t="s">
        <v>130</v>
      </c>
      <c r="B33" s="586"/>
      <c r="J33" s="108"/>
    </row>
    <row r="34" spans="1:11" ht="15.75" x14ac:dyDescent="0.25">
      <c r="A34" s="586" t="str">
        <f>Пояснительная!A29</f>
        <v>Директор Департамента развития инфраструктуры</v>
      </c>
      <c r="B34" s="586"/>
      <c r="C34" s="586"/>
      <c r="D34" s="586"/>
      <c r="E34" s="586"/>
      <c r="F34" s="586"/>
      <c r="G34" s="586"/>
      <c r="I34" s="608" t="str">
        <f>Пояснительная!C29</f>
        <v>И.В. Евдокимов</v>
      </c>
      <c r="J34" s="608"/>
      <c r="K34" s="608"/>
    </row>
  </sheetData>
  <mergeCells count="25">
    <mergeCell ref="A28:G28"/>
    <mergeCell ref="A31:G31"/>
    <mergeCell ref="A33:B33"/>
    <mergeCell ref="A34:G34"/>
    <mergeCell ref="A20:K20"/>
    <mergeCell ref="I28:K28"/>
    <mergeCell ref="I31:K31"/>
    <mergeCell ref="I34:K34"/>
    <mergeCell ref="A1:K1"/>
    <mergeCell ref="A7:K7"/>
    <mergeCell ref="A6:F6"/>
    <mergeCell ref="A4:B4"/>
    <mergeCell ref="A3:K3"/>
    <mergeCell ref="C4:K4"/>
    <mergeCell ref="B15:K15"/>
    <mergeCell ref="B16:K16"/>
    <mergeCell ref="B17:K17"/>
    <mergeCell ref="B18:K18"/>
    <mergeCell ref="A2:K2"/>
    <mergeCell ref="B9:K9"/>
    <mergeCell ref="B10:K10"/>
    <mergeCell ref="B11:K11"/>
    <mergeCell ref="B12:K12"/>
    <mergeCell ref="B13:K13"/>
    <mergeCell ref="B14:K14"/>
  </mergeCells>
  <pageMargins left="0.7" right="0.7" top="0.75" bottom="0.75" header="0.3" footer="0.3"/>
  <pageSetup paperSize="9" scale="75" fitToHeight="0"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21"/>
  <sheetViews>
    <sheetView workbookViewId="0">
      <selection activeCell="D6" sqref="D6"/>
    </sheetView>
  </sheetViews>
  <sheetFormatPr defaultRowHeight="15" x14ac:dyDescent="0.25"/>
  <cols>
    <col min="3" max="3" width="10" bestFit="1" customWidth="1"/>
    <col min="10" max="10" width="16" customWidth="1"/>
  </cols>
  <sheetData>
    <row r="1" spans="1:13" ht="28.5" customHeight="1" x14ac:dyDescent="0.25">
      <c r="A1" s="836" t="s">
        <v>161</v>
      </c>
      <c r="B1" s="836"/>
      <c r="C1" s="836"/>
      <c r="D1" s="836"/>
      <c r="E1" s="836"/>
      <c r="F1" s="836"/>
      <c r="G1" s="836"/>
      <c r="H1" s="836"/>
      <c r="I1" s="836"/>
      <c r="J1" s="836"/>
      <c r="K1" s="836"/>
      <c r="L1" s="836"/>
      <c r="M1" s="836"/>
    </row>
    <row r="2" spans="1:13" ht="65.25" customHeight="1" x14ac:dyDescent="0.25">
      <c r="A2" s="835" t="s">
        <v>181</v>
      </c>
      <c r="B2" s="835"/>
      <c r="C2" s="835"/>
      <c r="D2" s="835"/>
      <c r="E2" s="835"/>
      <c r="F2" s="835"/>
      <c r="G2" s="835"/>
      <c r="H2" s="835"/>
      <c r="I2" s="835"/>
      <c r="J2" s="142">
        <v>276900</v>
      </c>
      <c r="K2" s="119" t="s">
        <v>180</v>
      </c>
      <c r="L2" s="119"/>
    </row>
    <row r="3" spans="1:13" x14ac:dyDescent="0.25">
      <c r="C3" s="122"/>
    </row>
    <row r="4" spans="1:13" ht="57.75" customHeight="1" x14ac:dyDescent="0.25">
      <c r="A4" s="832" t="s">
        <v>1431</v>
      </c>
      <c r="B4" s="832"/>
      <c r="C4" s="832"/>
      <c r="D4" s="832"/>
      <c r="E4" s="832"/>
      <c r="F4" s="832"/>
      <c r="G4" s="832"/>
      <c r="H4" s="832"/>
      <c r="I4" s="832"/>
      <c r="J4" s="832"/>
      <c r="K4" s="832"/>
      <c r="L4" s="834"/>
    </row>
    <row r="5" spans="1:13" ht="70.5" customHeight="1" x14ac:dyDescent="0.25"/>
    <row r="11" spans="1:13" x14ac:dyDescent="0.25">
      <c r="A11" s="235"/>
      <c r="B11" s="235"/>
      <c r="C11" s="235"/>
      <c r="D11" s="235"/>
      <c r="E11" s="235"/>
      <c r="F11" s="235"/>
      <c r="G11" s="235"/>
      <c r="H11" s="235"/>
      <c r="I11" s="235"/>
      <c r="J11" s="235"/>
      <c r="K11" s="235"/>
    </row>
    <row r="12" spans="1:13" x14ac:dyDescent="0.25">
      <c r="A12" s="235"/>
      <c r="B12" s="235"/>
      <c r="C12" s="235"/>
      <c r="D12" s="235"/>
      <c r="E12" s="235"/>
      <c r="F12" s="235"/>
      <c r="G12" s="235"/>
      <c r="H12" s="235"/>
      <c r="I12" s="235"/>
      <c r="J12" s="235"/>
      <c r="K12" s="235"/>
    </row>
    <row r="13" spans="1:13" x14ac:dyDescent="0.25">
      <c r="A13" s="235"/>
      <c r="B13" s="235"/>
      <c r="C13" s="235"/>
      <c r="D13" s="235"/>
      <c r="E13" s="235"/>
      <c r="F13" s="235"/>
      <c r="G13" s="235"/>
      <c r="H13" s="235"/>
      <c r="I13" s="235"/>
      <c r="J13" s="235"/>
      <c r="K13" s="235"/>
    </row>
    <row r="14" spans="1:13" s="264" customFormat="1" x14ac:dyDescent="0.25"/>
    <row r="15" spans="1:13" s="264" customFormat="1" x14ac:dyDescent="0.25"/>
    <row r="16" spans="1:13" x14ac:dyDescent="0.25">
      <c r="A16" s="235"/>
      <c r="B16" s="235"/>
      <c r="C16" s="235"/>
      <c r="D16" s="235"/>
      <c r="E16" s="235"/>
      <c r="F16" s="235"/>
      <c r="G16" s="235"/>
      <c r="H16" s="235"/>
      <c r="I16" s="235"/>
      <c r="J16" s="235"/>
      <c r="K16" s="235"/>
    </row>
    <row r="17" spans="1:11" x14ac:dyDescent="0.25">
      <c r="A17" s="235"/>
      <c r="B17" s="235"/>
      <c r="C17" s="235"/>
      <c r="D17" s="235"/>
      <c r="E17" s="235"/>
      <c r="F17" s="235"/>
      <c r="G17" s="235"/>
      <c r="H17" s="235"/>
      <c r="I17" s="235"/>
      <c r="J17" s="235"/>
      <c r="K17" s="235"/>
    </row>
    <row r="18" spans="1:11" x14ac:dyDescent="0.25">
      <c r="A18" s="235"/>
      <c r="B18" s="235"/>
      <c r="C18" s="235"/>
      <c r="D18" s="235"/>
      <c r="E18" s="235"/>
      <c r="F18" s="235"/>
      <c r="G18" s="235"/>
      <c r="H18" s="235"/>
      <c r="I18" s="235"/>
      <c r="J18" s="235"/>
      <c r="K18" s="235"/>
    </row>
    <row r="19" spans="1:11" x14ac:dyDescent="0.25">
      <c r="A19" t="s">
        <v>648</v>
      </c>
    </row>
    <row r="21" spans="1:11" s="235" customFormat="1" x14ac:dyDescent="0.25"/>
  </sheetData>
  <mergeCells count="3">
    <mergeCell ref="A4:L4"/>
    <mergeCell ref="A2:I2"/>
    <mergeCell ref="A1:M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zoomScaleNormal="100" zoomScaleSheetLayoutView="100" workbookViewId="0">
      <selection activeCell="C3" sqref="C3:H3"/>
    </sheetView>
  </sheetViews>
  <sheetFormatPr defaultColWidth="9.140625" defaultRowHeight="15" x14ac:dyDescent="0.25"/>
  <cols>
    <col min="1" max="1" width="5.28515625" style="64" customWidth="1"/>
    <col min="2" max="2" width="21.85546875" style="1" customWidth="1"/>
    <col min="3" max="3" width="26.140625" style="1" customWidth="1"/>
    <col min="4" max="4" width="14.85546875" style="1" customWidth="1"/>
    <col min="5" max="5" width="11.28515625" style="1" customWidth="1"/>
    <col min="6" max="6" width="11.7109375" style="1" customWidth="1"/>
    <col min="7" max="7" width="23.7109375" style="1" customWidth="1"/>
    <col min="8" max="8" width="17.5703125" style="65" customWidth="1"/>
    <col min="9" max="16384" width="9.140625" style="1"/>
  </cols>
  <sheetData>
    <row r="1" spans="1:8" ht="15.75" x14ac:dyDescent="0.25">
      <c r="A1" s="842" t="s">
        <v>120</v>
      </c>
      <c r="B1" s="838"/>
      <c r="C1" s="838"/>
      <c r="D1" s="838"/>
      <c r="E1" s="838"/>
      <c r="F1" s="838"/>
      <c r="G1" s="838"/>
      <c r="H1" s="838"/>
    </row>
    <row r="2" spans="1:8" ht="15.75" x14ac:dyDescent="0.25">
      <c r="A2" s="843"/>
      <c r="B2" s="838"/>
      <c r="C2" s="838"/>
      <c r="D2" s="838"/>
      <c r="E2" s="838"/>
      <c r="F2" s="838"/>
      <c r="G2" s="838"/>
      <c r="H2" s="838"/>
    </row>
    <row r="3" spans="1:8" ht="54" customHeight="1" x14ac:dyDescent="0.25">
      <c r="A3" s="840" t="s">
        <v>32</v>
      </c>
      <c r="B3" s="838"/>
      <c r="C3" s="844" t="str">
        <f>НМЦК!B2</f>
        <v>Всесезонный туристско-рекреационный комплекс «Эльбрус», Кабардино-Балкарская Республика. Пассажирская подвесная канатная дорога и буксировочная канатная дорога, расположенные по адресу: южный склон г. Эльбрус в районе ледника Гарабаши</v>
      </c>
      <c r="D3" s="844"/>
      <c r="E3" s="844"/>
      <c r="F3" s="845"/>
      <c r="G3" s="845"/>
      <c r="H3" s="845"/>
    </row>
    <row r="4" spans="1:8" ht="17.25" customHeight="1" x14ac:dyDescent="0.25">
      <c r="A4" s="840" t="s">
        <v>33</v>
      </c>
      <c r="B4" s="838"/>
      <c r="C4" s="839"/>
      <c r="D4" s="839"/>
      <c r="E4" s="839"/>
      <c r="F4" s="838"/>
      <c r="G4" s="838"/>
      <c r="H4" s="838"/>
    </row>
    <row r="5" spans="1:8" ht="30" customHeight="1" x14ac:dyDescent="0.25">
      <c r="A5" s="837" t="s">
        <v>34</v>
      </c>
      <c r="B5" s="838"/>
      <c r="C5" s="839" t="s">
        <v>35</v>
      </c>
      <c r="D5" s="839"/>
      <c r="E5" s="839"/>
      <c r="F5" s="838"/>
      <c r="G5" s="838"/>
      <c r="H5" s="838"/>
    </row>
    <row r="6" spans="1:8" ht="15.75" x14ac:dyDescent="0.25">
      <c r="A6" s="840" t="s">
        <v>36</v>
      </c>
      <c r="B6" s="838"/>
      <c r="C6" s="841"/>
      <c r="D6" s="841"/>
      <c r="E6" s="841"/>
      <c r="F6" s="838"/>
      <c r="G6" s="838"/>
      <c r="H6" s="838"/>
    </row>
    <row r="7" spans="1:8" ht="15.75" x14ac:dyDescent="0.25">
      <c r="A7" s="840" t="s">
        <v>37</v>
      </c>
      <c r="B7" s="838"/>
      <c r="C7" s="841" t="s">
        <v>108</v>
      </c>
      <c r="D7" s="841"/>
      <c r="E7" s="841"/>
      <c r="F7" s="838"/>
      <c r="G7" s="838"/>
      <c r="H7" s="838"/>
    </row>
    <row r="8" spans="1:8" ht="15.75" x14ac:dyDescent="0.25">
      <c r="A8" s="12"/>
      <c r="B8" s="13"/>
      <c r="C8" s="40"/>
      <c r="D8" s="40"/>
      <c r="E8" s="40"/>
      <c r="F8" s="13"/>
      <c r="G8" s="13"/>
      <c r="H8" s="14"/>
    </row>
    <row r="9" spans="1:8" ht="109.5" customHeight="1" x14ac:dyDescent="0.25">
      <c r="A9" s="78" t="s">
        <v>1</v>
      </c>
      <c r="B9" s="78" t="s">
        <v>7</v>
      </c>
      <c r="C9" s="852" t="s">
        <v>38</v>
      </c>
      <c r="D9" s="853"/>
      <c r="E9" s="853"/>
      <c r="F9" s="78" t="s">
        <v>39</v>
      </c>
      <c r="G9" s="78" t="s">
        <v>40</v>
      </c>
      <c r="H9" s="79" t="s">
        <v>41</v>
      </c>
    </row>
    <row r="10" spans="1:8" ht="47.25" x14ac:dyDescent="0.25">
      <c r="A10" s="846">
        <v>1</v>
      </c>
      <c r="B10" s="846" t="s">
        <v>18</v>
      </c>
      <c r="C10" s="15" t="s">
        <v>155</v>
      </c>
      <c r="D10" s="45">
        <f>'Cводная смета ПИР'!G12+'Cводная смета ПИР'!G13+'Cводная смета ПИР'!G14+'Cводная смета ПИР'!G15+'Cводная смета ПИР'!G16+'Cводная смета ПИР'!G17+'Cводная смета ПИР'!G18</f>
        <v>26624109.07</v>
      </c>
      <c r="E10" s="16" t="s">
        <v>42</v>
      </c>
      <c r="F10" s="17"/>
      <c r="G10" s="854"/>
      <c r="H10" s="850"/>
    </row>
    <row r="11" spans="1:8" ht="15.75" x14ac:dyDescent="0.25">
      <c r="A11" s="847"/>
      <c r="B11" s="847"/>
      <c r="C11" s="15" t="s">
        <v>156</v>
      </c>
      <c r="D11" s="18">
        <v>7.07</v>
      </c>
      <c r="E11" s="19"/>
      <c r="F11" s="17"/>
      <c r="G11" s="854"/>
      <c r="H11" s="850"/>
    </row>
    <row r="12" spans="1:8" ht="47.25" x14ac:dyDescent="0.25">
      <c r="A12" s="848"/>
      <c r="B12" s="848"/>
      <c r="C12" s="15" t="s">
        <v>136</v>
      </c>
      <c r="D12" s="45">
        <f>D10/D11</f>
        <v>3765786.29</v>
      </c>
      <c r="E12" s="16" t="s">
        <v>42</v>
      </c>
      <c r="F12" s="17"/>
      <c r="G12" s="854"/>
      <c r="H12" s="850"/>
    </row>
    <row r="13" spans="1:8" ht="32.450000000000003" customHeight="1" x14ac:dyDescent="0.25">
      <c r="A13" s="846">
        <v>2</v>
      </c>
      <c r="B13" s="846" t="s">
        <v>0</v>
      </c>
      <c r="C13" s="15" t="s">
        <v>157</v>
      </c>
      <c r="D13" s="45">
        <f>'Cводная смета ПИР'!G23+'Cводная смета ПИР'!G24+'Cводная смета ПИР'!G25</f>
        <v>17369809.789999999</v>
      </c>
      <c r="E13" s="16" t="s">
        <v>42</v>
      </c>
      <c r="F13" s="17"/>
      <c r="G13" s="854"/>
      <c r="H13" s="850"/>
    </row>
    <row r="14" spans="1:8" ht="25.9" customHeight="1" x14ac:dyDescent="0.25">
      <c r="A14" s="847"/>
      <c r="B14" s="847"/>
      <c r="C14" s="15" t="s">
        <v>156</v>
      </c>
      <c r="D14" s="18">
        <v>7.1</v>
      </c>
      <c r="E14" s="19"/>
      <c r="F14" s="17"/>
      <c r="G14" s="854"/>
      <c r="H14" s="850"/>
    </row>
    <row r="15" spans="1:8" ht="47.25" x14ac:dyDescent="0.25">
      <c r="A15" s="848"/>
      <c r="B15" s="848"/>
      <c r="C15" s="15" t="s">
        <v>43</v>
      </c>
      <c r="D15" s="45">
        <f>D13/D14</f>
        <v>2446452.08</v>
      </c>
      <c r="E15" s="16" t="s">
        <v>42</v>
      </c>
      <c r="F15" s="17"/>
      <c r="G15" s="855"/>
      <c r="H15" s="851"/>
    </row>
    <row r="16" spans="1:8" ht="39.75" customHeight="1" x14ac:dyDescent="0.25">
      <c r="A16" s="46"/>
      <c r="B16" s="47"/>
      <c r="C16" s="20" t="s">
        <v>44</v>
      </c>
      <c r="D16" s="145">
        <f>D12+D15</f>
        <v>6212238.3700000001</v>
      </c>
      <c r="E16" s="146" t="s">
        <v>42</v>
      </c>
      <c r="F16" s="147"/>
      <c r="G16" s="148" t="str">
        <f>IF(AND(0&lt;$D$16,$D$16&lt;150000),"до 0,15 млн.",IF(AND(150000&lt;$D$16,$D$16&lt;250000),"от 0,15 до 0,25 млн.",IF(AND(250000&lt;$D$16,$D$16&lt;500000),"от 0,25 до 0,5 млн.",IF(AND(500000&lt;$D$16,$D$16&lt;750000),"от 0,5 до 0,75 млн.",IF(AND(750000&lt;$D$16,$D$16&lt;1000000),"от 0,75 до 1 млн.",IF(AND(1000000&lt;$D$16,$D$16&lt;1500000),"от 1 до 1,5 млн.",IF(AND(1500000&lt;$D$16,$D$16&lt;3000000),"от 1,5 до 3 млн.",IF(AND(3000000&lt;$D$16,$D$16&lt;4000000),"от 3 до 4 млн.",IF(AND(4000000&lt;$D$16,$D$16&lt;6000000),"от 4 до 6 млн.",IF(AND(6000000&lt;$D$16,$D$16&lt;8000000),"от 6 до 8 млн.",IF(AND(8000000&lt;$D$16,$D$16&lt;12000000),"от 8 до 12 млн.",IF(AND(12000000&lt;$D$16,$D$16&lt;18000000),"от 12 до 18 млн.",IF(AND(18000000&lt;$D$16,$D$16&lt;24000000),"от 18 до 24 млн.",IF(AND(24000000&lt;$D$16,$D$16&lt;30000000),"от 24 до 30 млн.",IF(AND(30000000&lt;$D$16,$D$16&lt;36000000),"от 30 до 36 млн.",IF(AND(36000000&lt;$D$16,$D$16&lt;45000000),"от 36 до 45 млн.",IF(AND(45000000&lt;$D$16,$D$16&lt;52500000),"от 45 до 52,5 млн.",IF(AND(52500000&lt;$D$16,$D$16&lt;60000000),"от 52,5 до 60 млн.",IF(AND(60000000&lt;$D$16,$D$16&lt;70000000),"от 60 до 70 млн.",IF(AND(70000000&lt;$D$16,$D$16&lt;80000000),"от 70 до 80 млн.",IF(AND(80000000&lt;$D$16,$D$16&lt;100000000),"от 80 до 100 млн.",IF(AND(100000000&lt;$D$16,$D$16&lt;120000000),"от 100 до 120 млн.",IF(AND(120000000&lt;$D$16,$D$16&lt;140000000),"от 120 до 140 млн.",IF(AND(140000000&lt;$D$16,$D$16&lt;160000000),"от 140 до 160 млн.",IF(AND(160000000&lt;$D$16,$D$16&lt;180000000),"от 160 до 180 млн.",IF(AND(180000000&lt;$D$16,$D$16&lt;200000000),"от 180 до 200 млн.",IF(AND(200000000&lt;$D$16,$D$16&lt;220000000),"от 200 до 220 млн.",IF(220000000&lt;$D$16,C52,"дог."))))))))))))))))))))))))))))</f>
        <v>от 6 до 8 млн.</v>
      </c>
      <c r="H16" s="48"/>
    </row>
    <row r="17" spans="1:8" ht="63.75" customHeight="1" x14ac:dyDescent="0.25">
      <c r="A17" s="49"/>
      <c r="B17" s="50" t="s">
        <v>45</v>
      </c>
      <c r="C17" s="21" t="s">
        <v>46</v>
      </c>
      <c r="D17" s="149">
        <f>IF(AND(0&lt;$D$16,$D$16&lt;150000),C25,IF(AND(150000&lt;$D$16,$D$16&lt;250000),C26,IF(AND(250000&lt;$D$16,$D$16&lt;500000),C27,IF(AND(500000&lt;$D$16,$D$16&lt;750000),C28,IF(AND(750000&lt;$D$16,$D$16&lt;1000000),C29,IF(AND(1000000&lt;$D$16,$D$16&lt;1500000),C30,IF(AND(1500000&lt;$D$16,$D$16&lt;3000000),C31,IF(AND(3000000&lt;$D$16,$D$16&lt;4000000),C32,IF(AND(4000000&lt;$D$16,$D$16&lt;6000000),C33,IF(AND(6000000&lt;$D$16,$D$16&lt;8000000),C34,IF(AND(8000000&lt;$D$16,$D$16&lt;12000000),C35,IF(AND(12000000&lt;$D$16,$D$16&lt;18000000),C36,IF(AND(18000000&lt;$D$16,$D$16&lt;24000000),C37,IF(AND(24000000&lt;$D$16,$D$16&lt;30000000),C38,IF(AND(30000000&lt;$D$16,$D$16&lt;36000000),C39,IF(AND(36000000&lt;$D$16,$D$16&lt;45000000),C40,IF(AND(45000000&lt;$D$16,$D$16&lt;52500000),C41,IF(AND(52500000&lt;$D$16,$D$16&lt;60000000),C42,IF(AND(60000000&lt;$D$16,$D$16&lt;70000000),C43,IF(AND(70000000&lt;$D$16,$D$16&lt;80000000),C44,IF(AND(80000000&lt;$D$16,$D$16&lt;100000000),C45,IF(AND(100000000&lt;$D$16,$D$16&lt;120000000),C46,IF(AND(120000000&lt;$D$16,$D$16&lt;140000000),C47,IF(AND(140000000&lt;$D$16,$D$16&lt;160000000),C48,IF(AND(160000000&lt;$D$16,$D$16&lt;180000000),C49,IF(AND(180000000&lt;$D$16,$D$16&lt;200000000),C50,IF(AND(200000000&lt;$D$16,$D$16&lt;220000000),C51,IF(220000000&lt;$D$16,C52,"дог."))))))))))))))))))))))))))))/100</f>
        <v>7.0699999999999999E-2</v>
      </c>
      <c r="E17" s="150"/>
      <c r="F17" s="151"/>
      <c r="G17" s="152"/>
      <c r="H17" s="51">
        <f>D16*D17</f>
        <v>439205.25</v>
      </c>
    </row>
    <row r="18" spans="1:8" ht="67.5" customHeight="1" x14ac:dyDescent="0.25">
      <c r="A18" s="49"/>
      <c r="B18" s="52" t="s">
        <v>160</v>
      </c>
      <c r="C18" s="21" t="s">
        <v>158</v>
      </c>
      <c r="D18" s="80">
        <v>8.6</v>
      </c>
      <c r="E18" s="22"/>
      <c r="F18" s="23"/>
      <c r="G18" s="53"/>
      <c r="H18" s="54">
        <f>H17*D18</f>
        <v>3777165.15</v>
      </c>
    </row>
    <row r="19" spans="1:8" ht="15.75" x14ac:dyDescent="0.25">
      <c r="A19" s="55"/>
      <c r="C19" s="56"/>
      <c r="D19" s="56"/>
      <c r="E19" s="56"/>
      <c r="F19" s="56"/>
      <c r="G19" s="57" t="s">
        <v>159</v>
      </c>
      <c r="H19" s="58">
        <f>H18*1.22</f>
        <v>4608141.4800000004</v>
      </c>
    </row>
    <row r="20" spans="1:8" ht="72" customHeight="1" x14ac:dyDescent="0.25">
      <c r="A20" s="55"/>
      <c r="B20" s="849" t="s">
        <v>137</v>
      </c>
      <c r="C20" s="849"/>
      <c r="D20" s="849"/>
      <c r="E20" s="849"/>
      <c r="F20" s="849"/>
      <c r="G20" s="59"/>
      <c r="H20" s="60"/>
    </row>
    <row r="21" spans="1:8" ht="15.75" x14ac:dyDescent="0.25">
      <c r="A21" s="55"/>
      <c r="B21" s="56"/>
      <c r="C21" s="56"/>
      <c r="D21" s="56"/>
      <c r="E21" s="56"/>
      <c r="F21" s="56"/>
      <c r="G21" s="59"/>
      <c r="H21" s="60"/>
    </row>
    <row r="22" spans="1:8" ht="15.75" x14ac:dyDescent="0.25">
      <c r="A22" s="55"/>
      <c r="B22" s="56"/>
      <c r="C22" s="56"/>
      <c r="D22" s="56"/>
      <c r="E22" s="56"/>
      <c r="F22" s="56"/>
      <c r="G22" s="59"/>
      <c r="H22" s="60"/>
    </row>
    <row r="23" spans="1:8" ht="30" x14ac:dyDescent="0.25">
      <c r="A23" s="55"/>
      <c r="B23" s="61" t="s">
        <v>48</v>
      </c>
      <c r="C23" s="61" t="s">
        <v>111</v>
      </c>
      <c r="D23" s="56"/>
      <c r="E23" s="56"/>
      <c r="F23" s="56"/>
      <c r="G23" s="56"/>
      <c r="H23" s="62"/>
    </row>
    <row r="24" spans="1:8" x14ac:dyDescent="0.25">
      <c r="A24" s="55"/>
      <c r="B24" s="61" t="s">
        <v>49</v>
      </c>
      <c r="C24" s="61" t="s">
        <v>50</v>
      </c>
      <c r="D24" s="56"/>
      <c r="E24" s="56"/>
      <c r="F24" s="56"/>
      <c r="G24" s="56"/>
      <c r="H24" s="62"/>
    </row>
    <row r="25" spans="1:8" x14ac:dyDescent="0.25">
      <c r="A25" s="55"/>
      <c r="B25" s="61" t="s">
        <v>51</v>
      </c>
      <c r="C25" s="61">
        <v>33.75</v>
      </c>
      <c r="D25" s="56"/>
      <c r="E25" s="56"/>
      <c r="F25" s="56"/>
      <c r="G25" s="56"/>
      <c r="H25" s="62"/>
    </row>
    <row r="26" spans="1:8" x14ac:dyDescent="0.25">
      <c r="A26" s="55"/>
      <c r="B26" s="61" t="s">
        <v>52</v>
      </c>
      <c r="C26" s="61">
        <v>29.25</v>
      </c>
      <c r="D26" s="56"/>
      <c r="E26" s="56"/>
      <c r="F26" s="56"/>
      <c r="G26" s="56"/>
      <c r="H26" s="62"/>
    </row>
    <row r="27" spans="1:8" x14ac:dyDescent="0.25">
      <c r="A27" s="55"/>
      <c r="B27" s="61" t="s">
        <v>53</v>
      </c>
      <c r="C27" s="61">
        <v>27.3</v>
      </c>
      <c r="D27" s="56"/>
      <c r="E27" s="56"/>
      <c r="F27" s="56"/>
      <c r="G27" s="56"/>
      <c r="H27" s="62"/>
    </row>
    <row r="28" spans="1:8" x14ac:dyDescent="0.25">
      <c r="A28" s="55"/>
      <c r="B28" s="61" t="s">
        <v>54</v>
      </c>
      <c r="C28" s="61">
        <v>20.22</v>
      </c>
      <c r="D28" s="56"/>
      <c r="E28" s="56"/>
      <c r="F28" s="56"/>
      <c r="G28" s="56"/>
      <c r="H28" s="62"/>
    </row>
    <row r="29" spans="1:8" x14ac:dyDescent="0.25">
      <c r="A29" s="55"/>
      <c r="B29" s="63" t="s">
        <v>55</v>
      </c>
      <c r="C29" s="63">
        <v>16.649999999999999</v>
      </c>
      <c r="D29" s="56"/>
      <c r="E29" s="56"/>
      <c r="F29" s="56"/>
      <c r="G29" s="56"/>
      <c r="H29" s="62"/>
    </row>
    <row r="30" spans="1:8" x14ac:dyDescent="0.25">
      <c r="A30" s="55"/>
      <c r="B30" s="83" t="s">
        <v>56</v>
      </c>
      <c r="C30" s="83">
        <v>12.69</v>
      </c>
      <c r="D30" s="56"/>
      <c r="E30" s="56"/>
      <c r="F30" s="56"/>
      <c r="G30" s="56"/>
      <c r="H30" s="62"/>
    </row>
    <row r="31" spans="1:8" x14ac:dyDescent="0.25">
      <c r="A31" s="55"/>
      <c r="B31" s="83" t="s">
        <v>57</v>
      </c>
      <c r="C31" s="83">
        <v>11.88</v>
      </c>
      <c r="D31" s="56"/>
      <c r="E31" s="56"/>
      <c r="F31" s="56"/>
      <c r="G31" s="56"/>
      <c r="H31" s="62"/>
    </row>
    <row r="32" spans="1:8" x14ac:dyDescent="0.25">
      <c r="A32" s="55"/>
      <c r="B32" s="63" t="s">
        <v>58</v>
      </c>
      <c r="C32" s="63">
        <v>10.98</v>
      </c>
      <c r="D32" s="56"/>
      <c r="E32" s="56"/>
      <c r="F32" s="56"/>
      <c r="G32" s="56"/>
      <c r="H32" s="62"/>
    </row>
    <row r="33" spans="1:8" x14ac:dyDescent="0.25">
      <c r="A33" s="55"/>
      <c r="B33" s="83" t="s">
        <v>59</v>
      </c>
      <c r="C33" s="83">
        <v>8.77</v>
      </c>
      <c r="D33" s="56"/>
      <c r="E33" s="56"/>
      <c r="F33" s="56"/>
      <c r="G33" s="56"/>
      <c r="H33" s="62"/>
    </row>
    <row r="34" spans="1:8" x14ac:dyDescent="0.25">
      <c r="A34" s="55"/>
      <c r="B34" s="63" t="s">
        <v>60</v>
      </c>
      <c r="C34" s="63">
        <v>7.07</v>
      </c>
      <c r="D34" s="56"/>
      <c r="E34" s="56"/>
      <c r="F34" s="56"/>
      <c r="G34" s="56"/>
      <c r="H34" s="62"/>
    </row>
    <row r="35" spans="1:8" x14ac:dyDescent="0.25">
      <c r="A35" s="55"/>
      <c r="B35" s="63" t="s">
        <v>61</v>
      </c>
      <c r="C35" s="63">
        <v>6.15</v>
      </c>
      <c r="D35" s="56"/>
      <c r="E35" s="56"/>
      <c r="F35" s="56"/>
      <c r="G35" s="56"/>
      <c r="H35" s="62"/>
    </row>
    <row r="36" spans="1:8" x14ac:dyDescent="0.25">
      <c r="A36" s="55"/>
      <c r="B36" s="83" t="s">
        <v>62</v>
      </c>
      <c r="C36" s="83">
        <v>4.76</v>
      </c>
      <c r="D36" s="56"/>
      <c r="E36" s="56"/>
      <c r="F36" s="56"/>
      <c r="G36" s="56"/>
      <c r="H36" s="62"/>
    </row>
    <row r="37" spans="1:8" x14ac:dyDescent="0.25">
      <c r="A37" s="55"/>
      <c r="B37" s="61" t="s">
        <v>63</v>
      </c>
      <c r="C37" s="61">
        <v>4.13</v>
      </c>
      <c r="D37" s="56"/>
      <c r="E37" s="56"/>
      <c r="F37" s="56"/>
      <c r="G37" s="56"/>
      <c r="H37" s="62"/>
    </row>
    <row r="38" spans="1:8" x14ac:dyDescent="0.25">
      <c r="A38" s="55"/>
      <c r="B38" s="61" t="s">
        <v>64</v>
      </c>
      <c r="C38" s="61">
        <v>3.52</v>
      </c>
      <c r="D38" s="56"/>
      <c r="E38" s="56"/>
      <c r="F38" s="56"/>
      <c r="G38" s="56"/>
      <c r="H38" s="62"/>
    </row>
    <row r="39" spans="1:8" x14ac:dyDescent="0.25">
      <c r="A39" s="55"/>
      <c r="B39" s="61" t="s">
        <v>65</v>
      </c>
      <c r="C39" s="61">
        <v>3.06</v>
      </c>
      <c r="D39" s="56"/>
      <c r="E39" s="56"/>
      <c r="F39" s="56"/>
      <c r="G39" s="56"/>
      <c r="H39" s="62"/>
    </row>
    <row r="40" spans="1:8" x14ac:dyDescent="0.25">
      <c r="A40" s="55"/>
      <c r="B40" s="61" t="s">
        <v>66</v>
      </c>
      <c r="C40" s="61">
        <v>2.62</v>
      </c>
      <c r="D40" s="56"/>
      <c r="E40" s="56"/>
      <c r="F40" s="56"/>
      <c r="G40" s="56"/>
      <c r="H40" s="62"/>
    </row>
    <row r="41" spans="1:8" x14ac:dyDescent="0.25">
      <c r="A41" s="55"/>
      <c r="B41" s="61" t="s">
        <v>67</v>
      </c>
      <c r="C41" s="61">
        <v>2.33</v>
      </c>
      <c r="D41" s="56"/>
      <c r="E41" s="56"/>
      <c r="F41" s="56"/>
      <c r="G41" s="56"/>
      <c r="H41" s="62"/>
    </row>
    <row r="42" spans="1:8" x14ac:dyDescent="0.25">
      <c r="A42" s="55"/>
      <c r="B42" s="61" t="s">
        <v>68</v>
      </c>
      <c r="C42" s="61">
        <v>2.0099999999999998</v>
      </c>
      <c r="D42" s="56"/>
      <c r="E42" s="56"/>
      <c r="F42" s="56"/>
      <c r="G42" s="56"/>
      <c r="H42" s="62"/>
    </row>
    <row r="43" spans="1:8" x14ac:dyDescent="0.25">
      <c r="A43" s="55"/>
      <c r="B43" s="61" t="s">
        <v>69</v>
      </c>
      <c r="C43" s="61">
        <v>1.68</v>
      </c>
      <c r="D43" s="56"/>
      <c r="E43" s="56"/>
      <c r="F43" s="56"/>
      <c r="G43" s="56"/>
      <c r="H43" s="62"/>
    </row>
    <row r="44" spans="1:8" x14ac:dyDescent="0.25">
      <c r="A44" s="55"/>
      <c r="B44" s="61" t="s">
        <v>70</v>
      </c>
      <c r="C44" s="61">
        <v>1.56</v>
      </c>
      <c r="D44" s="56"/>
      <c r="E44" s="56"/>
      <c r="F44" s="56"/>
      <c r="G44" s="56"/>
      <c r="H44" s="62"/>
    </row>
    <row r="45" spans="1:8" x14ac:dyDescent="0.25">
      <c r="A45" s="55"/>
      <c r="B45" s="61" t="s">
        <v>71</v>
      </c>
      <c r="C45" s="61">
        <v>1.22</v>
      </c>
      <c r="D45" s="56"/>
      <c r="E45" s="56"/>
      <c r="F45" s="56"/>
      <c r="G45" s="56"/>
      <c r="H45" s="62"/>
    </row>
    <row r="46" spans="1:8" x14ac:dyDescent="0.25">
      <c r="A46" s="55"/>
      <c r="B46" s="61" t="s">
        <v>72</v>
      </c>
      <c r="C46" s="61">
        <v>1.04</v>
      </c>
      <c r="D46" s="56"/>
      <c r="E46" s="56"/>
      <c r="F46" s="56"/>
      <c r="G46" s="56"/>
      <c r="H46" s="62"/>
    </row>
    <row r="47" spans="1:8" x14ac:dyDescent="0.25">
      <c r="A47" s="55"/>
      <c r="B47" s="61" t="s">
        <v>73</v>
      </c>
      <c r="C47" s="61">
        <v>0.9</v>
      </c>
      <c r="D47" s="56"/>
      <c r="E47" s="56"/>
      <c r="F47" s="56"/>
      <c r="G47" s="56"/>
      <c r="H47" s="62"/>
    </row>
    <row r="48" spans="1:8" x14ac:dyDescent="0.25">
      <c r="A48" s="55"/>
      <c r="B48" s="61" t="s">
        <v>74</v>
      </c>
      <c r="C48" s="61">
        <v>0.8</v>
      </c>
      <c r="D48" s="56"/>
      <c r="E48" s="56"/>
      <c r="F48" s="56"/>
      <c r="G48" s="56"/>
      <c r="H48" s="62"/>
    </row>
    <row r="49" spans="1:8" x14ac:dyDescent="0.25">
      <c r="A49" s="55"/>
      <c r="B49" s="61" t="s">
        <v>75</v>
      </c>
      <c r="C49" s="61">
        <v>0.73</v>
      </c>
      <c r="D49" s="56"/>
      <c r="E49" s="56"/>
      <c r="F49" s="56"/>
      <c r="G49" s="56"/>
      <c r="H49" s="62"/>
    </row>
    <row r="50" spans="1:8" x14ac:dyDescent="0.25">
      <c r="A50" s="55"/>
      <c r="B50" s="61" t="s">
        <v>76</v>
      </c>
      <c r="C50" s="61">
        <v>0.66</v>
      </c>
      <c r="D50" s="56"/>
      <c r="E50" s="56"/>
      <c r="F50" s="56"/>
      <c r="G50" s="56"/>
      <c r="H50" s="62"/>
    </row>
    <row r="51" spans="1:8" x14ac:dyDescent="0.25">
      <c r="A51" s="55"/>
      <c r="B51" s="61" t="s">
        <v>77</v>
      </c>
      <c r="C51" s="61">
        <v>0.61</v>
      </c>
      <c r="D51" s="56"/>
      <c r="E51" s="56"/>
      <c r="F51" s="56"/>
      <c r="G51" s="56"/>
      <c r="H51" s="62"/>
    </row>
    <row r="52" spans="1:8" x14ac:dyDescent="0.25">
      <c r="A52" s="55"/>
      <c r="B52" s="61" t="s">
        <v>78</v>
      </c>
      <c r="C52" s="61">
        <v>0.57999999999999996</v>
      </c>
      <c r="D52" s="56"/>
      <c r="E52" s="56"/>
      <c r="F52" s="56"/>
      <c r="G52" s="56"/>
      <c r="H52" s="62"/>
    </row>
  </sheetData>
  <mergeCells count="20">
    <mergeCell ref="A13:A15"/>
    <mergeCell ref="B20:F20"/>
    <mergeCell ref="H10:H15"/>
    <mergeCell ref="B10:B12"/>
    <mergeCell ref="C9:E9"/>
    <mergeCell ref="G10:G15"/>
    <mergeCell ref="A10:A12"/>
    <mergeCell ref="B13:B15"/>
    <mergeCell ref="A1:H1"/>
    <mergeCell ref="A2:H2"/>
    <mergeCell ref="A3:B3"/>
    <mergeCell ref="C3:H3"/>
    <mergeCell ref="A4:B4"/>
    <mergeCell ref="C4:H4"/>
    <mergeCell ref="A5:B5"/>
    <mergeCell ref="C5:H5"/>
    <mergeCell ref="A6:B6"/>
    <mergeCell ref="C6:H6"/>
    <mergeCell ref="A7:B7"/>
    <mergeCell ref="C7:H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35" zoomScaleNormal="100" workbookViewId="0">
      <selection activeCell="N80" sqref="N80"/>
    </sheetView>
  </sheetViews>
  <sheetFormatPr defaultRowHeight="12.75" x14ac:dyDescent="0.2"/>
  <cols>
    <col min="1" max="1" width="25.7109375" style="87" customWidth="1"/>
    <col min="2" max="2" width="9.140625" style="87"/>
    <col min="3" max="3" width="14.140625" style="87" customWidth="1"/>
    <col min="4" max="4" width="13" style="87" customWidth="1"/>
    <col min="5" max="5" width="15.7109375" style="87" customWidth="1"/>
    <col min="6" max="6" width="11.5703125" style="87" bestFit="1" customWidth="1"/>
    <col min="7" max="10" width="10.140625" style="87" bestFit="1" customWidth="1"/>
    <col min="11" max="16" width="9.140625" style="87"/>
    <col min="17" max="17" width="10.140625" style="87" bestFit="1" customWidth="1"/>
    <col min="18" max="16384" width="9.140625" style="87"/>
  </cols>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7"/>
  <sheetViews>
    <sheetView tabSelected="1" zoomScaleNormal="100" zoomScaleSheetLayoutView="100" workbookViewId="0">
      <selection activeCell="E13" sqref="E13"/>
    </sheetView>
  </sheetViews>
  <sheetFormatPr defaultColWidth="9.140625" defaultRowHeight="15" x14ac:dyDescent="0.25"/>
  <cols>
    <col min="1" max="1" width="5.42578125" style="24" customWidth="1"/>
    <col min="2" max="2" width="52.42578125" style="24" customWidth="1"/>
    <col min="3" max="3" width="16.140625" style="24" customWidth="1"/>
    <col min="4" max="4" width="20.28515625" style="24" customWidth="1"/>
    <col min="5" max="5" width="16.140625" style="24" customWidth="1"/>
    <col min="6" max="6" width="22.28515625" style="24" customWidth="1"/>
    <col min="7" max="7" width="23.85546875" style="24" customWidth="1"/>
    <col min="8" max="8" width="10.5703125" style="24" bestFit="1" customWidth="1"/>
    <col min="9" max="16384" width="9.140625" style="24"/>
  </cols>
  <sheetData>
    <row r="1" spans="1:11" ht="15.75" x14ac:dyDescent="0.25">
      <c r="A1" s="596" t="s">
        <v>113</v>
      </c>
      <c r="B1" s="596"/>
      <c r="C1" s="596"/>
      <c r="D1" s="596"/>
      <c r="E1" s="596"/>
    </row>
    <row r="2" spans="1:11" ht="24.6" customHeight="1" x14ac:dyDescent="0.25">
      <c r="A2" s="596" t="s">
        <v>132</v>
      </c>
      <c r="B2" s="596"/>
      <c r="C2" s="596"/>
      <c r="D2" s="596"/>
      <c r="E2" s="596"/>
    </row>
    <row r="3" spans="1:11" ht="54" customHeight="1" x14ac:dyDescent="0.25">
      <c r="A3" s="609" t="str">
        <f>Пояснительная!A4</f>
        <v>Всесезонный туристско-рекреационный комплекс «Эльбрус», Кабардино-Балкарская Республика. Пассажирская подвесная канатная дорога и буксировочная канатная дорога, расположенные по адресу: южный склон г. Эльбрус в районе ледника Гарабаши</v>
      </c>
      <c r="B3" s="597"/>
      <c r="C3" s="597"/>
      <c r="D3" s="597"/>
      <c r="E3" s="597"/>
    </row>
    <row r="4" spans="1:11" ht="18.75" customHeight="1" x14ac:dyDescent="0.25">
      <c r="A4" s="596" t="s">
        <v>646</v>
      </c>
      <c r="B4" s="596"/>
      <c r="C4" s="92">
        <f>НМЦК!B8</f>
        <v>4.5</v>
      </c>
      <c r="D4" s="32" t="s">
        <v>47</v>
      </c>
      <c r="E4" s="25"/>
    </row>
    <row r="5" spans="1:11" ht="15.75" hidden="1" x14ac:dyDescent="0.25">
      <c r="A5" s="25" t="s">
        <v>133</v>
      </c>
      <c r="B5" s="25"/>
      <c r="C5" s="233">
        <f>НМЦК!F32</f>
        <v>46244</v>
      </c>
      <c r="D5" s="32"/>
      <c r="E5" s="25"/>
    </row>
    <row r="6" spans="1:11" ht="15.75" hidden="1" x14ac:dyDescent="0.25">
      <c r="A6" s="25" t="s">
        <v>134</v>
      </c>
      <c r="B6" s="25"/>
      <c r="C6" s="233">
        <f>НМЦК!F33</f>
        <v>46379</v>
      </c>
      <c r="D6" s="32"/>
      <c r="E6" s="25"/>
    </row>
    <row r="7" spans="1:11" ht="15.75" x14ac:dyDescent="0.25">
      <c r="A7" s="25"/>
      <c r="B7" s="26"/>
      <c r="C7" s="26"/>
      <c r="D7" s="26"/>
      <c r="E7" s="26"/>
    </row>
    <row r="8" spans="1:11" ht="27.75" customHeight="1" x14ac:dyDescent="0.25">
      <c r="A8" s="610" t="s">
        <v>79</v>
      </c>
      <c r="B8" s="610" t="s">
        <v>80</v>
      </c>
      <c r="C8" s="610" t="s">
        <v>81</v>
      </c>
      <c r="D8" s="610"/>
      <c r="E8" s="610"/>
      <c r="F8" s="611" t="s">
        <v>163</v>
      </c>
      <c r="G8" s="613" t="s">
        <v>138</v>
      </c>
    </row>
    <row r="9" spans="1:11" ht="24.75" customHeight="1" x14ac:dyDescent="0.25">
      <c r="A9" s="610"/>
      <c r="B9" s="610"/>
      <c r="C9" s="610"/>
      <c r="D9" s="610"/>
      <c r="E9" s="610"/>
      <c r="F9" s="611"/>
      <c r="G9" s="614"/>
    </row>
    <row r="10" spans="1:11" ht="35.25" customHeight="1" x14ac:dyDescent="0.25">
      <c r="A10" s="610"/>
      <c r="B10" s="610"/>
      <c r="C10" s="345" t="s">
        <v>82</v>
      </c>
      <c r="D10" s="345" t="s">
        <v>162</v>
      </c>
      <c r="E10" s="345" t="s">
        <v>83</v>
      </c>
      <c r="F10" s="612"/>
      <c r="G10" s="615"/>
      <c r="H10" s="234"/>
      <c r="I10" s="234"/>
      <c r="J10" s="234"/>
      <c r="K10" s="234"/>
    </row>
    <row r="11" spans="1:11" ht="30" customHeight="1" x14ac:dyDescent="0.25">
      <c r="A11" s="345">
        <v>1</v>
      </c>
      <c r="B11" s="345">
        <v>2</v>
      </c>
      <c r="C11" s="345">
        <v>3</v>
      </c>
      <c r="D11" s="345">
        <v>4</v>
      </c>
      <c r="E11" s="345">
        <v>5</v>
      </c>
      <c r="F11" s="612"/>
      <c r="G11" s="616"/>
      <c r="H11" s="234"/>
      <c r="I11" s="234"/>
      <c r="J11" s="234"/>
      <c r="K11" s="234"/>
    </row>
    <row r="12" spans="1:11" ht="42" customHeight="1" x14ac:dyDescent="0.25">
      <c r="A12" s="268">
        <v>1</v>
      </c>
      <c r="B12" s="67" t="s">
        <v>84</v>
      </c>
      <c r="C12" s="76">
        <f>НМЦК!F13</f>
        <v>25292060.300000001</v>
      </c>
      <c r="D12" s="76">
        <f>C12*0.22</f>
        <v>5564253.2699999996</v>
      </c>
      <c r="E12" s="76">
        <f t="shared" ref="E12" si="0">C12+D12</f>
        <v>30856313.57</v>
      </c>
      <c r="F12" s="259"/>
      <c r="G12" s="259"/>
      <c r="H12" s="234"/>
      <c r="I12" s="234"/>
      <c r="J12" s="234"/>
      <c r="K12" s="234"/>
    </row>
    <row r="13" spans="1:11" ht="42" customHeight="1" x14ac:dyDescent="0.25">
      <c r="A13" s="346">
        <v>2</v>
      </c>
      <c r="B13" s="118" t="s">
        <v>179</v>
      </c>
      <c r="C13" s="76">
        <f>НМЦК!F14</f>
        <v>1683487</v>
      </c>
      <c r="D13" s="76">
        <f t="shared" ref="D13:D21" si="1">C13*0.22</f>
        <v>370367.14</v>
      </c>
      <c r="E13" s="76">
        <f t="shared" ref="E13:E21" si="2">C13+D13</f>
        <v>2053854.14</v>
      </c>
      <c r="F13" s="344"/>
      <c r="G13" s="344"/>
      <c r="H13" s="234"/>
      <c r="I13" s="234"/>
      <c r="J13" s="234"/>
      <c r="K13" s="234"/>
    </row>
    <row r="14" spans="1:11" ht="42" customHeight="1" x14ac:dyDescent="0.25">
      <c r="A14" s="346">
        <v>3</v>
      </c>
      <c r="B14" s="323" t="s">
        <v>1137</v>
      </c>
      <c r="C14" s="76">
        <f>НМЦК!F15</f>
        <v>737704.92</v>
      </c>
      <c r="D14" s="76">
        <f t="shared" si="1"/>
        <v>162295.07999999999</v>
      </c>
      <c r="E14" s="76">
        <f t="shared" si="2"/>
        <v>900000</v>
      </c>
      <c r="F14" s="344"/>
      <c r="G14" s="344"/>
      <c r="H14" s="234"/>
      <c r="I14" s="234"/>
      <c r="J14" s="234"/>
      <c r="K14" s="234"/>
    </row>
    <row r="15" spans="1:11" ht="42" customHeight="1" x14ac:dyDescent="0.25">
      <c r="A15" s="346">
        <v>4</v>
      </c>
      <c r="B15" s="326" t="s">
        <v>1138</v>
      </c>
      <c r="C15" s="76">
        <f>НМЦК!F16</f>
        <v>1229508.2</v>
      </c>
      <c r="D15" s="76">
        <f t="shared" si="1"/>
        <v>270491.8</v>
      </c>
      <c r="E15" s="76">
        <f t="shared" si="2"/>
        <v>1500000</v>
      </c>
      <c r="F15" s="344"/>
      <c r="G15" s="344"/>
      <c r="H15" s="234"/>
      <c r="I15" s="234"/>
      <c r="J15" s="234"/>
      <c r="K15" s="234"/>
    </row>
    <row r="16" spans="1:11" s="91" customFormat="1" ht="44.25" customHeight="1" x14ac:dyDescent="0.25">
      <c r="A16" s="268">
        <v>5</v>
      </c>
      <c r="B16" s="269" t="s">
        <v>139</v>
      </c>
      <c r="C16" s="76">
        <f>НМЦК!F17</f>
        <v>15939872.199999999</v>
      </c>
      <c r="D16" s="76">
        <f t="shared" si="1"/>
        <v>3506771.88</v>
      </c>
      <c r="E16" s="76">
        <f t="shared" si="2"/>
        <v>19446644.079999998</v>
      </c>
      <c r="F16" s="270"/>
      <c r="G16" s="270"/>
    </row>
    <row r="17" spans="1:11" s="91" customFormat="1" ht="44.25" customHeight="1" x14ac:dyDescent="0.25">
      <c r="A17" s="271">
        <v>6</v>
      </c>
      <c r="B17" s="67" t="s">
        <v>121</v>
      </c>
      <c r="C17" s="76">
        <f>НМЦК!F18</f>
        <v>1659219.08</v>
      </c>
      <c r="D17" s="76">
        <f t="shared" si="1"/>
        <v>365028.2</v>
      </c>
      <c r="E17" s="76">
        <f t="shared" si="2"/>
        <v>2024247.28</v>
      </c>
      <c r="F17" s="270"/>
      <c r="G17" s="270"/>
    </row>
    <row r="18" spans="1:11" ht="81.75" customHeight="1" x14ac:dyDescent="0.25">
      <c r="A18" s="271">
        <v>7</v>
      </c>
      <c r="B18" s="337" t="s">
        <v>232</v>
      </c>
      <c r="C18" s="76">
        <f>НМЦК!F19</f>
        <v>181645.9</v>
      </c>
      <c r="D18" s="76">
        <f t="shared" si="1"/>
        <v>39962.1</v>
      </c>
      <c r="E18" s="76">
        <f t="shared" si="2"/>
        <v>221608</v>
      </c>
      <c r="F18" s="259"/>
      <c r="G18" s="259"/>
      <c r="H18" s="234"/>
      <c r="I18" s="234"/>
      <c r="J18" s="234"/>
      <c r="K18" s="234"/>
    </row>
    <row r="19" spans="1:11" ht="81.75" customHeight="1" x14ac:dyDescent="0.25">
      <c r="A19" s="346">
        <v>8</v>
      </c>
      <c r="B19" s="323" t="s">
        <v>1135</v>
      </c>
      <c r="C19" s="76">
        <f>НМЦК!F20</f>
        <v>2049180.33</v>
      </c>
      <c r="D19" s="76">
        <f t="shared" si="1"/>
        <v>450819.67</v>
      </c>
      <c r="E19" s="76">
        <f t="shared" si="2"/>
        <v>2500000</v>
      </c>
      <c r="F19" s="344"/>
      <c r="G19" s="344"/>
      <c r="H19" s="234"/>
      <c r="I19" s="234"/>
      <c r="J19" s="234"/>
      <c r="K19" s="234"/>
    </row>
    <row r="20" spans="1:11" ht="81.75" customHeight="1" x14ac:dyDescent="0.25">
      <c r="A20" s="346">
        <v>9</v>
      </c>
      <c r="B20" s="323" t="s">
        <v>1147</v>
      </c>
      <c r="C20" s="76">
        <f>НМЦК!F21</f>
        <v>2049180.33</v>
      </c>
      <c r="D20" s="76">
        <f t="shared" si="1"/>
        <v>450819.67</v>
      </c>
      <c r="E20" s="76">
        <f t="shared" si="2"/>
        <v>2500000</v>
      </c>
      <c r="F20" s="344"/>
      <c r="G20" s="344"/>
      <c r="H20" s="234"/>
      <c r="I20" s="234"/>
      <c r="J20" s="234"/>
      <c r="K20" s="234"/>
    </row>
    <row r="21" spans="1:11" ht="73.5" customHeight="1" x14ac:dyDescent="0.25">
      <c r="A21" s="347">
        <v>10</v>
      </c>
      <c r="B21" s="323" t="s">
        <v>1148</v>
      </c>
      <c r="C21" s="76">
        <f>НМЦК!F22</f>
        <v>1639344.26</v>
      </c>
      <c r="D21" s="76">
        <f t="shared" si="1"/>
        <v>360655.74</v>
      </c>
      <c r="E21" s="76">
        <f t="shared" si="2"/>
        <v>2000000</v>
      </c>
      <c r="F21" s="260"/>
      <c r="G21" s="261"/>
      <c r="H21" s="234"/>
      <c r="I21" s="234"/>
      <c r="J21" s="234"/>
      <c r="K21" s="234"/>
    </row>
    <row r="22" spans="1:11" ht="35.25" customHeight="1" x14ac:dyDescent="0.25">
      <c r="A22" s="349"/>
      <c r="B22" s="349" t="s">
        <v>85</v>
      </c>
      <c r="C22" s="350">
        <f>SUM(C12:C21)</f>
        <v>52461202.520000003</v>
      </c>
      <c r="D22" s="350">
        <f>SUM(D12:D21)</f>
        <v>11541464.550000001</v>
      </c>
      <c r="E22" s="350">
        <f>SUM(E12:E21)</f>
        <v>64002667.07</v>
      </c>
      <c r="F22" s="351">
        <v>682015490</v>
      </c>
      <c r="G22" s="352">
        <f>E22/F22</f>
        <v>9.3799999999999994E-2</v>
      </c>
      <c r="H22" s="262"/>
      <c r="I22" s="234"/>
      <c r="J22" s="234"/>
      <c r="K22" s="234"/>
    </row>
    <row r="23" spans="1:11" ht="15.75" x14ac:dyDescent="0.25">
      <c r="A23" s="26"/>
      <c r="B23" s="26"/>
      <c r="C23" s="39"/>
      <c r="D23" s="27"/>
      <c r="E23" s="27"/>
    </row>
    <row r="24" spans="1:11" s="26" customFormat="1" ht="15.75" x14ac:dyDescent="0.25">
      <c r="A24" s="96" t="s">
        <v>129</v>
      </c>
      <c r="B24" s="97"/>
      <c r="C24" s="98"/>
    </row>
    <row r="25" spans="1:11" s="27" customFormat="1" ht="69" customHeight="1" x14ac:dyDescent="0.25">
      <c r="A25" s="586" t="str">
        <f>Пояснительная!A23</f>
        <v>Начальник отдела ценообразования
управления проектов
департамента развития инфраструктуры</v>
      </c>
      <c r="B25" s="586"/>
      <c r="C25" s="29"/>
      <c r="D25" s="109"/>
      <c r="E25" s="348" t="str">
        <f>Пояснительная!C23</f>
        <v>А.Ю. Татаринов</v>
      </c>
    </row>
    <row r="26" spans="1:11" s="26" customFormat="1" ht="15.75" x14ac:dyDescent="0.25">
      <c r="A26" s="111"/>
      <c r="B26" s="111"/>
      <c r="C26" s="108"/>
      <c r="D26" s="109"/>
      <c r="E26" s="110"/>
    </row>
    <row r="27" spans="1:11" s="26" customFormat="1" ht="15.75" x14ac:dyDescent="0.25">
      <c r="A27" s="112" t="s">
        <v>118</v>
      </c>
      <c r="B27" s="97"/>
      <c r="C27" s="108"/>
      <c r="D27" s="108"/>
      <c r="E27" s="98"/>
    </row>
    <row r="28" spans="1:11" s="26" customFormat="1" ht="86.25" customHeight="1" x14ac:dyDescent="0.25">
      <c r="A28" s="586" t="str">
        <f>Пояснительная!A26</f>
        <v>Заместитель директора департамента
по ценообразованию и сметному регулированию
Департамента развития инфраструктуры</v>
      </c>
      <c r="B28" s="586"/>
      <c r="C28" s="108"/>
      <c r="D28" s="109"/>
      <c r="E28" s="110" t="str">
        <f>Пояснительная!C26</f>
        <v>Е.А. Татаринова</v>
      </c>
    </row>
    <row r="29" spans="1:11" s="26" customFormat="1" ht="15.75" x14ac:dyDescent="0.25">
      <c r="A29" s="111"/>
      <c r="B29" s="111"/>
      <c r="C29" s="108"/>
      <c r="D29" s="109"/>
      <c r="E29" s="110"/>
    </row>
    <row r="30" spans="1:11" s="26" customFormat="1" ht="14.25" customHeight="1" x14ac:dyDescent="0.25">
      <c r="A30" s="586" t="s">
        <v>130</v>
      </c>
      <c r="B30" s="586"/>
      <c r="C30" s="108"/>
      <c r="D30" s="108"/>
      <c r="E30" s="110"/>
    </row>
    <row r="31" spans="1:11" s="26" customFormat="1" ht="44.25" customHeight="1" x14ac:dyDescent="0.25">
      <c r="A31" s="586" t="str">
        <f>Пояснительная!A29</f>
        <v>Директор Департамента развития инфраструктуры</v>
      </c>
      <c r="B31" s="586"/>
      <c r="C31" s="108"/>
      <c r="D31" s="108"/>
      <c r="E31" s="110" t="str">
        <f>Пояснительная!C29</f>
        <v>И.В. Евдокимов</v>
      </c>
    </row>
    <row r="36" spans="5:5" x14ac:dyDescent="0.25">
      <c r="E36" s="85"/>
    </row>
    <row r="37" spans="5:5" x14ac:dyDescent="0.25">
      <c r="E37" s="84"/>
    </row>
  </sheetData>
  <mergeCells count="13">
    <mergeCell ref="F8:F11"/>
    <mergeCell ref="G8:G11"/>
    <mergeCell ref="A25:B25"/>
    <mergeCell ref="A28:B28"/>
    <mergeCell ref="A30:B30"/>
    <mergeCell ref="A31:B31"/>
    <mergeCell ref="A1:E1"/>
    <mergeCell ref="A2:E2"/>
    <mergeCell ref="A3:E3"/>
    <mergeCell ref="A8:A10"/>
    <mergeCell ref="B8:B10"/>
    <mergeCell ref="C8:E9"/>
    <mergeCell ref="A4:B4"/>
  </mergeCells>
  <printOptions horizontalCentered="1"/>
  <pageMargins left="0.70866141732283472" right="0.70866141732283472" top="0.74803149606299213" bottom="0.74803149606299213" header="0.31496062992125984" footer="0.31496062992125984"/>
  <pageSetup paperSize="9" scale="57"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7"/>
  <sheetViews>
    <sheetView zoomScaleNormal="100" zoomScaleSheetLayoutView="85" workbookViewId="0">
      <selection activeCell="B19" sqref="B19"/>
    </sheetView>
  </sheetViews>
  <sheetFormatPr defaultColWidth="9.140625" defaultRowHeight="15" x14ac:dyDescent="0.25"/>
  <cols>
    <col min="1" max="1" width="47.7109375" style="24" customWidth="1"/>
    <col min="2" max="2" width="25.140625" style="24" customWidth="1"/>
    <col min="3" max="3" width="18.85546875" style="24" customWidth="1"/>
    <col min="4" max="4" width="25.85546875" style="24" customWidth="1"/>
    <col min="5" max="5" width="20.42578125" style="24" customWidth="1"/>
    <col min="6" max="6" width="24.28515625" style="24" customWidth="1"/>
    <col min="7" max="7" width="26.7109375" style="24" customWidth="1"/>
    <col min="8" max="9" width="11.28515625" style="24" bestFit="1" customWidth="1"/>
    <col min="10" max="16384" width="9.140625" style="24"/>
  </cols>
  <sheetData>
    <row r="1" spans="1:11" ht="37.5" customHeight="1" x14ac:dyDescent="0.25">
      <c r="A1" s="617" t="s">
        <v>117</v>
      </c>
      <c r="B1" s="617"/>
      <c r="C1" s="617"/>
      <c r="D1" s="617"/>
      <c r="E1" s="617"/>
      <c r="F1" s="617"/>
      <c r="G1" s="82"/>
    </row>
    <row r="2" spans="1:11" ht="57" customHeight="1" x14ac:dyDescent="0.25">
      <c r="A2" s="29" t="s">
        <v>86</v>
      </c>
      <c r="B2" s="626" t="str">
        <f>Пояснительная!A4</f>
        <v>Всесезонный туристско-рекреационный комплекс «Эльбрус», Кабардино-Балкарская Республика. Пассажирская подвесная канатная дорога и буксировочная канатная дорога, расположенные по адресу: южный склон г. Эльбрус в районе ледника Гарабаши</v>
      </c>
      <c r="C2" s="626"/>
      <c r="D2" s="626"/>
      <c r="E2" s="626"/>
      <c r="F2" s="626"/>
      <c r="G2" s="32"/>
    </row>
    <row r="3" spans="1:11" ht="28.5" customHeight="1" x14ac:dyDescent="0.25">
      <c r="A3" s="29" t="s">
        <v>87</v>
      </c>
      <c r="B3" s="618" t="s">
        <v>173</v>
      </c>
      <c r="C3" s="618"/>
      <c r="D3" s="618"/>
      <c r="E3" s="618"/>
      <c r="F3" s="618"/>
      <c r="G3" s="618"/>
    </row>
    <row r="4" spans="1:11" ht="15.75" x14ac:dyDescent="0.25">
      <c r="A4" s="30" t="s">
        <v>88</v>
      </c>
      <c r="B4" s="26"/>
      <c r="C4" s="627"/>
      <c r="D4" s="627"/>
      <c r="E4" s="627"/>
      <c r="F4" s="627"/>
      <c r="G4" s="26"/>
    </row>
    <row r="5" spans="1:11" ht="15.75" x14ac:dyDescent="0.25">
      <c r="A5" s="619"/>
      <c r="B5" s="619"/>
      <c r="C5" s="619"/>
      <c r="D5" s="619"/>
      <c r="E5" s="619"/>
      <c r="F5" s="619"/>
      <c r="G5" s="619"/>
    </row>
    <row r="6" spans="1:11" ht="15.75" x14ac:dyDescent="0.25">
      <c r="A6" s="30" t="s">
        <v>89</v>
      </c>
      <c r="B6" s="27"/>
      <c r="C6" s="27"/>
      <c r="D6" s="26"/>
      <c r="E6" s="26"/>
      <c r="F6" s="26"/>
      <c r="G6" s="26"/>
    </row>
    <row r="7" spans="1:11" ht="15.75" x14ac:dyDescent="0.25">
      <c r="A7" s="30" t="s">
        <v>145</v>
      </c>
      <c r="B7" s="27"/>
      <c r="C7" s="27"/>
      <c r="D7" s="26"/>
      <c r="E7" s="26"/>
      <c r="F7" s="26"/>
      <c r="G7" s="26"/>
    </row>
    <row r="8" spans="1:11" ht="14.25" customHeight="1" x14ac:dyDescent="0.25">
      <c r="A8" s="31" t="s">
        <v>97</v>
      </c>
      <c r="B8" s="127">
        <f>ROUNDUP((F33-F32)/30.5,1)</f>
        <v>4.5</v>
      </c>
      <c r="C8" s="619" t="s">
        <v>47</v>
      </c>
      <c r="D8" s="619"/>
      <c r="E8" s="619"/>
      <c r="F8" s="619"/>
      <c r="G8" s="71"/>
    </row>
    <row r="9" spans="1:11" ht="15.75" x14ac:dyDescent="0.25">
      <c r="A9" s="26"/>
      <c r="B9" s="26"/>
      <c r="C9" s="26"/>
      <c r="D9" s="26"/>
      <c r="E9" s="26"/>
      <c r="F9" s="26"/>
      <c r="G9" s="72"/>
    </row>
    <row r="10" spans="1:11" ht="76.5" customHeight="1" x14ac:dyDescent="0.25">
      <c r="A10" s="620" t="s">
        <v>90</v>
      </c>
      <c r="B10" s="622" t="s">
        <v>146</v>
      </c>
      <c r="C10" s="622" t="s">
        <v>91</v>
      </c>
      <c r="D10" s="622" t="s">
        <v>98</v>
      </c>
      <c r="E10" s="622" t="s">
        <v>92</v>
      </c>
      <c r="F10" s="625" t="s">
        <v>93</v>
      </c>
      <c r="G10" s="254"/>
      <c r="H10" s="234"/>
      <c r="I10" s="234"/>
      <c r="J10" s="234"/>
      <c r="K10" s="234"/>
    </row>
    <row r="11" spans="1:11" ht="21.75" customHeight="1" x14ac:dyDescent="0.25">
      <c r="A11" s="621"/>
      <c r="B11" s="623"/>
      <c r="C11" s="624"/>
      <c r="D11" s="624"/>
      <c r="E11" s="624"/>
      <c r="F11" s="625"/>
      <c r="G11" s="255"/>
      <c r="H11" s="234"/>
      <c r="I11" s="234"/>
      <c r="J11" s="234"/>
      <c r="K11" s="234"/>
    </row>
    <row r="12" spans="1:11" ht="15.75" x14ac:dyDescent="0.25">
      <c r="A12" s="282">
        <v>1</v>
      </c>
      <c r="B12" s="283">
        <v>2</v>
      </c>
      <c r="C12" s="282">
        <v>3</v>
      </c>
      <c r="D12" s="282">
        <v>4</v>
      </c>
      <c r="E12" s="282">
        <v>5</v>
      </c>
      <c r="F12" s="282">
        <v>6</v>
      </c>
      <c r="G12" s="256"/>
      <c r="H12" s="234"/>
      <c r="I12" s="234"/>
      <c r="J12" s="234"/>
      <c r="K12" s="234"/>
    </row>
    <row r="13" spans="1:11" s="91" customFormat="1" ht="26.25" customHeight="1" x14ac:dyDescent="0.25">
      <c r="A13" s="67" t="s">
        <v>84</v>
      </c>
      <c r="B13" s="266">
        <f>'Cводная смета ПИР'!G12+'Cводная смета ПИР'!G13+'Cводная смета ПИР'!G14+'Cводная смета ПИР'!G15+'Cводная смета ПИР'!G16+'Cводная смета ПИР'!G17</f>
        <v>24962554.579999998</v>
      </c>
      <c r="C13" s="124">
        <f t="shared" ref="C13:C22" si="0">$C$27</f>
        <v>1</v>
      </c>
      <c r="D13" s="266">
        <f>B13*C13</f>
        <v>24962554.579999998</v>
      </c>
      <c r="E13" s="232">
        <f>$F$37</f>
        <v>1.0132000000000001</v>
      </c>
      <c r="F13" s="267">
        <f t="shared" ref="F13:F22" si="1">D13*E13</f>
        <v>25292060.300000001</v>
      </c>
      <c r="G13" s="90"/>
    </row>
    <row r="14" spans="1:11" s="91" customFormat="1" ht="41.25" customHeight="1" x14ac:dyDescent="0.25">
      <c r="A14" s="118" t="s">
        <v>179</v>
      </c>
      <c r="B14" s="336">
        <f>'Cводная смета ПИР'!G18</f>
        <v>1661554.49</v>
      </c>
      <c r="C14" s="124">
        <f t="shared" si="0"/>
        <v>1</v>
      </c>
      <c r="D14" s="266">
        <f t="shared" ref="D14:D16" si="2">B14*C14</f>
        <v>1661554.49</v>
      </c>
      <c r="E14" s="232">
        <f>$F$37</f>
        <v>1.0132000000000001</v>
      </c>
      <c r="F14" s="267">
        <f>D14*E14-0.01</f>
        <v>1683487</v>
      </c>
      <c r="G14" s="90"/>
    </row>
    <row r="15" spans="1:11" s="91" customFormat="1" ht="53.25" customHeight="1" x14ac:dyDescent="0.25">
      <c r="A15" s="323" t="s">
        <v>1137</v>
      </c>
      <c r="B15" s="336">
        <f>'Cводная смета ПИР'!G19</f>
        <v>737704.92</v>
      </c>
      <c r="C15" s="124">
        <f t="shared" si="0"/>
        <v>1</v>
      </c>
      <c r="D15" s="266">
        <f t="shared" si="2"/>
        <v>737704.92</v>
      </c>
      <c r="E15" s="258">
        <v>1</v>
      </c>
      <c r="F15" s="267">
        <f t="shared" si="1"/>
        <v>737704.92</v>
      </c>
      <c r="G15" s="90"/>
    </row>
    <row r="16" spans="1:11" s="91" customFormat="1" ht="50.25" customHeight="1" x14ac:dyDescent="0.25">
      <c r="A16" s="326" t="s">
        <v>1138</v>
      </c>
      <c r="B16" s="336">
        <f>'Cводная смета ПИР'!G20</f>
        <v>1229508.2</v>
      </c>
      <c r="C16" s="124">
        <f t="shared" si="0"/>
        <v>1</v>
      </c>
      <c r="D16" s="266">
        <f t="shared" si="2"/>
        <v>1229508.2</v>
      </c>
      <c r="E16" s="258">
        <v>1</v>
      </c>
      <c r="F16" s="267">
        <f t="shared" si="1"/>
        <v>1229508.2</v>
      </c>
      <c r="G16" s="90"/>
    </row>
    <row r="17" spans="1:11" s="91" customFormat="1" ht="35.25" customHeight="1" x14ac:dyDescent="0.25">
      <c r="A17" s="269" t="s">
        <v>139</v>
      </c>
      <c r="B17" s="266">
        <f>'Cводная смета ПИР'!G23+'Cводная смета ПИР'!G24</f>
        <v>15732207.07</v>
      </c>
      <c r="C17" s="124">
        <f t="shared" si="0"/>
        <v>1</v>
      </c>
      <c r="D17" s="266">
        <f t="shared" ref="D17:D22" si="3">B17*C17</f>
        <v>15732207.07</v>
      </c>
      <c r="E17" s="232">
        <f>F37</f>
        <v>1.0132000000000001</v>
      </c>
      <c r="F17" s="267">
        <f t="shared" si="1"/>
        <v>15939872.199999999</v>
      </c>
      <c r="G17" s="73"/>
    </row>
    <row r="18" spans="1:11" s="91" customFormat="1" ht="54.75" customHeight="1" x14ac:dyDescent="0.25">
      <c r="A18" s="67" t="s">
        <v>121</v>
      </c>
      <c r="B18" s="266">
        <f>'Cводная смета ПИР'!G25</f>
        <v>1637602.72</v>
      </c>
      <c r="C18" s="124">
        <f t="shared" si="0"/>
        <v>1</v>
      </c>
      <c r="D18" s="266">
        <f>B18*C18</f>
        <v>1637602.72</v>
      </c>
      <c r="E18" s="232">
        <f>F37</f>
        <v>1.0132000000000001</v>
      </c>
      <c r="F18" s="267">
        <f>D18*E18</f>
        <v>1659219.08</v>
      </c>
      <c r="G18" s="73"/>
    </row>
    <row r="19" spans="1:11" s="91" customFormat="1" ht="106.5" customHeight="1" x14ac:dyDescent="0.25">
      <c r="A19" s="337" t="s">
        <v>232</v>
      </c>
      <c r="B19" s="338">
        <f>'Cводная смета ПИР'!G26</f>
        <v>181645.9</v>
      </c>
      <c r="C19" s="124">
        <f t="shared" si="0"/>
        <v>1</v>
      </c>
      <c r="D19" s="266">
        <f>B19*C19</f>
        <v>181645.9</v>
      </c>
      <c r="E19" s="257">
        <v>1</v>
      </c>
      <c r="F19" s="267">
        <f>D19*E19</f>
        <v>181645.9</v>
      </c>
      <c r="G19" s="73"/>
    </row>
    <row r="20" spans="1:11" s="91" customFormat="1" ht="62.25" customHeight="1" x14ac:dyDescent="0.25">
      <c r="A20" s="323" t="s">
        <v>1135</v>
      </c>
      <c r="B20" s="336">
        <f>'Cводная смета ПИР'!G27</f>
        <v>2049180.33</v>
      </c>
      <c r="C20" s="124">
        <f t="shared" si="0"/>
        <v>1</v>
      </c>
      <c r="D20" s="266">
        <f t="shared" si="3"/>
        <v>2049180.33</v>
      </c>
      <c r="E20" s="258">
        <v>1</v>
      </c>
      <c r="F20" s="267">
        <f t="shared" si="1"/>
        <v>2049180.33</v>
      </c>
      <c r="G20" s="73"/>
    </row>
    <row r="21" spans="1:11" s="91" customFormat="1" ht="81" customHeight="1" x14ac:dyDescent="0.25">
      <c r="A21" s="323" t="s">
        <v>1147</v>
      </c>
      <c r="B21" s="336">
        <f>'Cводная смета ПИР'!G28</f>
        <v>2049180.33</v>
      </c>
      <c r="C21" s="124">
        <f t="shared" si="0"/>
        <v>1</v>
      </c>
      <c r="D21" s="266">
        <f t="shared" si="3"/>
        <v>2049180.33</v>
      </c>
      <c r="E21" s="258">
        <v>1</v>
      </c>
      <c r="F21" s="267">
        <f t="shared" si="1"/>
        <v>2049180.33</v>
      </c>
      <c r="G21" s="73"/>
    </row>
    <row r="22" spans="1:11" s="91" customFormat="1" ht="74.25" customHeight="1" x14ac:dyDescent="0.25">
      <c r="A22" s="323" t="s">
        <v>1148</v>
      </c>
      <c r="B22" s="336">
        <f>'Cводная смета ПИР'!G29</f>
        <v>1639344.26</v>
      </c>
      <c r="C22" s="124">
        <f t="shared" si="0"/>
        <v>1</v>
      </c>
      <c r="D22" s="266">
        <f t="shared" si="3"/>
        <v>1639344.26</v>
      </c>
      <c r="E22" s="258">
        <v>1</v>
      </c>
      <c r="F22" s="267">
        <f t="shared" si="1"/>
        <v>1639344.26</v>
      </c>
      <c r="G22" s="73"/>
    </row>
    <row r="23" spans="1:11" ht="27.75" customHeight="1" x14ac:dyDescent="0.25">
      <c r="A23" s="339" t="s">
        <v>85</v>
      </c>
      <c r="B23" s="340">
        <f>SUM(B13:B22)</f>
        <v>51880482.799999997</v>
      </c>
      <c r="C23" s="341"/>
      <c r="D23" s="340">
        <f>SUM(D13:D22)</f>
        <v>51880482.799999997</v>
      </c>
      <c r="E23" s="341"/>
      <c r="F23" s="340">
        <f>SUM(F13:F22)</f>
        <v>52461202.520000003</v>
      </c>
      <c r="G23" s="95"/>
      <c r="H23" s="234"/>
      <c r="I23" s="234"/>
      <c r="J23" s="234"/>
      <c r="K23" s="234"/>
    </row>
    <row r="24" spans="1:11" ht="27" customHeight="1" x14ac:dyDescent="0.25">
      <c r="A24" s="343" t="s">
        <v>648</v>
      </c>
      <c r="B24" s="70">
        <f>B23*0.22</f>
        <v>11413706.220000001</v>
      </c>
      <c r="C24" s="68"/>
      <c r="D24" s="70">
        <f>D23*0.22</f>
        <v>11413706.220000001</v>
      </c>
      <c r="E24" s="69"/>
      <c r="F24" s="70">
        <f>F23*0.22</f>
        <v>11541464.550000001</v>
      </c>
      <c r="G24" s="74"/>
    </row>
    <row r="25" spans="1:11" ht="23.25" customHeight="1" x14ac:dyDescent="0.25">
      <c r="A25" s="342" t="s">
        <v>94</v>
      </c>
      <c r="B25" s="70">
        <f>B23+B24</f>
        <v>63294189.020000003</v>
      </c>
      <c r="C25" s="68"/>
      <c r="D25" s="70">
        <f>D23+D24</f>
        <v>63294189.020000003</v>
      </c>
      <c r="E25" s="69"/>
      <c r="F25" s="70">
        <f>F23+F24</f>
        <v>64002667.07</v>
      </c>
      <c r="G25" s="74"/>
    </row>
    <row r="26" spans="1:11" s="234" customFormat="1" ht="15.75" x14ac:dyDescent="0.25">
      <c r="A26" s="278"/>
      <c r="B26" s="279"/>
      <c r="C26" s="279"/>
      <c r="D26" s="279"/>
      <c r="E26" s="279"/>
      <c r="F26" s="279"/>
      <c r="G26" s="27"/>
    </row>
    <row r="27" spans="1:11" ht="36" customHeight="1" x14ac:dyDescent="0.25">
      <c r="A27" s="629" t="s">
        <v>119</v>
      </c>
      <c r="B27" s="629"/>
      <c r="C27" s="89">
        <v>1</v>
      </c>
      <c r="D27" s="27"/>
      <c r="E27" s="27"/>
      <c r="F27" s="27"/>
      <c r="G27" s="27"/>
    </row>
    <row r="28" spans="1:11" ht="15.75" x14ac:dyDescent="0.25">
      <c r="A28" s="354"/>
      <c r="B28" s="354"/>
      <c r="C28" s="89"/>
      <c r="D28" s="27"/>
      <c r="E28" s="27"/>
      <c r="F28" s="27"/>
      <c r="G28" s="27"/>
    </row>
    <row r="29" spans="1:11" ht="15.75" x14ac:dyDescent="0.25">
      <c r="A29" s="630" t="s">
        <v>147</v>
      </c>
      <c r="B29" s="630"/>
      <c r="C29" s="630"/>
      <c r="D29" s="630"/>
      <c r="E29" s="630"/>
      <c r="F29" s="630"/>
      <c r="G29" s="27"/>
    </row>
    <row r="30" spans="1:11" ht="15.75" x14ac:dyDescent="0.25">
      <c r="A30" s="355"/>
      <c r="B30" s="355"/>
      <c r="C30" s="355"/>
      <c r="D30" s="355"/>
      <c r="E30" s="355"/>
      <c r="F30" s="355"/>
      <c r="G30" s="27"/>
    </row>
    <row r="31" spans="1:11" s="107" customFormat="1" ht="15.75" x14ac:dyDescent="0.25">
      <c r="A31" s="638" t="s">
        <v>114</v>
      </c>
      <c r="B31" s="638"/>
      <c r="C31" s="638"/>
      <c r="D31" s="638"/>
      <c r="E31" s="638"/>
      <c r="F31" s="231">
        <v>46204</v>
      </c>
    </row>
    <row r="32" spans="1:11" s="107" customFormat="1" ht="15.75" x14ac:dyDescent="0.25">
      <c r="A32" s="639" t="s">
        <v>95</v>
      </c>
      <c r="B32" s="640"/>
      <c r="C32" s="640"/>
      <c r="D32" s="640"/>
      <c r="E32" s="641"/>
      <c r="F32" s="231">
        <v>46244</v>
      </c>
      <c r="G32" s="224"/>
    </row>
    <row r="33" spans="1:10" s="107" customFormat="1" ht="15.75" x14ac:dyDescent="0.25">
      <c r="A33" s="639" t="s">
        <v>96</v>
      </c>
      <c r="B33" s="640"/>
      <c r="C33" s="640"/>
      <c r="D33" s="640"/>
      <c r="E33" s="641"/>
      <c r="F33" s="231">
        <f>F32+135</f>
        <v>46379</v>
      </c>
      <c r="G33" s="225"/>
    </row>
    <row r="34" spans="1:10" s="107" customFormat="1" ht="19.5" customHeight="1" x14ac:dyDescent="0.25">
      <c r="A34" s="639" t="s">
        <v>645</v>
      </c>
      <c r="B34" s="640"/>
      <c r="C34" s="640"/>
      <c r="D34" s="640"/>
      <c r="E34" s="641"/>
      <c r="F34" s="226">
        <f>ROUNDUP((F33-F31)/30.5,1)</f>
        <v>5.8</v>
      </c>
    </row>
    <row r="35" spans="1:10" s="107" customFormat="1" ht="45" customHeight="1" x14ac:dyDescent="0.25">
      <c r="A35" s="642" t="s">
        <v>166</v>
      </c>
      <c r="B35" s="642"/>
      <c r="C35" s="642"/>
      <c r="D35" s="642"/>
      <c r="E35" s="642"/>
      <c r="F35" s="227">
        <v>1.0549999999999999</v>
      </c>
      <c r="I35" s="225"/>
    </row>
    <row r="36" spans="1:10" s="107" customFormat="1" ht="29.25" customHeight="1" x14ac:dyDescent="0.25">
      <c r="A36" s="631" t="s">
        <v>148</v>
      </c>
      <c r="B36" s="631"/>
      <c r="C36" s="631"/>
      <c r="D36" s="228">
        <f>F35</f>
        <v>1.0549999999999999</v>
      </c>
      <c r="E36" s="229" t="s">
        <v>135</v>
      </c>
      <c r="F36" s="230">
        <f>F35^(1/12)</f>
        <v>1.0044999999999999</v>
      </c>
    </row>
    <row r="37" spans="1:10" s="107" customFormat="1" ht="34.5" customHeight="1" x14ac:dyDescent="0.25">
      <c r="A37" s="632" t="s">
        <v>99</v>
      </c>
      <c r="B37" s="633"/>
      <c r="C37" s="634" t="str">
        <f>CONCATENATE("(",F36,"^",ROUNDUP((F33-F31)/30.5,1),"-1)/2+1")</f>
        <v>(1,0045^5,8-1)/2+1</v>
      </c>
      <c r="D37" s="635"/>
      <c r="E37" s="636"/>
      <c r="F37" s="106">
        <f>(ROUND(((F36^ROUNDUP((F33-F31)/30.5,1)-1)/2)+1,4))</f>
        <v>1.0132000000000001</v>
      </c>
      <c r="H37" s="637"/>
      <c r="I37" s="637"/>
      <c r="J37" s="637"/>
    </row>
    <row r="38" spans="1:10" ht="15.75" customHeight="1" x14ac:dyDescent="0.25">
      <c r="A38" s="103"/>
      <c r="B38" s="103"/>
      <c r="C38" s="104"/>
      <c r="D38" s="104"/>
      <c r="E38" s="104"/>
      <c r="F38" s="105"/>
      <c r="G38" s="86"/>
    </row>
    <row r="39" spans="1:10" ht="15.75" customHeight="1" x14ac:dyDescent="0.25">
      <c r="A39" s="103"/>
      <c r="B39" s="103"/>
      <c r="C39" s="104"/>
      <c r="D39" s="104"/>
      <c r="E39" s="104"/>
      <c r="F39" s="105"/>
      <c r="G39" s="86"/>
    </row>
    <row r="40" spans="1:10" s="99" customFormat="1" ht="15.75" x14ac:dyDescent="0.25">
      <c r="A40" s="96" t="s">
        <v>129</v>
      </c>
      <c r="B40" s="97"/>
      <c r="C40" s="98"/>
    </row>
    <row r="41" spans="1:10" ht="59.25" customHeight="1" x14ac:dyDescent="0.25">
      <c r="A41" s="628" t="str">
        <f>Пояснительная!A23</f>
        <v>Начальник отдела ценообразования
управления проектов
департамента развития инфраструктуры</v>
      </c>
      <c r="B41" s="628"/>
      <c r="C41" s="628"/>
      <c r="D41" s="88"/>
      <c r="F41" s="77" t="str">
        <f>Пояснительная!C23</f>
        <v>А.Ю. Татаринов</v>
      </c>
      <c r="G41" s="88"/>
    </row>
    <row r="42" spans="1:10" ht="15.75" x14ac:dyDescent="0.25">
      <c r="A42" s="93"/>
      <c r="B42" s="93"/>
      <c r="D42" s="88"/>
      <c r="F42" s="77"/>
      <c r="G42" s="88"/>
    </row>
    <row r="43" spans="1:10" s="99" customFormat="1" ht="15.75" x14ac:dyDescent="0.25">
      <c r="A43" s="96" t="s">
        <v>118</v>
      </c>
      <c r="B43" s="97"/>
      <c r="F43" s="98"/>
    </row>
    <row r="44" spans="1:10" ht="58.5" customHeight="1" x14ac:dyDescent="0.25">
      <c r="A44" s="628" t="str">
        <f>Пояснительная!A26</f>
        <v>Заместитель директора департамента
по ценообразованию и сметному регулированию
Департамента развития инфраструктуры</v>
      </c>
      <c r="B44" s="628"/>
      <c r="C44" s="628"/>
      <c r="D44" s="88"/>
      <c r="F44" s="77" t="str">
        <f>Пояснительная!C26</f>
        <v>Е.А. Татаринова</v>
      </c>
      <c r="G44" s="88"/>
    </row>
    <row r="45" spans="1:10" ht="15.75" x14ac:dyDescent="0.25">
      <c r="A45" s="93"/>
      <c r="B45" s="93"/>
      <c r="D45" s="88"/>
      <c r="F45" s="77"/>
      <c r="G45" s="88"/>
    </row>
    <row r="46" spans="1:10" ht="14.25" customHeight="1" x14ac:dyDescent="0.25">
      <c r="A46" s="628" t="s">
        <v>130</v>
      </c>
      <c r="B46" s="628"/>
      <c r="F46" s="77"/>
    </row>
    <row r="47" spans="1:10" ht="22.5" customHeight="1" x14ac:dyDescent="0.25">
      <c r="A47" s="628" t="str">
        <f>Пояснительная!A29</f>
        <v>Директор Департамента развития инфраструктуры</v>
      </c>
      <c r="B47" s="628"/>
      <c r="F47" s="77" t="str">
        <f>Пояснительная!C29</f>
        <v>И.В. Евдокимов</v>
      </c>
    </row>
  </sheetData>
  <mergeCells count="27">
    <mergeCell ref="H37:J37"/>
    <mergeCell ref="A31:E31"/>
    <mergeCell ref="A32:E32"/>
    <mergeCell ref="A33:E33"/>
    <mergeCell ref="A34:E34"/>
    <mergeCell ref="A35:E35"/>
    <mergeCell ref="A44:C44"/>
    <mergeCell ref="A46:B46"/>
    <mergeCell ref="A47:B47"/>
    <mergeCell ref="A41:C41"/>
    <mergeCell ref="A27:B27"/>
    <mergeCell ref="A29:F29"/>
    <mergeCell ref="A36:C36"/>
    <mergeCell ref="A37:B37"/>
    <mergeCell ref="C37:E37"/>
    <mergeCell ref="A1:F1"/>
    <mergeCell ref="B3:G3"/>
    <mergeCell ref="A5:G5"/>
    <mergeCell ref="A10:A11"/>
    <mergeCell ref="B10:B11"/>
    <mergeCell ref="C10:C11"/>
    <mergeCell ref="D10:D11"/>
    <mergeCell ref="E10:E11"/>
    <mergeCell ref="F10:F11"/>
    <mergeCell ref="C8:F8"/>
    <mergeCell ref="B2:F2"/>
    <mergeCell ref="C4:F4"/>
  </mergeCells>
  <pageMargins left="0.25" right="0.25" top="0.75" bottom="0.75" header="0.3" footer="0.3"/>
  <pageSetup paperSize="9" scale="35"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2"/>
  <sheetViews>
    <sheetView zoomScale="90" zoomScaleNormal="90" zoomScaleSheetLayoutView="85" workbookViewId="0">
      <selection activeCell="D8" sqref="D8:D9"/>
    </sheetView>
  </sheetViews>
  <sheetFormatPr defaultColWidth="8.7109375" defaultRowHeight="12.75" x14ac:dyDescent="0.2"/>
  <cols>
    <col min="1" max="1" width="6.42578125" style="3" customWidth="1"/>
    <col min="2" max="2" width="51.5703125" style="3" customWidth="1"/>
    <col min="3" max="3" width="20.42578125" style="3" customWidth="1"/>
    <col min="4" max="4" width="29.85546875" style="3" customWidth="1"/>
    <col min="5" max="5" width="22.7109375" style="3" customWidth="1"/>
    <col min="6" max="6" width="23" style="3" customWidth="1"/>
    <col min="7" max="7" width="22.28515625" style="3" customWidth="1"/>
    <col min="8" max="8" width="42.5703125" style="3" customWidth="1"/>
    <col min="9" max="9" width="8.7109375" style="3"/>
    <col min="10" max="10" width="43.85546875" style="3" customWidth="1"/>
    <col min="11" max="16384" width="8.7109375" style="3"/>
  </cols>
  <sheetData>
    <row r="1" spans="1:11" ht="15.75" x14ac:dyDescent="0.25">
      <c r="A1" s="2"/>
      <c r="B1" s="2"/>
      <c r="C1" s="2"/>
      <c r="D1" s="2"/>
      <c r="E1" s="2"/>
      <c r="F1" s="2"/>
      <c r="G1" s="2"/>
    </row>
    <row r="2" spans="1:11" ht="15.75" x14ac:dyDescent="0.2">
      <c r="A2" s="661" t="s">
        <v>8</v>
      </c>
      <c r="B2" s="661"/>
      <c r="C2" s="661"/>
      <c r="D2" s="661"/>
      <c r="E2" s="661"/>
      <c r="F2" s="661"/>
      <c r="G2" s="661"/>
    </row>
    <row r="3" spans="1:11" ht="31.5" customHeight="1" x14ac:dyDescent="0.2">
      <c r="A3" s="661" t="s">
        <v>9</v>
      </c>
      <c r="B3" s="661"/>
      <c r="C3" s="661"/>
      <c r="D3" s="661"/>
      <c r="E3" s="661"/>
      <c r="F3" s="661"/>
      <c r="G3" s="661"/>
    </row>
    <row r="4" spans="1:11" ht="70.5" customHeight="1" x14ac:dyDescent="0.2">
      <c r="A4" s="662" t="s">
        <v>10</v>
      </c>
      <c r="B4" s="663"/>
      <c r="C4" s="664" t="str">
        <f>Пояснительная!A4</f>
        <v>Всесезонный туристско-рекреационный комплекс «Эльбрус», Кабардино-Балкарская Республика. Пассажирская подвесная канатная дорога и буксировочная канатная дорога, расположенные по адресу: южный склон г. Эльбрус в районе ледника Гарабаши</v>
      </c>
      <c r="D4" s="665"/>
      <c r="E4" s="665"/>
      <c r="F4" s="665"/>
      <c r="G4" s="665"/>
    </row>
    <row r="5" spans="1:11" s="4" customFormat="1" ht="35.25" customHeight="1" x14ac:dyDescent="0.25">
      <c r="A5" s="654" t="s">
        <v>11</v>
      </c>
      <c r="B5" s="654"/>
      <c r="C5" s="655"/>
      <c r="D5" s="655"/>
      <c r="E5" s="656"/>
      <c r="F5" s="656"/>
      <c r="G5" s="656"/>
    </row>
    <row r="6" spans="1:11" ht="29.25" customHeight="1" x14ac:dyDescent="0.2">
      <c r="A6" s="654" t="s">
        <v>12</v>
      </c>
      <c r="B6" s="654"/>
      <c r="C6" s="655" t="s">
        <v>108</v>
      </c>
      <c r="D6" s="655"/>
      <c r="E6" s="656"/>
      <c r="F6" s="656"/>
      <c r="G6" s="656"/>
    </row>
    <row r="7" spans="1:11" ht="15.75" x14ac:dyDescent="0.25">
      <c r="A7" s="5"/>
      <c r="B7" s="6"/>
      <c r="C7" s="5"/>
      <c r="D7" s="5"/>
      <c r="E7" s="5"/>
      <c r="F7" s="5"/>
      <c r="G7" s="7" t="s">
        <v>13</v>
      </c>
    </row>
    <row r="8" spans="1:11" ht="15.75" x14ac:dyDescent="0.25">
      <c r="A8" s="657" t="s">
        <v>1</v>
      </c>
      <c r="B8" s="657" t="s">
        <v>14</v>
      </c>
      <c r="C8" s="657" t="s">
        <v>15</v>
      </c>
      <c r="D8" s="657" t="s">
        <v>16</v>
      </c>
      <c r="E8" s="660" t="s">
        <v>17</v>
      </c>
      <c r="F8" s="660"/>
      <c r="G8" s="660"/>
    </row>
    <row r="9" spans="1:11" ht="51" customHeight="1" x14ac:dyDescent="0.2">
      <c r="A9" s="658"/>
      <c r="B9" s="658"/>
      <c r="C9" s="658"/>
      <c r="D9" s="659"/>
      <c r="E9" s="44" t="s">
        <v>18</v>
      </c>
      <c r="F9" s="44" t="s">
        <v>19</v>
      </c>
      <c r="G9" s="44" t="s">
        <v>4</v>
      </c>
    </row>
    <row r="10" spans="1:11" ht="31.5" customHeight="1" x14ac:dyDescent="0.2">
      <c r="A10" s="280">
        <v>1</v>
      </c>
      <c r="B10" s="280">
        <v>2</v>
      </c>
      <c r="C10" s="280"/>
      <c r="D10" s="280"/>
      <c r="E10" s="280">
        <v>4</v>
      </c>
      <c r="F10" s="280">
        <v>5</v>
      </c>
      <c r="G10" s="280">
        <v>6</v>
      </c>
      <c r="H10" s="252"/>
      <c r="I10" s="252"/>
      <c r="J10" s="252"/>
      <c r="K10" s="252"/>
    </row>
    <row r="11" spans="1:11" ht="28.5" customHeight="1" x14ac:dyDescent="0.2">
      <c r="A11" s="643" t="s">
        <v>20</v>
      </c>
      <c r="B11" s="644"/>
      <c r="C11" s="644"/>
      <c r="D11" s="644"/>
      <c r="E11" s="644"/>
      <c r="F11" s="644"/>
      <c r="G11" s="645"/>
      <c r="H11" s="252"/>
      <c r="I11" s="252"/>
      <c r="J11" s="252"/>
      <c r="K11" s="252"/>
    </row>
    <row r="12" spans="1:11" ht="57.75" customHeight="1" x14ac:dyDescent="0.2">
      <c r="A12" s="8" t="s">
        <v>2</v>
      </c>
      <c r="B12" s="81" t="s">
        <v>109</v>
      </c>
      <c r="C12" s="9" t="s">
        <v>21</v>
      </c>
      <c r="D12" s="8" t="s">
        <v>22</v>
      </c>
      <c r="E12" s="126">
        <f>ИГДИ!$M$66</f>
        <v>2007115.81</v>
      </c>
      <c r="F12" s="41"/>
      <c r="G12" s="41">
        <f>E12+F12</f>
        <v>2007115.81</v>
      </c>
      <c r="H12" s="253"/>
      <c r="I12" s="252"/>
      <c r="J12" s="252"/>
      <c r="K12" s="252"/>
    </row>
    <row r="13" spans="1:11" ht="50.25" customHeight="1" x14ac:dyDescent="0.2">
      <c r="A13" s="8" t="s">
        <v>3</v>
      </c>
      <c r="B13" s="81" t="s">
        <v>176</v>
      </c>
      <c r="C13" s="9" t="s">
        <v>21</v>
      </c>
      <c r="D13" s="8" t="s">
        <v>23</v>
      </c>
      <c r="E13" s="126">
        <f>ИГИ!$O$134</f>
        <v>18253999.010000002</v>
      </c>
      <c r="F13" s="42"/>
      <c r="G13" s="41">
        <f t="shared" ref="G13:G18" si="0">E13+F13</f>
        <v>18253999.010000002</v>
      </c>
      <c r="H13" s="123"/>
    </row>
    <row r="14" spans="1:11" ht="50.25" customHeight="1" x14ac:dyDescent="0.2">
      <c r="A14" s="116" t="s">
        <v>24</v>
      </c>
      <c r="B14" s="118" t="s">
        <v>177</v>
      </c>
      <c r="C14" s="9" t="s">
        <v>21</v>
      </c>
      <c r="D14" s="8" t="s">
        <v>25</v>
      </c>
      <c r="E14" s="125">
        <f>ИГФИ!$O$68</f>
        <v>1855774.68</v>
      </c>
      <c r="F14" s="117"/>
      <c r="G14" s="41">
        <f t="shared" si="0"/>
        <v>1855774.68</v>
      </c>
    </row>
    <row r="15" spans="1:11" ht="60" customHeight="1" x14ac:dyDescent="0.2">
      <c r="A15" s="8" t="s">
        <v>26</v>
      </c>
      <c r="B15" s="81" t="s">
        <v>304</v>
      </c>
      <c r="C15" s="9" t="s">
        <v>21</v>
      </c>
      <c r="D15" s="8" t="s">
        <v>27</v>
      </c>
      <c r="E15" s="126">
        <f>'Сели-лавины'!$M$48</f>
        <v>119450.18</v>
      </c>
      <c r="F15" s="42"/>
      <c r="G15" s="41">
        <f t="shared" ref="G15" si="1">E15+F15</f>
        <v>119450.18</v>
      </c>
      <c r="H15" s="252"/>
      <c r="I15" s="252"/>
      <c r="J15" s="252"/>
      <c r="K15" s="252"/>
    </row>
    <row r="16" spans="1:11" ht="60" customHeight="1" x14ac:dyDescent="0.2">
      <c r="A16" s="116" t="s">
        <v>28</v>
      </c>
      <c r="B16" s="81" t="s">
        <v>178</v>
      </c>
      <c r="C16" s="9" t="s">
        <v>21</v>
      </c>
      <c r="D16" s="8" t="s">
        <v>150</v>
      </c>
      <c r="E16" s="126">
        <f>ИГМИ!$M$48</f>
        <v>179427.49</v>
      </c>
      <c r="F16" s="42"/>
      <c r="G16" s="41">
        <f t="shared" si="0"/>
        <v>179427.49</v>
      </c>
      <c r="H16" s="252"/>
      <c r="I16" s="252"/>
      <c r="J16" s="252"/>
      <c r="K16" s="252"/>
    </row>
    <row r="17" spans="1:11" ht="57" customHeight="1" x14ac:dyDescent="0.2">
      <c r="A17" s="8" t="s">
        <v>124</v>
      </c>
      <c r="B17" s="281" t="s">
        <v>110</v>
      </c>
      <c r="C17" s="9" t="s">
        <v>21</v>
      </c>
      <c r="D17" s="8" t="s">
        <v>329</v>
      </c>
      <c r="E17" s="126">
        <f>Экология!$I$143</f>
        <v>2546787.41</v>
      </c>
      <c r="F17" s="42"/>
      <c r="G17" s="41">
        <f t="shared" si="0"/>
        <v>2546787.41</v>
      </c>
      <c r="H17" s="252"/>
      <c r="I17" s="252"/>
      <c r="J17" s="252"/>
      <c r="K17" s="252"/>
    </row>
    <row r="18" spans="1:11" ht="57" customHeight="1" x14ac:dyDescent="0.2">
      <c r="A18" s="8" t="s">
        <v>127</v>
      </c>
      <c r="B18" s="118" t="s">
        <v>179</v>
      </c>
      <c r="C18" s="9" t="s">
        <v>21</v>
      </c>
      <c r="D18" s="8" t="s">
        <v>1211</v>
      </c>
      <c r="E18" s="125">
        <f>ВОП!$O$43</f>
        <v>1661554.49</v>
      </c>
      <c r="F18" s="117"/>
      <c r="G18" s="41">
        <f t="shared" si="0"/>
        <v>1661554.49</v>
      </c>
    </row>
    <row r="19" spans="1:11" ht="66" customHeight="1" x14ac:dyDescent="0.2">
      <c r="A19" s="322" t="s">
        <v>128</v>
      </c>
      <c r="B19" s="323" t="s">
        <v>1137</v>
      </c>
      <c r="C19" s="9" t="s">
        <v>21</v>
      </c>
      <c r="D19" s="322" t="s">
        <v>1276</v>
      </c>
      <c r="E19" s="518">
        <f>'КАЦ на НТС и СТУ'!$G$20/1.22</f>
        <v>737704.92</v>
      </c>
      <c r="F19" s="517"/>
      <c r="G19" s="518">
        <f>E19</f>
        <v>737704.92</v>
      </c>
      <c r="H19" s="334"/>
    </row>
    <row r="20" spans="1:11" ht="71.25" customHeight="1" x14ac:dyDescent="0.2">
      <c r="A20" s="322" t="s">
        <v>1140</v>
      </c>
      <c r="B20" s="326" t="s">
        <v>1138</v>
      </c>
      <c r="C20" s="9" t="s">
        <v>21</v>
      </c>
      <c r="D20" s="322" t="s">
        <v>1276</v>
      </c>
      <c r="E20" s="528">
        <f>'КАЦ на НТС и СТУ'!$G$23/1.22</f>
        <v>1229508.2</v>
      </c>
      <c r="F20" s="517"/>
      <c r="G20" s="518">
        <f>E20</f>
        <v>1229508.2</v>
      </c>
      <c r="H20" s="334"/>
    </row>
    <row r="21" spans="1:11" s="252" customFormat="1" ht="28.5" customHeight="1" x14ac:dyDescent="0.2">
      <c r="A21" s="646" t="s">
        <v>151</v>
      </c>
      <c r="B21" s="647"/>
      <c r="C21" s="647"/>
      <c r="D21" s="647"/>
      <c r="E21" s="647"/>
      <c r="F21" s="648"/>
      <c r="G21" s="43">
        <f>SUM(G12:G20)</f>
        <v>28591322.190000001</v>
      </c>
    </row>
    <row r="22" spans="1:11" ht="25.5" customHeight="1" x14ac:dyDescent="0.2">
      <c r="A22" s="649" t="s">
        <v>29</v>
      </c>
      <c r="B22" s="650"/>
      <c r="C22" s="650"/>
      <c r="D22" s="650"/>
      <c r="E22" s="650"/>
      <c r="F22" s="650"/>
      <c r="G22" s="650"/>
    </row>
    <row r="23" spans="1:11" ht="54" customHeight="1" x14ac:dyDescent="0.2">
      <c r="A23" s="8" t="s">
        <v>5</v>
      </c>
      <c r="B23" s="11" t="s">
        <v>112</v>
      </c>
      <c r="C23" s="9"/>
      <c r="D23" s="8" t="s">
        <v>233</v>
      </c>
      <c r="E23" s="10"/>
      <c r="F23" s="527">
        <f>ПД!E510</f>
        <v>15596885.720000001</v>
      </c>
      <c r="G23" s="527">
        <f t="shared" ref="G23:G29" si="2">F23</f>
        <v>15596885.720000001</v>
      </c>
    </row>
    <row r="24" spans="1:11" ht="54" customHeight="1" x14ac:dyDescent="0.25">
      <c r="A24" s="322" t="s">
        <v>6</v>
      </c>
      <c r="B24" s="327" t="s">
        <v>1139</v>
      </c>
      <c r="C24" s="333"/>
      <c r="D24" s="324" t="s">
        <v>1146</v>
      </c>
      <c r="E24" s="333"/>
      <c r="F24" s="528">
        <f>'Программа ГТМ'!B6</f>
        <v>135321.35</v>
      </c>
      <c r="G24" s="528">
        <f t="shared" si="2"/>
        <v>135321.35</v>
      </c>
    </row>
    <row r="25" spans="1:11" ht="59.25" customHeight="1" x14ac:dyDescent="0.2">
      <c r="A25" s="8" t="s">
        <v>221</v>
      </c>
      <c r="B25" s="11" t="s">
        <v>121</v>
      </c>
      <c r="C25" s="9"/>
      <c r="D25" s="8" t="s">
        <v>122</v>
      </c>
      <c r="E25" s="10"/>
      <c r="F25" s="527">
        <f>ОВОС!F5</f>
        <v>1637602.72</v>
      </c>
      <c r="G25" s="527">
        <f t="shared" si="2"/>
        <v>1637602.72</v>
      </c>
      <c r="H25" s="4"/>
    </row>
    <row r="26" spans="1:11" ht="78.75" customHeight="1" x14ac:dyDescent="0.2">
      <c r="A26" s="8" t="s">
        <v>220</v>
      </c>
      <c r="B26" s="11" t="s">
        <v>232</v>
      </c>
      <c r="C26" s="9"/>
      <c r="D26" s="335" t="s">
        <v>234</v>
      </c>
      <c r="E26" s="41"/>
      <c r="F26" s="527">
        <v>181645.9</v>
      </c>
      <c r="G26" s="527">
        <f t="shared" si="2"/>
        <v>181645.9</v>
      </c>
      <c r="H26" s="4"/>
    </row>
    <row r="27" spans="1:11" ht="68.25" customHeight="1" x14ac:dyDescent="0.2">
      <c r="A27" s="322" t="s">
        <v>219</v>
      </c>
      <c r="B27" s="323" t="s">
        <v>1135</v>
      </c>
      <c r="C27" s="324"/>
      <c r="D27" s="322" t="s">
        <v>1276</v>
      </c>
      <c r="E27" s="325"/>
      <c r="F27" s="518">
        <f>'КАЦ на НТС и СТУ'!$G$11/1.22</f>
        <v>2049180.33</v>
      </c>
      <c r="G27" s="518">
        <f t="shared" si="2"/>
        <v>2049180.33</v>
      </c>
      <c r="H27" s="334"/>
    </row>
    <row r="28" spans="1:11" ht="86.25" customHeight="1" x14ac:dyDescent="0.2">
      <c r="A28" s="322" t="s">
        <v>275</v>
      </c>
      <c r="B28" s="323" t="s">
        <v>1147</v>
      </c>
      <c r="C28" s="324"/>
      <c r="D28" s="322" t="s">
        <v>1276</v>
      </c>
      <c r="E28" s="325"/>
      <c r="F28" s="518">
        <f>'КАЦ на НТС и СТУ'!$G$14/1.22</f>
        <v>2049180.33</v>
      </c>
      <c r="G28" s="518">
        <f t="shared" si="2"/>
        <v>2049180.33</v>
      </c>
      <c r="H28" s="334"/>
    </row>
    <row r="29" spans="1:11" ht="86.25" customHeight="1" x14ac:dyDescent="0.2">
      <c r="A29" s="322" t="s">
        <v>270</v>
      </c>
      <c r="B29" s="323" t="s">
        <v>1148</v>
      </c>
      <c r="C29" s="324"/>
      <c r="D29" s="322" t="s">
        <v>1276</v>
      </c>
      <c r="E29" s="325"/>
      <c r="F29" s="518">
        <f>'КАЦ на НТС и СТУ'!$G$17/1.22</f>
        <v>1639344.26</v>
      </c>
      <c r="G29" s="518">
        <f t="shared" si="2"/>
        <v>1639344.26</v>
      </c>
      <c r="H29" s="334"/>
    </row>
    <row r="30" spans="1:11" ht="29.25" customHeight="1" x14ac:dyDescent="0.2">
      <c r="A30" s="646" t="s">
        <v>30</v>
      </c>
      <c r="B30" s="647"/>
      <c r="C30" s="647"/>
      <c r="D30" s="647"/>
      <c r="E30" s="647"/>
      <c r="F30" s="648"/>
      <c r="G30" s="43">
        <f>SUM(G23:G29)</f>
        <v>23289160.609999999</v>
      </c>
    </row>
    <row r="31" spans="1:11" ht="27.75" customHeight="1" x14ac:dyDescent="0.2">
      <c r="A31" s="651" t="s">
        <v>31</v>
      </c>
      <c r="B31" s="652"/>
      <c r="C31" s="652"/>
      <c r="D31" s="652"/>
      <c r="E31" s="652"/>
      <c r="F31" s="653"/>
      <c r="G31" s="66">
        <f>G21+G30</f>
        <v>51880482.799999997</v>
      </c>
    </row>
    <row r="32" spans="1:11" ht="55.5" customHeight="1" x14ac:dyDescent="0.25">
      <c r="A32" s="628"/>
      <c r="B32" s="628"/>
      <c r="E32" s="75"/>
    </row>
  </sheetData>
  <mergeCells count="19">
    <mergeCell ref="A2:G2"/>
    <mergeCell ref="A3:G3"/>
    <mergeCell ref="A4:B4"/>
    <mergeCell ref="C4:G4"/>
    <mergeCell ref="A5:B5"/>
    <mergeCell ref="C5:G5"/>
    <mergeCell ref="A6:B6"/>
    <mergeCell ref="C6:G6"/>
    <mergeCell ref="A8:A9"/>
    <mergeCell ref="B8:B9"/>
    <mergeCell ref="C8:C9"/>
    <mergeCell ref="D8:D9"/>
    <mergeCell ref="E8:G8"/>
    <mergeCell ref="A32:B32"/>
    <mergeCell ref="A11:G11"/>
    <mergeCell ref="A21:F21"/>
    <mergeCell ref="A22:G22"/>
    <mergeCell ref="A31:F31"/>
    <mergeCell ref="A30:F30"/>
  </mergeCells>
  <printOptions horizontalCentered="1"/>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74"/>
  <sheetViews>
    <sheetView showRuler="0" workbookViewId="0">
      <selection activeCell="G14" sqref="G14:I14"/>
    </sheetView>
  </sheetViews>
  <sheetFormatPr defaultRowHeight="15" x14ac:dyDescent="0.25"/>
  <cols>
    <col min="1" max="1" width="6.42578125" style="360" customWidth="1"/>
    <col min="2" max="14" width="8" style="360" customWidth="1"/>
    <col min="15" max="16" width="18.42578125" style="360" customWidth="1"/>
    <col min="17" max="50" width="8" style="360" customWidth="1"/>
    <col min="51" max="16384" width="9.140625" style="153"/>
  </cols>
  <sheetData>
    <row r="1" spans="1:16" ht="27.2" customHeight="1" x14ac:dyDescent="0.25">
      <c r="A1" s="679" t="s">
        <v>231</v>
      </c>
      <c r="B1" s="679"/>
      <c r="C1" s="679"/>
      <c r="D1" s="679"/>
      <c r="E1" s="680" t="s">
        <v>370</v>
      </c>
      <c r="F1" s="680"/>
      <c r="G1" s="680"/>
      <c r="H1" s="680"/>
      <c r="I1" s="680"/>
      <c r="J1" s="680"/>
      <c r="K1" s="680"/>
      <c r="L1" s="680"/>
      <c r="M1" s="680"/>
      <c r="N1" s="680"/>
      <c r="O1" s="680"/>
      <c r="P1" s="680"/>
    </row>
    <row r="2" spans="1:16" ht="15" customHeight="1" x14ac:dyDescent="0.25"/>
    <row r="3" spans="1:16" ht="15" customHeight="1" x14ac:dyDescent="0.25">
      <c r="A3" s="667" t="s">
        <v>369</v>
      </c>
      <c r="B3" s="667"/>
      <c r="C3" s="667"/>
      <c r="D3" s="667"/>
      <c r="E3" s="667"/>
      <c r="F3" s="667"/>
      <c r="G3" s="667"/>
      <c r="H3" s="667"/>
      <c r="I3" s="667"/>
      <c r="J3" s="667"/>
      <c r="K3" s="667"/>
      <c r="L3" s="667"/>
      <c r="M3" s="667"/>
      <c r="N3" s="667"/>
      <c r="O3" s="667"/>
      <c r="P3" s="667"/>
    </row>
    <row r="4" spans="1:16" ht="15" customHeight="1" x14ac:dyDescent="0.25">
      <c r="A4" s="681" t="s">
        <v>1237</v>
      </c>
      <c r="B4" s="681"/>
      <c r="C4" s="681"/>
      <c r="D4" s="681"/>
      <c r="E4" s="681"/>
      <c r="F4" s="681"/>
      <c r="G4" s="681"/>
      <c r="H4" s="681"/>
      <c r="I4" s="681"/>
      <c r="J4" s="681"/>
      <c r="K4" s="681"/>
      <c r="L4" s="681"/>
      <c r="M4" s="681"/>
      <c r="N4" s="681"/>
      <c r="O4" s="681"/>
      <c r="P4" s="681"/>
    </row>
    <row r="5" spans="1:16" ht="15" customHeight="1" x14ac:dyDescent="0.25"/>
    <row r="6" spans="1:16" ht="15" customHeight="1" x14ac:dyDescent="0.25">
      <c r="A6" s="667" t="s">
        <v>1236</v>
      </c>
      <c r="B6" s="667"/>
      <c r="C6" s="667"/>
      <c r="D6" s="667"/>
      <c r="E6" s="667"/>
      <c r="F6" s="667"/>
      <c r="G6" s="667"/>
      <c r="H6" s="667"/>
      <c r="I6" s="667"/>
      <c r="J6" s="667"/>
      <c r="K6" s="667"/>
      <c r="L6" s="667"/>
      <c r="M6" s="667"/>
      <c r="N6" s="667"/>
      <c r="O6" s="667"/>
      <c r="P6" s="667"/>
    </row>
    <row r="7" spans="1:16" ht="15" customHeight="1" x14ac:dyDescent="0.25">
      <c r="A7" s="666" t="s">
        <v>368</v>
      </c>
      <c r="B7" s="666"/>
      <c r="C7" s="666"/>
      <c r="D7" s="666"/>
      <c r="E7" s="666"/>
      <c r="F7" s="666"/>
      <c r="G7" s="666"/>
      <c r="H7" s="666"/>
      <c r="I7" s="666"/>
      <c r="J7" s="666"/>
      <c r="K7" s="666"/>
      <c r="L7" s="666"/>
      <c r="M7" s="666"/>
      <c r="N7" s="666"/>
      <c r="O7" s="666"/>
      <c r="P7" s="666"/>
    </row>
    <row r="8" spans="1:16" ht="15" customHeight="1" x14ac:dyDescent="0.25"/>
    <row r="9" spans="1:16" ht="30" customHeight="1" x14ac:dyDescent="0.25">
      <c r="A9" s="667" t="s">
        <v>1431</v>
      </c>
      <c r="B9" s="667"/>
      <c r="C9" s="667"/>
      <c r="D9" s="667"/>
      <c r="E9" s="667"/>
      <c r="F9" s="667"/>
      <c r="G9" s="667"/>
      <c r="H9" s="667"/>
      <c r="I9" s="667"/>
      <c r="J9" s="667"/>
      <c r="K9" s="667"/>
      <c r="L9" s="667"/>
      <c r="M9" s="667"/>
      <c r="N9" s="667"/>
      <c r="O9" s="667"/>
      <c r="P9" s="667"/>
    </row>
    <row r="10" spans="1:16" ht="15" customHeight="1" x14ac:dyDescent="0.25">
      <c r="A10" s="666" t="s">
        <v>367</v>
      </c>
      <c r="B10" s="666"/>
      <c r="C10" s="666"/>
      <c r="D10" s="666"/>
      <c r="E10" s="666"/>
      <c r="F10" s="666"/>
      <c r="G10" s="666"/>
      <c r="H10" s="666"/>
      <c r="I10" s="666"/>
      <c r="J10" s="666"/>
      <c r="K10" s="666"/>
      <c r="L10" s="666"/>
      <c r="M10" s="666"/>
      <c r="N10" s="666"/>
      <c r="O10" s="666"/>
      <c r="P10" s="666"/>
    </row>
    <row r="11" spans="1:16" ht="15" customHeight="1" x14ac:dyDescent="0.25"/>
    <row r="12" spans="1:16" ht="15" customHeight="1" x14ac:dyDescent="0.25">
      <c r="A12" s="671" t="s">
        <v>229</v>
      </c>
      <c r="B12" s="671"/>
      <c r="C12" s="671"/>
      <c r="D12" s="671"/>
      <c r="E12" s="671"/>
      <c r="F12" s="671"/>
      <c r="G12" s="671"/>
      <c r="H12" s="671"/>
      <c r="I12" s="671"/>
      <c r="J12" s="671"/>
      <c r="K12" s="671"/>
      <c r="L12" s="671"/>
      <c r="M12" s="671"/>
      <c r="N12" s="671"/>
      <c r="O12" s="671"/>
      <c r="P12" s="671"/>
    </row>
    <row r="13" spans="1:16" ht="15" customHeight="1" x14ac:dyDescent="0.25"/>
    <row r="14" spans="1:16" ht="122.45" customHeight="1" x14ac:dyDescent="0.25">
      <c r="A14" s="362" t="s">
        <v>228</v>
      </c>
      <c r="B14" s="678" t="s">
        <v>90</v>
      </c>
      <c r="C14" s="678"/>
      <c r="D14" s="678"/>
      <c r="E14" s="678"/>
      <c r="F14" s="678"/>
      <c r="G14" s="678" t="s">
        <v>296</v>
      </c>
      <c r="H14" s="678"/>
      <c r="I14" s="678"/>
      <c r="J14" s="678" t="s">
        <v>226</v>
      </c>
      <c r="K14" s="678"/>
      <c r="L14" s="678"/>
      <c r="M14" s="678" t="s">
        <v>366</v>
      </c>
      <c r="N14" s="678"/>
      <c r="O14" s="678" t="s">
        <v>224</v>
      </c>
      <c r="P14" s="678"/>
    </row>
    <row r="15" spans="1:16" ht="15" customHeight="1" x14ac:dyDescent="0.25">
      <c r="A15" s="362">
        <v>1</v>
      </c>
      <c r="B15" s="678">
        <v>2</v>
      </c>
      <c r="C15" s="678"/>
      <c r="D15" s="678"/>
      <c r="E15" s="678"/>
      <c r="F15" s="678"/>
      <c r="G15" s="678">
        <v>3</v>
      </c>
      <c r="H15" s="678"/>
      <c r="I15" s="678"/>
      <c r="J15" s="678">
        <v>4</v>
      </c>
      <c r="K15" s="678"/>
      <c r="L15" s="678"/>
      <c r="M15" s="678">
        <v>5</v>
      </c>
      <c r="N15" s="678"/>
      <c r="O15" s="678">
        <v>6</v>
      </c>
      <c r="P15" s="678"/>
    </row>
    <row r="16" spans="1:16" ht="15" customHeight="1" x14ac:dyDescent="0.25">
      <c r="A16" s="361"/>
      <c r="B16" s="669" t="s">
        <v>365</v>
      </c>
      <c r="C16" s="669"/>
      <c r="D16" s="669"/>
      <c r="E16" s="669"/>
      <c r="F16" s="669"/>
      <c r="G16" s="669"/>
      <c r="H16" s="669"/>
      <c r="I16" s="669"/>
      <c r="J16" s="669"/>
      <c r="K16" s="669"/>
      <c r="L16" s="669"/>
      <c r="M16" s="669"/>
      <c r="N16" s="669"/>
      <c r="O16" s="669"/>
      <c r="P16" s="669"/>
    </row>
    <row r="17" spans="1:16" ht="81.599999999999994" customHeight="1" x14ac:dyDescent="0.25">
      <c r="A17" s="367" t="s">
        <v>2</v>
      </c>
      <c r="B17" s="674" t="s">
        <v>1235</v>
      </c>
      <c r="C17" s="675"/>
      <c r="D17" s="675"/>
      <c r="E17" s="675"/>
      <c r="F17" s="675"/>
      <c r="G17" s="675" t="s">
        <v>1234</v>
      </c>
      <c r="H17" s="675"/>
      <c r="I17" s="675"/>
      <c r="J17" s="675" t="s">
        <v>1233</v>
      </c>
      <c r="K17" s="675"/>
      <c r="L17" s="675"/>
      <c r="M17" s="676">
        <f>ROUND(47051 * 4 * 1.25 * 0.5, 2)</f>
        <v>117627.5</v>
      </c>
      <c r="N17" s="675"/>
      <c r="O17" s="675" t="s">
        <v>199</v>
      </c>
      <c r="P17" s="675"/>
    </row>
    <row r="18" spans="1:16" ht="15" customHeight="1" x14ac:dyDescent="0.25">
      <c r="A18" s="365"/>
      <c r="B18" s="677" t="s">
        <v>204</v>
      </c>
      <c r="C18" s="677"/>
      <c r="D18" s="677"/>
      <c r="E18" s="677"/>
      <c r="F18" s="677"/>
      <c r="G18" s="677" t="s">
        <v>199</v>
      </c>
      <c r="H18" s="677"/>
      <c r="I18" s="677"/>
      <c r="J18" s="677" t="s">
        <v>199</v>
      </c>
      <c r="K18" s="677"/>
      <c r="L18" s="677"/>
      <c r="M18" s="677"/>
      <c r="N18" s="677"/>
      <c r="O18" s="677"/>
      <c r="P18" s="677"/>
    </row>
    <row r="19" spans="1:16" ht="54.4" customHeight="1" x14ac:dyDescent="0.25">
      <c r="A19" s="364"/>
      <c r="B19" s="673" t="s">
        <v>572</v>
      </c>
      <c r="C19" s="673"/>
      <c r="D19" s="673"/>
      <c r="E19" s="673"/>
      <c r="F19" s="673"/>
      <c r="G19" s="673" t="s">
        <v>571</v>
      </c>
      <c r="H19" s="673"/>
      <c r="I19" s="673"/>
      <c r="J19" s="673" t="s">
        <v>199</v>
      </c>
      <c r="K19" s="673"/>
      <c r="L19" s="673"/>
      <c r="M19" s="673"/>
      <c r="N19" s="673"/>
      <c r="O19" s="673"/>
      <c r="P19" s="673"/>
    </row>
    <row r="20" spans="1:16" ht="190.35" customHeight="1" x14ac:dyDescent="0.25">
      <c r="A20" s="364"/>
      <c r="B20" s="673" t="s">
        <v>364</v>
      </c>
      <c r="C20" s="673"/>
      <c r="D20" s="673"/>
      <c r="E20" s="673"/>
      <c r="F20" s="673"/>
      <c r="G20" s="673" t="s">
        <v>363</v>
      </c>
      <c r="H20" s="673"/>
      <c r="I20" s="673"/>
      <c r="J20" s="673" t="s">
        <v>199</v>
      </c>
      <c r="K20" s="673"/>
      <c r="L20" s="673"/>
      <c r="M20" s="673"/>
      <c r="N20" s="673"/>
      <c r="O20" s="673"/>
      <c r="P20" s="673"/>
    </row>
    <row r="21" spans="1:16" ht="68.099999999999994" customHeight="1" x14ac:dyDescent="0.25">
      <c r="A21" s="367" t="s">
        <v>3</v>
      </c>
      <c r="B21" s="674" t="s">
        <v>362</v>
      </c>
      <c r="C21" s="675"/>
      <c r="D21" s="675"/>
      <c r="E21" s="675"/>
      <c r="F21" s="675"/>
      <c r="G21" s="675" t="s">
        <v>361</v>
      </c>
      <c r="H21" s="675"/>
      <c r="I21" s="675"/>
      <c r="J21" s="675" t="s">
        <v>360</v>
      </c>
      <c r="K21" s="675"/>
      <c r="L21" s="675"/>
      <c r="M21" s="676">
        <f>ROUND(26188 * 4 * 1.25, 2)</f>
        <v>130940</v>
      </c>
      <c r="N21" s="675"/>
      <c r="O21" s="675" t="s">
        <v>199</v>
      </c>
      <c r="P21" s="675"/>
    </row>
    <row r="22" spans="1:16" ht="15" customHeight="1" x14ac:dyDescent="0.25">
      <c r="A22" s="365"/>
      <c r="B22" s="677" t="s">
        <v>204</v>
      </c>
      <c r="C22" s="677"/>
      <c r="D22" s="677"/>
      <c r="E22" s="677"/>
      <c r="F22" s="677"/>
      <c r="G22" s="677" t="s">
        <v>199</v>
      </c>
      <c r="H22" s="677"/>
      <c r="I22" s="677"/>
      <c r="J22" s="677" t="s">
        <v>199</v>
      </c>
      <c r="K22" s="677"/>
      <c r="L22" s="677"/>
      <c r="M22" s="677"/>
      <c r="N22" s="677"/>
      <c r="O22" s="677"/>
      <c r="P22" s="677"/>
    </row>
    <row r="23" spans="1:16" ht="54.4" customHeight="1" x14ac:dyDescent="0.25">
      <c r="A23" s="364"/>
      <c r="B23" s="673" t="s">
        <v>572</v>
      </c>
      <c r="C23" s="673"/>
      <c r="D23" s="673"/>
      <c r="E23" s="673"/>
      <c r="F23" s="673"/>
      <c r="G23" s="673" t="s">
        <v>571</v>
      </c>
      <c r="H23" s="673"/>
      <c r="I23" s="673"/>
      <c r="J23" s="673" t="s">
        <v>199</v>
      </c>
      <c r="K23" s="673"/>
      <c r="L23" s="673"/>
      <c r="M23" s="673"/>
      <c r="N23" s="673"/>
      <c r="O23" s="673"/>
      <c r="P23" s="673"/>
    </row>
    <row r="24" spans="1:16" ht="122.45" customHeight="1" x14ac:dyDescent="0.25">
      <c r="A24" s="367" t="s">
        <v>24</v>
      </c>
      <c r="B24" s="674" t="s">
        <v>1232</v>
      </c>
      <c r="C24" s="675"/>
      <c r="D24" s="675"/>
      <c r="E24" s="675"/>
      <c r="F24" s="675"/>
      <c r="G24" s="675" t="s">
        <v>1231</v>
      </c>
      <c r="H24" s="675"/>
      <c r="I24" s="675"/>
      <c r="J24" s="675" t="s">
        <v>1230</v>
      </c>
      <c r="K24" s="675"/>
      <c r="L24" s="675"/>
      <c r="M24" s="676">
        <f>ROUND(26803 * 15 * 1.25, 2)</f>
        <v>502556.25</v>
      </c>
      <c r="N24" s="675"/>
      <c r="O24" s="675" t="s">
        <v>199</v>
      </c>
      <c r="P24" s="675"/>
    </row>
    <row r="25" spans="1:16" ht="15" customHeight="1" x14ac:dyDescent="0.25">
      <c r="A25" s="365"/>
      <c r="B25" s="677" t="s">
        <v>204</v>
      </c>
      <c r="C25" s="677"/>
      <c r="D25" s="677"/>
      <c r="E25" s="677"/>
      <c r="F25" s="677"/>
      <c r="G25" s="677" t="s">
        <v>199</v>
      </c>
      <c r="H25" s="677"/>
      <c r="I25" s="677"/>
      <c r="J25" s="677" t="s">
        <v>199</v>
      </c>
      <c r="K25" s="677"/>
      <c r="L25" s="677"/>
      <c r="M25" s="677"/>
      <c r="N25" s="677"/>
      <c r="O25" s="677"/>
      <c r="P25" s="677"/>
    </row>
    <row r="26" spans="1:16" ht="54.4" customHeight="1" x14ac:dyDescent="0.25">
      <c r="A26" s="364"/>
      <c r="B26" s="673" t="s">
        <v>572</v>
      </c>
      <c r="C26" s="673"/>
      <c r="D26" s="673"/>
      <c r="E26" s="673"/>
      <c r="F26" s="673"/>
      <c r="G26" s="673" t="s">
        <v>571</v>
      </c>
      <c r="H26" s="673"/>
      <c r="I26" s="673"/>
      <c r="J26" s="673" t="s">
        <v>199</v>
      </c>
      <c r="K26" s="673"/>
      <c r="L26" s="673"/>
      <c r="M26" s="673"/>
      <c r="N26" s="673"/>
      <c r="O26" s="673"/>
      <c r="P26" s="673"/>
    </row>
    <row r="27" spans="1:16" ht="147" customHeight="1" x14ac:dyDescent="0.25">
      <c r="A27" s="367" t="s">
        <v>26</v>
      </c>
      <c r="B27" s="674" t="s">
        <v>359</v>
      </c>
      <c r="C27" s="675"/>
      <c r="D27" s="675"/>
      <c r="E27" s="675"/>
      <c r="F27" s="675"/>
      <c r="G27" s="675" t="s">
        <v>1229</v>
      </c>
      <c r="H27" s="675"/>
      <c r="I27" s="675"/>
      <c r="J27" s="675" t="s">
        <v>1228</v>
      </c>
      <c r="K27" s="675"/>
      <c r="L27" s="675"/>
      <c r="M27" s="676">
        <f>ROUND(16030 * 15 * 1.25, 2)</f>
        <v>300562.5</v>
      </c>
      <c r="N27" s="675"/>
      <c r="O27" s="675" t="s">
        <v>358</v>
      </c>
      <c r="P27" s="675"/>
    </row>
    <row r="28" spans="1:16" ht="15" customHeight="1" x14ac:dyDescent="0.25">
      <c r="A28" s="365"/>
      <c r="B28" s="677" t="s">
        <v>204</v>
      </c>
      <c r="C28" s="677"/>
      <c r="D28" s="677"/>
      <c r="E28" s="677"/>
      <c r="F28" s="677"/>
      <c r="G28" s="677" t="s">
        <v>199</v>
      </c>
      <c r="H28" s="677"/>
      <c r="I28" s="677"/>
      <c r="J28" s="677" t="s">
        <v>199</v>
      </c>
      <c r="K28" s="677"/>
      <c r="L28" s="677"/>
      <c r="M28" s="677"/>
      <c r="N28" s="677"/>
      <c r="O28" s="677"/>
      <c r="P28" s="677"/>
    </row>
    <row r="29" spans="1:16" ht="54.4" customHeight="1" x14ac:dyDescent="0.25">
      <c r="A29" s="364"/>
      <c r="B29" s="673" t="s">
        <v>572</v>
      </c>
      <c r="C29" s="673"/>
      <c r="D29" s="673"/>
      <c r="E29" s="673"/>
      <c r="F29" s="673"/>
      <c r="G29" s="673" t="s">
        <v>571</v>
      </c>
      <c r="H29" s="673"/>
      <c r="I29" s="673"/>
      <c r="J29" s="673" t="s">
        <v>199</v>
      </c>
      <c r="K29" s="673"/>
      <c r="L29" s="673"/>
      <c r="M29" s="673"/>
      <c r="N29" s="673"/>
      <c r="O29" s="673"/>
      <c r="P29" s="673"/>
    </row>
    <row r="30" spans="1:16" ht="95.25" customHeight="1" x14ac:dyDescent="0.25">
      <c r="A30" s="367" t="s">
        <v>28</v>
      </c>
      <c r="B30" s="674" t="s">
        <v>357</v>
      </c>
      <c r="C30" s="675"/>
      <c r="D30" s="675"/>
      <c r="E30" s="675"/>
      <c r="F30" s="675"/>
      <c r="G30" s="675" t="s">
        <v>1227</v>
      </c>
      <c r="H30" s="675"/>
      <c r="I30" s="675"/>
      <c r="J30" s="675" t="s">
        <v>1226</v>
      </c>
      <c r="K30" s="675"/>
      <c r="L30" s="675"/>
      <c r="M30" s="676">
        <f>ROUND(4882 * 70 * 1.25, 2)</f>
        <v>427175</v>
      </c>
      <c r="N30" s="675"/>
      <c r="O30" s="675" t="s">
        <v>199</v>
      </c>
      <c r="P30" s="675"/>
    </row>
    <row r="31" spans="1:16" ht="15" customHeight="1" x14ac:dyDescent="0.25">
      <c r="A31" s="365"/>
      <c r="B31" s="677" t="s">
        <v>204</v>
      </c>
      <c r="C31" s="677"/>
      <c r="D31" s="677"/>
      <c r="E31" s="677"/>
      <c r="F31" s="677"/>
      <c r="G31" s="677" t="s">
        <v>199</v>
      </c>
      <c r="H31" s="677"/>
      <c r="I31" s="677"/>
      <c r="J31" s="677" t="s">
        <v>199</v>
      </c>
      <c r="K31" s="677"/>
      <c r="L31" s="677"/>
      <c r="M31" s="677"/>
      <c r="N31" s="677"/>
      <c r="O31" s="677"/>
      <c r="P31" s="677"/>
    </row>
    <row r="32" spans="1:16" ht="54.4" customHeight="1" x14ac:dyDescent="0.25">
      <c r="A32" s="364"/>
      <c r="B32" s="673" t="s">
        <v>572</v>
      </c>
      <c r="C32" s="673"/>
      <c r="D32" s="673"/>
      <c r="E32" s="673"/>
      <c r="F32" s="673"/>
      <c r="G32" s="673" t="s">
        <v>571</v>
      </c>
      <c r="H32" s="673"/>
      <c r="I32" s="673"/>
      <c r="J32" s="673" t="s">
        <v>199</v>
      </c>
      <c r="K32" s="673"/>
      <c r="L32" s="673"/>
      <c r="M32" s="673"/>
      <c r="N32" s="673"/>
      <c r="O32" s="673"/>
      <c r="P32" s="673"/>
    </row>
    <row r="33" spans="1:16" ht="15" customHeight="1" x14ac:dyDescent="0.25">
      <c r="A33" s="361"/>
      <c r="B33" s="669" t="s">
        <v>356</v>
      </c>
      <c r="C33" s="669"/>
      <c r="D33" s="669"/>
      <c r="E33" s="669"/>
      <c r="F33" s="669"/>
      <c r="G33" s="669"/>
      <c r="H33" s="669"/>
      <c r="I33" s="669"/>
      <c r="J33" s="669" t="s">
        <v>199</v>
      </c>
      <c r="K33" s="669"/>
      <c r="L33" s="669"/>
      <c r="M33" s="670">
        <f>ROUND(SUM($M$17:$M$30),2)</f>
        <v>1478861.25</v>
      </c>
      <c r="N33" s="669"/>
      <c r="O33" s="669"/>
      <c r="P33" s="669"/>
    </row>
    <row r="34" spans="1:16" ht="15" customHeight="1" x14ac:dyDescent="0.25">
      <c r="A34" s="361"/>
      <c r="B34" s="669" t="s">
        <v>355</v>
      </c>
      <c r="C34" s="669"/>
      <c r="D34" s="669"/>
      <c r="E34" s="669"/>
      <c r="F34" s="669"/>
      <c r="G34" s="669"/>
      <c r="H34" s="669"/>
      <c r="I34" s="669"/>
      <c r="J34" s="669" t="s">
        <v>199</v>
      </c>
      <c r="K34" s="669"/>
      <c r="L34" s="669"/>
      <c r="M34" s="670">
        <f>ROUND(($M$33),2)</f>
        <v>1478861.25</v>
      </c>
      <c r="N34" s="669"/>
      <c r="O34" s="669"/>
      <c r="P34" s="669"/>
    </row>
    <row r="35" spans="1:16" ht="15" customHeight="1" x14ac:dyDescent="0.25">
      <c r="A35" s="361"/>
      <c r="B35" s="669" t="s">
        <v>354</v>
      </c>
      <c r="C35" s="669"/>
      <c r="D35" s="669"/>
      <c r="E35" s="669"/>
      <c r="F35" s="669"/>
      <c r="G35" s="669"/>
      <c r="H35" s="669"/>
      <c r="I35" s="669"/>
      <c r="J35" s="669"/>
      <c r="K35" s="669"/>
      <c r="L35" s="669"/>
      <c r="M35" s="669"/>
      <c r="N35" s="669"/>
      <c r="O35" s="669"/>
      <c r="P35" s="669"/>
    </row>
    <row r="36" spans="1:16" ht="68.099999999999994" customHeight="1" x14ac:dyDescent="0.25">
      <c r="A36" s="367" t="s">
        <v>5</v>
      </c>
      <c r="B36" s="674" t="s">
        <v>353</v>
      </c>
      <c r="C36" s="675"/>
      <c r="D36" s="675"/>
      <c r="E36" s="675"/>
      <c r="F36" s="675"/>
      <c r="G36" s="675" t="s">
        <v>352</v>
      </c>
      <c r="H36" s="675"/>
      <c r="I36" s="675"/>
      <c r="J36" s="675" t="s">
        <v>351</v>
      </c>
      <c r="K36" s="675"/>
      <c r="L36" s="675"/>
      <c r="M36" s="676">
        <f>ROUND(1714 * 4 * 1.25, 2)</f>
        <v>8570</v>
      </c>
      <c r="N36" s="675"/>
      <c r="O36" s="675" t="s">
        <v>199</v>
      </c>
      <c r="P36" s="675"/>
    </row>
    <row r="37" spans="1:16" ht="15" customHeight="1" x14ac:dyDescent="0.25">
      <c r="A37" s="365"/>
      <c r="B37" s="677" t="s">
        <v>204</v>
      </c>
      <c r="C37" s="677"/>
      <c r="D37" s="677"/>
      <c r="E37" s="677"/>
      <c r="F37" s="677"/>
      <c r="G37" s="677" t="s">
        <v>199</v>
      </c>
      <c r="H37" s="677"/>
      <c r="I37" s="677"/>
      <c r="J37" s="677" t="s">
        <v>199</v>
      </c>
      <c r="K37" s="677"/>
      <c r="L37" s="677"/>
      <c r="M37" s="677"/>
      <c r="N37" s="677"/>
      <c r="O37" s="677"/>
      <c r="P37" s="677"/>
    </row>
    <row r="38" spans="1:16" ht="54.4" customHeight="1" x14ac:dyDescent="0.25">
      <c r="A38" s="364"/>
      <c r="B38" s="673" t="s">
        <v>572</v>
      </c>
      <c r="C38" s="673"/>
      <c r="D38" s="673"/>
      <c r="E38" s="673"/>
      <c r="F38" s="673"/>
      <c r="G38" s="673" t="s">
        <v>571</v>
      </c>
      <c r="H38" s="673"/>
      <c r="I38" s="673"/>
      <c r="J38" s="673" t="s">
        <v>199</v>
      </c>
      <c r="K38" s="673"/>
      <c r="L38" s="673"/>
      <c r="M38" s="673"/>
      <c r="N38" s="673"/>
      <c r="O38" s="673"/>
      <c r="P38" s="673"/>
    </row>
    <row r="39" spans="1:16" ht="147.75" customHeight="1" x14ac:dyDescent="0.25">
      <c r="A39" s="367" t="s">
        <v>6</v>
      </c>
      <c r="B39" s="674" t="s">
        <v>1225</v>
      </c>
      <c r="C39" s="675"/>
      <c r="D39" s="675"/>
      <c r="E39" s="675"/>
      <c r="F39" s="675"/>
      <c r="G39" s="675" t="s">
        <v>1224</v>
      </c>
      <c r="H39" s="675"/>
      <c r="I39" s="675"/>
      <c r="J39" s="675" t="s">
        <v>1223</v>
      </c>
      <c r="K39" s="675"/>
      <c r="L39" s="675"/>
      <c r="M39" s="676">
        <f>ROUND((4980 + 969 * 15) * 1 * 1.25, 2)</f>
        <v>24393.75</v>
      </c>
      <c r="N39" s="675"/>
      <c r="O39" s="675" t="s">
        <v>350</v>
      </c>
      <c r="P39" s="675"/>
    </row>
    <row r="40" spans="1:16" ht="15" customHeight="1" x14ac:dyDescent="0.25">
      <c r="A40" s="365"/>
      <c r="B40" s="677" t="s">
        <v>204</v>
      </c>
      <c r="C40" s="677"/>
      <c r="D40" s="677"/>
      <c r="E40" s="677"/>
      <c r="F40" s="677"/>
      <c r="G40" s="677" t="s">
        <v>199</v>
      </c>
      <c r="H40" s="677"/>
      <c r="I40" s="677"/>
      <c r="J40" s="677" t="s">
        <v>199</v>
      </c>
      <c r="K40" s="677"/>
      <c r="L40" s="677"/>
      <c r="M40" s="677"/>
      <c r="N40" s="677"/>
      <c r="O40" s="677"/>
      <c r="P40" s="677"/>
    </row>
    <row r="41" spans="1:16" ht="54.4" customHeight="1" x14ac:dyDescent="0.25">
      <c r="A41" s="364"/>
      <c r="B41" s="673" t="s">
        <v>572</v>
      </c>
      <c r="C41" s="673"/>
      <c r="D41" s="673"/>
      <c r="E41" s="673"/>
      <c r="F41" s="673"/>
      <c r="G41" s="673" t="s">
        <v>571</v>
      </c>
      <c r="H41" s="673"/>
      <c r="I41" s="673"/>
      <c r="J41" s="673" t="s">
        <v>199</v>
      </c>
      <c r="K41" s="673"/>
      <c r="L41" s="673"/>
      <c r="M41" s="673"/>
      <c r="N41" s="673"/>
      <c r="O41" s="673"/>
      <c r="P41" s="673"/>
    </row>
    <row r="42" spans="1:16" ht="135.94999999999999" customHeight="1" x14ac:dyDescent="0.25">
      <c r="A42" s="367" t="s">
        <v>221</v>
      </c>
      <c r="B42" s="674" t="s">
        <v>1222</v>
      </c>
      <c r="C42" s="675"/>
      <c r="D42" s="675"/>
      <c r="E42" s="675"/>
      <c r="F42" s="675"/>
      <c r="G42" s="675" t="s">
        <v>1221</v>
      </c>
      <c r="H42" s="675"/>
      <c r="I42" s="675"/>
      <c r="J42" s="675" t="s">
        <v>1220</v>
      </c>
      <c r="K42" s="675"/>
      <c r="L42" s="675"/>
      <c r="M42" s="676">
        <f>ROUND((1769 + 371 * 15) * 1 * 1.25, 2)</f>
        <v>9167.5</v>
      </c>
      <c r="N42" s="675"/>
      <c r="O42" s="675" t="s">
        <v>349</v>
      </c>
      <c r="P42" s="675"/>
    </row>
    <row r="43" spans="1:16" ht="15" customHeight="1" x14ac:dyDescent="0.25">
      <c r="A43" s="365"/>
      <c r="B43" s="677" t="s">
        <v>204</v>
      </c>
      <c r="C43" s="677"/>
      <c r="D43" s="677"/>
      <c r="E43" s="677"/>
      <c r="F43" s="677"/>
      <c r="G43" s="677" t="s">
        <v>199</v>
      </c>
      <c r="H43" s="677"/>
      <c r="I43" s="677"/>
      <c r="J43" s="677" t="s">
        <v>199</v>
      </c>
      <c r="K43" s="677"/>
      <c r="L43" s="677"/>
      <c r="M43" s="677"/>
      <c r="N43" s="677"/>
      <c r="O43" s="677"/>
      <c r="P43" s="677"/>
    </row>
    <row r="44" spans="1:16" ht="54.4" customHeight="1" x14ac:dyDescent="0.25">
      <c r="A44" s="364"/>
      <c r="B44" s="673" t="s">
        <v>572</v>
      </c>
      <c r="C44" s="673"/>
      <c r="D44" s="673"/>
      <c r="E44" s="673"/>
      <c r="F44" s="673"/>
      <c r="G44" s="673" t="s">
        <v>571</v>
      </c>
      <c r="H44" s="673"/>
      <c r="I44" s="673"/>
      <c r="J44" s="673" t="s">
        <v>199</v>
      </c>
      <c r="K44" s="673"/>
      <c r="L44" s="673"/>
      <c r="M44" s="673"/>
      <c r="N44" s="673"/>
      <c r="O44" s="673"/>
      <c r="P44" s="673"/>
    </row>
    <row r="45" spans="1:16" ht="95.25" customHeight="1" x14ac:dyDescent="0.25">
      <c r="A45" s="367" t="s">
        <v>220</v>
      </c>
      <c r="B45" s="674" t="s">
        <v>348</v>
      </c>
      <c r="C45" s="675"/>
      <c r="D45" s="675"/>
      <c r="E45" s="675"/>
      <c r="F45" s="675"/>
      <c r="G45" s="675" t="s">
        <v>347</v>
      </c>
      <c r="H45" s="675"/>
      <c r="I45" s="675"/>
      <c r="J45" s="675" t="s">
        <v>346</v>
      </c>
      <c r="K45" s="675"/>
      <c r="L45" s="675"/>
      <c r="M45" s="676">
        <f>ROUND(21451 * 4 * 1.25, 2)</f>
        <v>107255</v>
      </c>
      <c r="N45" s="675"/>
      <c r="O45" s="675" t="s">
        <v>199</v>
      </c>
      <c r="P45" s="675"/>
    </row>
    <row r="46" spans="1:16" ht="15" customHeight="1" x14ac:dyDescent="0.25">
      <c r="A46" s="365"/>
      <c r="B46" s="677" t="s">
        <v>204</v>
      </c>
      <c r="C46" s="677"/>
      <c r="D46" s="677"/>
      <c r="E46" s="677"/>
      <c r="F46" s="677"/>
      <c r="G46" s="677" t="s">
        <v>199</v>
      </c>
      <c r="H46" s="677"/>
      <c r="I46" s="677"/>
      <c r="J46" s="677" t="s">
        <v>199</v>
      </c>
      <c r="K46" s="677"/>
      <c r="L46" s="677"/>
      <c r="M46" s="677"/>
      <c r="N46" s="677"/>
      <c r="O46" s="677"/>
      <c r="P46" s="677"/>
    </row>
    <row r="47" spans="1:16" ht="54.4" customHeight="1" x14ac:dyDescent="0.25">
      <c r="A47" s="364"/>
      <c r="B47" s="673" t="s">
        <v>572</v>
      </c>
      <c r="C47" s="673"/>
      <c r="D47" s="673"/>
      <c r="E47" s="673"/>
      <c r="F47" s="673"/>
      <c r="G47" s="673" t="s">
        <v>571</v>
      </c>
      <c r="H47" s="673"/>
      <c r="I47" s="673"/>
      <c r="J47" s="673" t="s">
        <v>199</v>
      </c>
      <c r="K47" s="673"/>
      <c r="L47" s="673"/>
      <c r="M47" s="673"/>
      <c r="N47" s="673"/>
      <c r="O47" s="673"/>
      <c r="P47" s="673"/>
    </row>
    <row r="48" spans="1:16" ht="15" customHeight="1" x14ac:dyDescent="0.25">
      <c r="A48" s="361"/>
      <c r="B48" s="669" t="s">
        <v>345</v>
      </c>
      <c r="C48" s="669"/>
      <c r="D48" s="669"/>
      <c r="E48" s="669"/>
      <c r="F48" s="669"/>
      <c r="G48" s="669"/>
      <c r="H48" s="669"/>
      <c r="I48" s="669"/>
      <c r="J48" s="669" t="s">
        <v>199</v>
      </c>
      <c r="K48" s="669"/>
      <c r="L48" s="669"/>
      <c r="M48" s="670">
        <f>ROUND(SUM($M$36:$M$45),2)</f>
        <v>149386.25</v>
      </c>
      <c r="N48" s="669"/>
      <c r="O48" s="669"/>
      <c r="P48" s="669"/>
    </row>
    <row r="49" spans="1:16" ht="15" customHeight="1" x14ac:dyDescent="0.25">
      <c r="A49" s="361"/>
      <c r="B49" s="669" t="s">
        <v>344</v>
      </c>
      <c r="C49" s="669"/>
      <c r="D49" s="669"/>
      <c r="E49" s="669"/>
      <c r="F49" s="669"/>
      <c r="G49" s="669"/>
      <c r="H49" s="669"/>
      <c r="I49" s="669"/>
      <c r="J49" s="669" t="s">
        <v>199</v>
      </c>
      <c r="K49" s="669"/>
      <c r="L49" s="669"/>
      <c r="M49" s="670">
        <f>ROUND(($M$48),2)</f>
        <v>149386.25</v>
      </c>
      <c r="N49" s="669"/>
      <c r="O49" s="669"/>
      <c r="P49" s="669"/>
    </row>
    <row r="50" spans="1:16" ht="27.2" customHeight="1" x14ac:dyDescent="0.25">
      <c r="A50" s="361"/>
      <c r="B50" s="669" t="s">
        <v>343</v>
      </c>
      <c r="C50" s="669"/>
      <c r="D50" s="669"/>
      <c r="E50" s="669"/>
      <c r="F50" s="669"/>
      <c r="G50" s="669"/>
      <c r="H50" s="669"/>
      <c r="I50" s="669"/>
      <c r="J50" s="669"/>
      <c r="K50" s="669"/>
      <c r="L50" s="669"/>
      <c r="M50" s="669"/>
      <c r="N50" s="669"/>
      <c r="O50" s="669"/>
      <c r="P50" s="669"/>
    </row>
    <row r="51" spans="1:16" ht="231.2" customHeight="1" x14ac:dyDescent="0.25">
      <c r="A51" s="367" t="s">
        <v>217</v>
      </c>
      <c r="B51" s="674" t="s">
        <v>342</v>
      </c>
      <c r="C51" s="675"/>
      <c r="D51" s="675"/>
      <c r="E51" s="675"/>
      <c r="F51" s="675"/>
      <c r="G51" s="675" t="s">
        <v>1219</v>
      </c>
      <c r="H51" s="675"/>
      <c r="I51" s="675"/>
      <c r="J51" s="675" t="s">
        <v>1218</v>
      </c>
      <c r="K51" s="675"/>
      <c r="L51" s="675"/>
      <c r="M51" s="676">
        <f>ROUND((1183.089 * ((8 + (6.7 - 8) / (3000 - 1000) * (1183.089 - 1000)) / 100) * 1 * 1.25) * 1000, 2)</f>
        <v>116548.94</v>
      </c>
      <c r="N51" s="675"/>
      <c r="O51" s="675" t="s">
        <v>340</v>
      </c>
      <c r="P51" s="675"/>
    </row>
    <row r="52" spans="1:16" x14ac:dyDescent="0.25">
      <c r="A52" s="365"/>
      <c r="B52" s="677" t="s">
        <v>204</v>
      </c>
      <c r="C52" s="677"/>
      <c r="D52" s="677"/>
      <c r="E52" s="677"/>
      <c r="F52" s="677"/>
      <c r="G52" s="677" t="s">
        <v>199</v>
      </c>
      <c r="H52" s="677"/>
      <c r="I52" s="677"/>
      <c r="J52" s="677" t="s">
        <v>199</v>
      </c>
      <c r="K52" s="677"/>
      <c r="L52" s="677"/>
      <c r="M52" s="677"/>
      <c r="N52" s="677"/>
      <c r="O52" s="677"/>
      <c r="P52" s="677"/>
    </row>
    <row r="53" spans="1:16" ht="54.4" customHeight="1" x14ac:dyDescent="0.25">
      <c r="A53" s="364"/>
      <c r="B53" s="673" t="s">
        <v>572</v>
      </c>
      <c r="C53" s="673"/>
      <c r="D53" s="673"/>
      <c r="E53" s="673"/>
      <c r="F53" s="673"/>
      <c r="G53" s="673" t="s">
        <v>571</v>
      </c>
      <c r="H53" s="673"/>
      <c r="I53" s="673"/>
      <c r="J53" s="673" t="s">
        <v>199</v>
      </c>
      <c r="K53" s="673"/>
      <c r="L53" s="673"/>
      <c r="M53" s="673"/>
      <c r="N53" s="673"/>
      <c r="O53" s="673"/>
      <c r="P53" s="673"/>
    </row>
    <row r="54" spans="1:16" ht="122.45" customHeight="1" x14ac:dyDescent="0.25">
      <c r="A54" s="367" t="s">
        <v>216</v>
      </c>
      <c r="B54" s="674" t="s">
        <v>341</v>
      </c>
      <c r="C54" s="675"/>
      <c r="D54" s="675"/>
      <c r="E54" s="675"/>
      <c r="F54" s="675"/>
      <c r="G54" s="675" t="s">
        <v>1217</v>
      </c>
      <c r="H54" s="675"/>
      <c r="I54" s="675"/>
      <c r="J54" s="675" t="s">
        <v>1216</v>
      </c>
      <c r="K54" s="675"/>
      <c r="L54" s="675"/>
      <c r="M54" s="676">
        <f>ROUND((1183.089 * ((7.7 + (2.2 - 7.7) / (3000 - 1000) * (1183.089 - 1000)) / 100) * 1 * 1.25) * 1000, 2)</f>
        <v>106426.33</v>
      </c>
      <c r="N54" s="675"/>
      <c r="O54" s="675" t="s">
        <v>340</v>
      </c>
      <c r="P54" s="675"/>
    </row>
    <row r="55" spans="1:16" x14ac:dyDescent="0.25">
      <c r="A55" s="365"/>
      <c r="B55" s="677" t="s">
        <v>204</v>
      </c>
      <c r="C55" s="677"/>
      <c r="D55" s="677"/>
      <c r="E55" s="677"/>
      <c r="F55" s="677"/>
      <c r="G55" s="677" t="s">
        <v>199</v>
      </c>
      <c r="H55" s="677"/>
      <c r="I55" s="677"/>
      <c r="J55" s="677" t="s">
        <v>199</v>
      </c>
      <c r="K55" s="677"/>
      <c r="L55" s="677"/>
      <c r="M55" s="677"/>
      <c r="N55" s="677"/>
      <c r="O55" s="677"/>
      <c r="P55" s="677"/>
    </row>
    <row r="56" spans="1:16" ht="54.4" customHeight="1" x14ac:dyDescent="0.25">
      <c r="A56" s="364"/>
      <c r="B56" s="673" t="s">
        <v>572</v>
      </c>
      <c r="C56" s="673"/>
      <c r="D56" s="673"/>
      <c r="E56" s="673"/>
      <c r="F56" s="673"/>
      <c r="G56" s="673" t="s">
        <v>571</v>
      </c>
      <c r="H56" s="673"/>
      <c r="I56" s="673"/>
      <c r="J56" s="673" t="s">
        <v>199</v>
      </c>
      <c r="K56" s="673"/>
      <c r="L56" s="673"/>
      <c r="M56" s="673"/>
      <c r="N56" s="673"/>
      <c r="O56" s="673"/>
      <c r="P56" s="673"/>
    </row>
    <row r="57" spans="1:16" ht="135.94999999999999" customHeight="1" x14ac:dyDescent="0.25">
      <c r="A57" s="367" t="s">
        <v>215</v>
      </c>
      <c r="B57" s="674" t="s">
        <v>339</v>
      </c>
      <c r="C57" s="675"/>
      <c r="D57" s="675"/>
      <c r="E57" s="675"/>
      <c r="F57" s="675"/>
      <c r="G57" s="675" t="s">
        <v>1215</v>
      </c>
      <c r="H57" s="675"/>
      <c r="I57" s="675"/>
      <c r="J57" s="675" t="s">
        <v>1214</v>
      </c>
      <c r="K57" s="675"/>
      <c r="L57" s="675"/>
      <c r="M57" s="676">
        <v>52221.279999999999</v>
      </c>
      <c r="N57" s="675"/>
      <c r="O57" s="675" t="s">
        <v>338</v>
      </c>
      <c r="P57" s="675"/>
    </row>
    <row r="58" spans="1:16" x14ac:dyDescent="0.25">
      <c r="A58" s="365"/>
      <c r="B58" s="677" t="s">
        <v>204</v>
      </c>
      <c r="C58" s="677"/>
      <c r="D58" s="677"/>
      <c r="E58" s="677"/>
      <c r="F58" s="677"/>
      <c r="G58" s="677" t="s">
        <v>199</v>
      </c>
      <c r="H58" s="677"/>
      <c r="I58" s="677"/>
      <c r="J58" s="677" t="s">
        <v>199</v>
      </c>
      <c r="K58" s="677"/>
      <c r="L58" s="677"/>
      <c r="M58" s="677"/>
      <c r="N58" s="677"/>
      <c r="O58" s="677"/>
      <c r="P58" s="677"/>
    </row>
    <row r="59" spans="1:16" ht="54.4" customHeight="1" x14ac:dyDescent="0.25">
      <c r="A59" s="364"/>
      <c r="B59" s="673" t="s">
        <v>572</v>
      </c>
      <c r="C59" s="673"/>
      <c r="D59" s="673"/>
      <c r="E59" s="673"/>
      <c r="F59" s="673"/>
      <c r="G59" s="673" t="s">
        <v>571</v>
      </c>
      <c r="H59" s="673"/>
      <c r="I59" s="673"/>
      <c r="J59" s="673" t="s">
        <v>199</v>
      </c>
      <c r="K59" s="673"/>
      <c r="L59" s="673"/>
      <c r="M59" s="673"/>
      <c r="N59" s="673"/>
      <c r="O59" s="673"/>
      <c r="P59" s="673"/>
    </row>
    <row r="60" spans="1:16" ht="135.94999999999999" customHeight="1" x14ac:dyDescent="0.25">
      <c r="A60" s="367" t="s">
        <v>214</v>
      </c>
      <c r="B60" s="674" t="s">
        <v>337</v>
      </c>
      <c r="C60" s="675"/>
      <c r="D60" s="675"/>
      <c r="E60" s="675"/>
      <c r="F60" s="675"/>
      <c r="G60" s="675" t="s">
        <v>1213</v>
      </c>
      <c r="H60" s="675"/>
      <c r="I60" s="675"/>
      <c r="J60" s="675" t="s">
        <v>1212</v>
      </c>
      <c r="K60" s="675"/>
      <c r="L60" s="675"/>
      <c r="M60" s="676">
        <v>103671.76</v>
      </c>
      <c r="N60" s="675"/>
      <c r="O60" s="675" t="s">
        <v>336</v>
      </c>
      <c r="P60" s="675"/>
    </row>
    <row r="61" spans="1:16" x14ac:dyDescent="0.25">
      <c r="A61" s="365"/>
      <c r="B61" s="677" t="s">
        <v>204</v>
      </c>
      <c r="C61" s="677"/>
      <c r="D61" s="677"/>
      <c r="E61" s="677"/>
      <c r="F61" s="677"/>
      <c r="G61" s="677" t="s">
        <v>199</v>
      </c>
      <c r="H61" s="677"/>
      <c r="I61" s="677"/>
      <c r="J61" s="677" t="s">
        <v>199</v>
      </c>
      <c r="K61" s="677"/>
      <c r="L61" s="677"/>
      <c r="M61" s="677"/>
      <c r="N61" s="677"/>
      <c r="O61" s="677"/>
      <c r="P61" s="677"/>
    </row>
    <row r="62" spans="1:16" ht="54.4" customHeight="1" x14ac:dyDescent="0.25">
      <c r="A62" s="364"/>
      <c r="B62" s="673" t="s">
        <v>572</v>
      </c>
      <c r="C62" s="673"/>
      <c r="D62" s="673"/>
      <c r="E62" s="673"/>
      <c r="F62" s="673"/>
      <c r="G62" s="673" t="s">
        <v>571</v>
      </c>
      <c r="H62" s="673"/>
      <c r="I62" s="673"/>
      <c r="J62" s="673" t="s">
        <v>199</v>
      </c>
      <c r="K62" s="673"/>
      <c r="L62" s="673"/>
      <c r="M62" s="673"/>
      <c r="N62" s="673"/>
      <c r="O62" s="673"/>
      <c r="P62" s="673"/>
    </row>
    <row r="63" spans="1:16" ht="27.2" customHeight="1" x14ac:dyDescent="0.25">
      <c r="A63" s="361"/>
      <c r="B63" s="669" t="s">
        <v>335</v>
      </c>
      <c r="C63" s="669"/>
      <c r="D63" s="669"/>
      <c r="E63" s="669"/>
      <c r="F63" s="669"/>
      <c r="G63" s="669"/>
      <c r="H63" s="669"/>
      <c r="I63" s="669"/>
      <c r="J63" s="669" t="s">
        <v>199</v>
      </c>
      <c r="K63" s="669"/>
      <c r="L63" s="669"/>
      <c r="M63" s="670">
        <f>ROUND(SUM($M$51:$M$60),2)</f>
        <v>378868.31</v>
      </c>
      <c r="N63" s="669"/>
      <c r="O63" s="669"/>
      <c r="P63" s="669"/>
    </row>
    <row r="64" spans="1:16" ht="27.2" customHeight="1" x14ac:dyDescent="0.25">
      <c r="A64" s="361"/>
      <c r="B64" s="669" t="s">
        <v>334</v>
      </c>
      <c r="C64" s="669"/>
      <c r="D64" s="669"/>
      <c r="E64" s="669"/>
      <c r="F64" s="669"/>
      <c r="G64" s="669"/>
      <c r="H64" s="669"/>
      <c r="I64" s="669"/>
      <c r="J64" s="669" t="s">
        <v>199</v>
      </c>
      <c r="K64" s="669"/>
      <c r="L64" s="669"/>
      <c r="M64" s="670">
        <f>ROUND(($M$63),2)</f>
        <v>378868.31</v>
      </c>
      <c r="N64" s="669"/>
      <c r="O64" s="669"/>
      <c r="P64" s="669"/>
    </row>
    <row r="65" spans="1:16" x14ac:dyDescent="0.25">
      <c r="A65" s="361" t="s">
        <v>212</v>
      </c>
      <c r="B65" s="669" t="s">
        <v>202</v>
      </c>
      <c r="C65" s="669"/>
      <c r="D65" s="669"/>
      <c r="E65" s="669"/>
      <c r="F65" s="669"/>
      <c r="G65" s="669"/>
      <c r="H65" s="669"/>
      <c r="I65" s="669"/>
      <c r="J65" s="669" t="s">
        <v>199</v>
      </c>
      <c r="K65" s="669"/>
      <c r="L65" s="669"/>
      <c r="M65" s="670">
        <f>ROUND($M$34+$M$49+$M$64,2)</f>
        <v>2007115.81</v>
      </c>
      <c r="N65" s="669"/>
      <c r="O65" s="669"/>
      <c r="P65" s="669"/>
    </row>
    <row r="66" spans="1:16" x14ac:dyDescent="0.25">
      <c r="A66" s="361" t="s">
        <v>207</v>
      </c>
      <c r="B66" s="669" t="s">
        <v>200</v>
      </c>
      <c r="C66" s="669"/>
      <c r="D66" s="669"/>
      <c r="E66" s="669"/>
      <c r="F66" s="669"/>
      <c r="G66" s="669"/>
      <c r="H66" s="669"/>
      <c r="I66" s="669"/>
      <c r="J66" s="669" t="s">
        <v>199</v>
      </c>
      <c r="K66" s="669"/>
      <c r="L66" s="669"/>
      <c r="M66" s="670">
        <f>ROUND(($M$65),2)</f>
        <v>2007115.81</v>
      </c>
      <c r="N66" s="669"/>
      <c r="O66" s="669"/>
      <c r="P66" s="669"/>
    </row>
    <row r="68" spans="1:16" ht="30" customHeight="1" x14ac:dyDescent="0.25">
      <c r="A68" s="671" t="s">
        <v>198</v>
      </c>
      <c r="B68" s="671"/>
      <c r="C68" s="671"/>
      <c r="D68" s="671"/>
      <c r="E68" s="671"/>
      <c r="F68" s="672">
        <f>$M$66</f>
        <v>2007115.81</v>
      </c>
      <c r="G68" s="672"/>
      <c r="H68" s="672"/>
      <c r="I68" s="672"/>
      <c r="J68" s="672"/>
      <c r="K68" s="672"/>
      <c r="L68" s="672"/>
      <c r="M68" s="672"/>
      <c r="N68" s="672"/>
      <c r="O68" s="672"/>
      <c r="P68" s="672"/>
    </row>
    <row r="70" spans="1:16" x14ac:dyDescent="0.25">
      <c r="A70" s="671" t="s">
        <v>333</v>
      </c>
      <c r="B70" s="671"/>
      <c r="C70" s="671"/>
      <c r="D70" s="668"/>
      <c r="E70" s="668"/>
      <c r="F70" s="668"/>
      <c r="G70" s="668"/>
      <c r="H70" s="668"/>
      <c r="I70" s="668"/>
      <c r="J70" s="668"/>
      <c r="K70" s="668"/>
      <c r="L70" s="668"/>
      <c r="M70" s="668"/>
      <c r="N70" s="668"/>
      <c r="O70" s="668"/>
      <c r="P70" s="668"/>
    </row>
    <row r="71" spans="1:16" x14ac:dyDescent="0.25">
      <c r="D71" s="666" t="s">
        <v>331</v>
      </c>
      <c r="E71" s="666"/>
      <c r="F71" s="666"/>
      <c r="G71" s="666"/>
      <c r="H71" s="666"/>
      <c r="I71" s="666"/>
      <c r="J71" s="666"/>
      <c r="K71" s="666"/>
      <c r="L71" s="666"/>
      <c r="M71" s="666"/>
      <c r="N71" s="666"/>
      <c r="O71" s="666"/>
      <c r="P71" s="666"/>
    </row>
    <row r="73" spans="1:16" x14ac:dyDescent="0.25">
      <c r="A73" s="667" t="s">
        <v>332</v>
      </c>
      <c r="B73" s="667"/>
      <c r="C73" s="667"/>
      <c r="D73" s="668"/>
      <c r="E73" s="668"/>
      <c r="F73" s="668"/>
      <c r="G73" s="668"/>
      <c r="H73" s="668"/>
      <c r="I73" s="668"/>
      <c r="J73" s="668"/>
      <c r="K73" s="668"/>
      <c r="L73" s="668"/>
      <c r="M73" s="668"/>
      <c r="N73" s="668"/>
      <c r="O73" s="668"/>
      <c r="P73" s="668"/>
    </row>
    <row r="74" spans="1:16" x14ac:dyDescent="0.25">
      <c r="D74" s="666" t="s">
        <v>331</v>
      </c>
      <c r="E74" s="666"/>
      <c r="F74" s="666"/>
      <c r="G74" s="666"/>
      <c r="H74" s="666"/>
      <c r="I74" s="666"/>
      <c r="J74" s="666"/>
      <c r="K74" s="666"/>
      <c r="L74" s="666"/>
      <c r="M74" s="666"/>
      <c r="N74" s="666"/>
      <c r="O74" s="666"/>
      <c r="P74" s="666"/>
    </row>
  </sheetData>
  <mergeCells count="282">
    <mergeCell ref="A1:D1"/>
    <mergeCell ref="E1:P1"/>
    <mergeCell ref="A3:P3"/>
    <mergeCell ref="A4:P4"/>
    <mergeCell ref="A6:P6"/>
    <mergeCell ref="A7:P7"/>
    <mergeCell ref="A9:P9"/>
    <mergeCell ref="B14:F14"/>
    <mergeCell ref="B15:F15"/>
    <mergeCell ref="G14:I14"/>
    <mergeCell ref="G15:I15"/>
    <mergeCell ref="J14:L14"/>
    <mergeCell ref="J15:L15"/>
    <mergeCell ref="M14:N14"/>
    <mergeCell ref="A10:P10"/>
    <mergeCell ref="A12:P12"/>
    <mergeCell ref="M15:N15"/>
    <mergeCell ref="O14:P14"/>
    <mergeCell ref="O15:P15"/>
    <mergeCell ref="B16:F16"/>
    <mergeCell ref="G16:I16"/>
    <mergeCell ref="J16:L16"/>
    <mergeCell ref="M16:N16"/>
    <mergeCell ref="O16:P16"/>
    <mergeCell ref="B17:F17"/>
    <mergeCell ref="G17:I17"/>
    <mergeCell ref="J17:L17"/>
    <mergeCell ref="M17:N17"/>
    <mergeCell ref="O17:P17"/>
    <mergeCell ref="B18:F18"/>
    <mergeCell ref="G18:I18"/>
    <mergeCell ref="J18:L18"/>
    <mergeCell ref="M18:N18"/>
    <mergeCell ref="O18:P18"/>
    <mergeCell ref="B19:F19"/>
    <mergeCell ref="G19:I19"/>
    <mergeCell ref="J19:L19"/>
    <mergeCell ref="M19:N19"/>
    <mergeCell ref="O19:P19"/>
    <mergeCell ref="B20:F20"/>
    <mergeCell ref="G20:I20"/>
    <mergeCell ref="J20:L20"/>
    <mergeCell ref="M20:N20"/>
    <mergeCell ref="O20:P20"/>
    <mergeCell ref="B21:F21"/>
    <mergeCell ref="G21:I21"/>
    <mergeCell ref="J21:L21"/>
    <mergeCell ref="M21:N21"/>
    <mergeCell ref="O21:P21"/>
    <mergeCell ref="B22:F22"/>
    <mergeCell ref="G22:I22"/>
    <mergeCell ref="J22:L22"/>
    <mergeCell ref="M22:N22"/>
    <mergeCell ref="O22:P22"/>
    <mergeCell ref="B23:F23"/>
    <mergeCell ref="G23:I23"/>
    <mergeCell ref="J23:L23"/>
    <mergeCell ref="M23:N23"/>
    <mergeCell ref="O23:P23"/>
    <mergeCell ref="B24:F24"/>
    <mergeCell ref="G24:I24"/>
    <mergeCell ref="J24:L24"/>
    <mergeCell ref="M24:N24"/>
    <mergeCell ref="O24:P24"/>
    <mergeCell ref="B25:F25"/>
    <mergeCell ref="G25:I25"/>
    <mergeCell ref="J25:L25"/>
    <mergeCell ref="M25:N25"/>
    <mergeCell ref="O25:P25"/>
    <mergeCell ref="B26:F26"/>
    <mergeCell ref="G26:I26"/>
    <mergeCell ref="J26:L26"/>
    <mergeCell ref="M26:N26"/>
    <mergeCell ref="O26:P26"/>
    <mergeCell ref="B27:F27"/>
    <mergeCell ref="G27:I27"/>
    <mergeCell ref="J27:L27"/>
    <mergeCell ref="M27:N27"/>
    <mergeCell ref="O27:P27"/>
    <mergeCell ref="B28:F28"/>
    <mergeCell ref="G28:I28"/>
    <mergeCell ref="J28:L28"/>
    <mergeCell ref="M28:N28"/>
    <mergeCell ref="O28:P28"/>
    <mergeCell ref="B29:F29"/>
    <mergeCell ref="G29:I29"/>
    <mergeCell ref="J29:L29"/>
    <mergeCell ref="M29:N29"/>
    <mergeCell ref="O29:P29"/>
    <mergeCell ref="B30:F30"/>
    <mergeCell ref="G30:I30"/>
    <mergeCell ref="J30:L30"/>
    <mergeCell ref="M30:N30"/>
    <mergeCell ref="O30:P30"/>
    <mergeCell ref="B31:F31"/>
    <mergeCell ref="G31:I31"/>
    <mergeCell ref="J31:L31"/>
    <mergeCell ref="M31:N31"/>
    <mergeCell ref="O31:P31"/>
    <mergeCell ref="B32:F32"/>
    <mergeCell ref="G32:I32"/>
    <mergeCell ref="J32:L32"/>
    <mergeCell ref="M32:N32"/>
    <mergeCell ref="O32:P32"/>
    <mergeCell ref="B33:F33"/>
    <mergeCell ref="G33:I33"/>
    <mergeCell ref="J33:L33"/>
    <mergeCell ref="M33:N33"/>
    <mergeCell ref="O33:P33"/>
    <mergeCell ref="B34:F34"/>
    <mergeCell ref="G34:I34"/>
    <mergeCell ref="J34:L34"/>
    <mergeCell ref="M34:N34"/>
    <mergeCell ref="O34:P34"/>
    <mergeCell ref="B35:F35"/>
    <mergeCell ref="G35:I35"/>
    <mergeCell ref="J35:L35"/>
    <mergeCell ref="M35:N35"/>
    <mergeCell ref="O35:P35"/>
    <mergeCell ref="B36:F36"/>
    <mergeCell ref="G36:I36"/>
    <mergeCell ref="J36:L36"/>
    <mergeCell ref="M36:N36"/>
    <mergeCell ref="O36:P36"/>
    <mergeCell ref="B37:F37"/>
    <mergeCell ref="G37:I37"/>
    <mergeCell ref="J37:L37"/>
    <mergeCell ref="M37:N37"/>
    <mergeCell ref="O37:P37"/>
    <mergeCell ref="B38:F38"/>
    <mergeCell ref="G38:I38"/>
    <mergeCell ref="J38:L38"/>
    <mergeCell ref="M38:N38"/>
    <mergeCell ref="O38:P38"/>
    <mergeCell ref="B39:F39"/>
    <mergeCell ref="G39:I39"/>
    <mergeCell ref="J39:L39"/>
    <mergeCell ref="M39:N39"/>
    <mergeCell ref="O39:P39"/>
    <mergeCell ref="B40:F40"/>
    <mergeCell ref="G40:I40"/>
    <mergeCell ref="J40:L40"/>
    <mergeCell ref="M40:N40"/>
    <mergeCell ref="O40:P40"/>
    <mergeCell ref="B41:F41"/>
    <mergeCell ref="G41:I41"/>
    <mergeCell ref="J41:L41"/>
    <mergeCell ref="M41:N41"/>
    <mergeCell ref="O41:P41"/>
    <mergeCell ref="B42:F42"/>
    <mergeCell ref="G42:I42"/>
    <mergeCell ref="J42:L42"/>
    <mergeCell ref="M42:N42"/>
    <mergeCell ref="O42:P42"/>
    <mergeCell ref="B43:F43"/>
    <mergeCell ref="G43:I43"/>
    <mergeCell ref="J43:L43"/>
    <mergeCell ref="M43:N43"/>
    <mergeCell ref="O43:P43"/>
    <mergeCell ref="B44:F44"/>
    <mergeCell ref="G44:I44"/>
    <mergeCell ref="J44:L44"/>
    <mergeCell ref="M44:N44"/>
    <mergeCell ref="O44:P44"/>
    <mergeCell ref="B45:F45"/>
    <mergeCell ref="G45:I45"/>
    <mergeCell ref="J45:L45"/>
    <mergeCell ref="M45:N45"/>
    <mergeCell ref="O45:P45"/>
    <mergeCell ref="B46:F46"/>
    <mergeCell ref="G46:I46"/>
    <mergeCell ref="J46:L46"/>
    <mergeCell ref="M46:N46"/>
    <mergeCell ref="O46:P46"/>
    <mergeCell ref="B47:F47"/>
    <mergeCell ref="G47:I47"/>
    <mergeCell ref="J47:L47"/>
    <mergeCell ref="M47:N47"/>
    <mergeCell ref="O47:P47"/>
    <mergeCell ref="B48:F48"/>
    <mergeCell ref="G48:I48"/>
    <mergeCell ref="J48:L48"/>
    <mergeCell ref="M48:N48"/>
    <mergeCell ref="O48:P48"/>
    <mergeCell ref="B49:F49"/>
    <mergeCell ref="G49:I49"/>
    <mergeCell ref="J49:L49"/>
    <mergeCell ref="M49:N49"/>
    <mergeCell ref="O49:P49"/>
    <mergeCell ref="B50:F50"/>
    <mergeCell ref="G50:I50"/>
    <mergeCell ref="J50:L50"/>
    <mergeCell ref="M50:N50"/>
    <mergeCell ref="O50:P50"/>
    <mergeCell ref="B51:F51"/>
    <mergeCell ref="G51:I51"/>
    <mergeCell ref="J51:L51"/>
    <mergeCell ref="M51:N51"/>
    <mergeCell ref="O51:P51"/>
    <mergeCell ref="B52:F52"/>
    <mergeCell ref="G52:I52"/>
    <mergeCell ref="J52:L52"/>
    <mergeCell ref="M52:N52"/>
    <mergeCell ref="O52:P52"/>
    <mergeCell ref="B53:F53"/>
    <mergeCell ref="G53:I53"/>
    <mergeCell ref="J53:L53"/>
    <mergeCell ref="M53:N53"/>
    <mergeCell ref="O53:P53"/>
    <mergeCell ref="B54:F54"/>
    <mergeCell ref="G54:I54"/>
    <mergeCell ref="J54:L54"/>
    <mergeCell ref="M54:N54"/>
    <mergeCell ref="O54:P54"/>
    <mergeCell ref="B55:F55"/>
    <mergeCell ref="G55:I55"/>
    <mergeCell ref="J55:L55"/>
    <mergeCell ref="M55:N55"/>
    <mergeCell ref="O55:P55"/>
    <mergeCell ref="B56:F56"/>
    <mergeCell ref="G56:I56"/>
    <mergeCell ref="J56:L56"/>
    <mergeCell ref="M56:N56"/>
    <mergeCell ref="O56:P56"/>
    <mergeCell ref="B57:F57"/>
    <mergeCell ref="G57:I57"/>
    <mergeCell ref="J57:L57"/>
    <mergeCell ref="M57:N57"/>
    <mergeCell ref="O57:P57"/>
    <mergeCell ref="B58:F58"/>
    <mergeCell ref="G58:I58"/>
    <mergeCell ref="J58:L58"/>
    <mergeCell ref="M58:N58"/>
    <mergeCell ref="O58:P58"/>
    <mergeCell ref="B59:F59"/>
    <mergeCell ref="G59:I59"/>
    <mergeCell ref="J59:L59"/>
    <mergeCell ref="M59:N59"/>
    <mergeCell ref="O59:P59"/>
    <mergeCell ref="B60:F60"/>
    <mergeCell ref="G60:I60"/>
    <mergeCell ref="J60:L60"/>
    <mergeCell ref="M60:N60"/>
    <mergeCell ref="O60:P60"/>
    <mergeCell ref="B61:F61"/>
    <mergeCell ref="G61:I61"/>
    <mergeCell ref="J61:L61"/>
    <mergeCell ref="M61:N61"/>
    <mergeCell ref="O61:P61"/>
    <mergeCell ref="B62:F62"/>
    <mergeCell ref="G62:I62"/>
    <mergeCell ref="J62:L62"/>
    <mergeCell ref="M62:N62"/>
    <mergeCell ref="O62:P62"/>
    <mergeCell ref="B63:F63"/>
    <mergeCell ref="G63:I63"/>
    <mergeCell ref="J63:L63"/>
    <mergeCell ref="M63:N63"/>
    <mergeCell ref="O63:P63"/>
    <mergeCell ref="B64:F64"/>
    <mergeCell ref="G64:I64"/>
    <mergeCell ref="J64:L64"/>
    <mergeCell ref="M64:N64"/>
    <mergeCell ref="O64:P64"/>
    <mergeCell ref="B65:F65"/>
    <mergeCell ref="G65:I65"/>
    <mergeCell ref="J65:L65"/>
    <mergeCell ref="M65:N65"/>
    <mergeCell ref="O65:P65"/>
    <mergeCell ref="D71:P71"/>
    <mergeCell ref="A73:C73"/>
    <mergeCell ref="D73:P73"/>
    <mergeCell ref="D74:P74"/>
    <mergeCell ref="B66:F66"/>
    <mergeCell ref="G66:I66"/>
    <mergeCell ref="J66:L66"/>
    <mergeCell ref="M66:N66"/>
    <mergeCell ref="O66:P66"/>
    <mergeCell ref="A68:E68"/>
    <mergeCell ref="F68:P68"/>
    <mergeCell ref="A70:C70"/>
    <mergeCell ref="D70:P70"/>
  </mergeCells>
  <pageMargins left="0.4" right="0.4" top="0.75" bottom="0.75" header="0.3" footer="0.3"/>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142"/>
  <sheetViews>
    <sheetView showRuler="0" workbookViewId="0">
      <selection activeCell="F15" sqref="F15"/>
    </sheetView>
  </sheetViews>
  <sheetFormatPr defaultRowHeight="15" x14ac:dyDescent="0.25"/>
  <cols>
    <col min="1" max="1" width="6.42578125" style="520" customWidth="1"/>
    <col min="2" max="50" width="8" style="520" customWidth="1"/>
    <col min="51" max="16384" width="9.140625" style="519"/>
  </cols>
  <sheetData>
    <row r="1" spans="1:16" ht="27.2" customHeight="1" x14ac:dyDescent="0.25">
      <c r="A1" s="696" t="s">
        <v>1341</v>
      </c>
      <c r="B1" s="696"/>
      <c r="C1" s="696"/>
      <c r="D1" s="696"/>
      <c r="E1" s="697" t="s">
        <v>370</v>
      </c>
      <c r="F1" s="697"/>
      <c r="G1" s="697"/>
      <c r="H1" s="697"/>
      <c r="I1" s="697"/>
      <c r="J1" s="697"/>
      <c r="K1" s="697"/>
      <c r="L1" s="697"/>
      <c r="M1" s="697"/>
      <c r="N1" s="697"/>
      <c r="O1" s="697"/>
      <c r="P1" s="697"/>
    </row>
    <row r="2" spans="1:16" ht="15" customHeight="1" x14ac:dyDescent="0.25"/>
    <row r="3" spans="1:16" ht="15" customHeight="1" x14ac:dyDescent="0.25">
      <c r="A3" s="688" t="s">
        <v>637</v>
      </c>
      <c r="B3" s="688"/>
      <c r="C3" s="688"/>
      <c r="D3" s="688"/>
      <c r="E3" s="688"/>
      <c r="F3" s="688"/>
      <c r="G3" s="688"/>
      <c r="H3" s="688"/>
      <c r="I3" s="688"/>
      <c r="J3" s="688"/>
      <c r="K3" s="688"/>
      <c r="L3" s="688"/>
      <c r="M3" s="688"/>
      <c r="N3" s="688"/>
      <c r="O3" s="688"/>
      <c r="P3" s="688"/>
    </row>
    <row r="4" spans="1:16" ht="15" customHeight="1" x14ac:dyDescent="0.25">
      <c r="A4" s="698" t="s">
        <v>1340</v>
      </c>
      <c r="B4" s="698"/>
      <c r="C4" s="698"/>
      <c r="D4" s="698"/>
      <c r="E4" s="698"/>
      <c r="F4" s="698"/>
      <c r="G4" s="698"/>
      <c r="H4" s="698"/>
      <c r="I4" s="698"/>
      <c r="J4" s="698"/>
      <c r="K4" s="698"/>
      <c r="L4" s="698"/>
      <c r="M4" s="698"/>
      <c r="N4" s="698"/>
      <c r="O4" s="698"/>
      <c r="P4" s="698"/>
    </row>
    <row r="5" spans="1:16" ht="15" customHeight="1" x14ac:dyDescent="0.25"/>
    <row r="6" spans="1:16" ht="15" customHeight="1" x14ac:dyDescent="0.25">
      <c r="A6" s="688" t="s">
        <v>636</v>
      </c>
      <c r="B6" s="688"/>
      <c r="C6" s="688"/>
      <c r="D6" s="688"/>
      <c r="E6" s="688"/>
      <c r="F6" s="688"/>
      <c r="G6" s="688"/>
      <c r="H6" s="688"/>
      <c r="I6" s="688"/>
      <c r="J6" s="688"/>
      <c r="K6" s="688"/>
      <c r="L6" s="688"/>
      <c r="M6" s="688"/>
      <c r="N6" s="688"/>
      <c r="O6" s="688"/>
      <c r="P6" s="688"/>
    </row>
    <row r="7" spans="1:16" ht="15" customHeight="1" x14ac:dyDescent="0.25">
      <c r="A7" s="682" t="s">
        <v>368</v>
      </c>
      <c r="B7" s="682"/>
      <c r="C7" s="682"/>
      <c r="D7" s="682"/>
      <c r="E7" s="682"/>
      <c r="F7" s="682"/>
      <c r="G7" s="682"/>
      <c r="H7" s="682"/>
      <c r="I7" s="682"/>
      <c r="J7" s="682"/>
      <c r="K7" s="682"/>
      <c r="L7" s="682"/>
      <c r="M7" s="682"/>
      <c r="N7" s="682"/>
      <c r="O7" s="682"/>
      <c r="P7" s="682"/>
    </row>
    <row r="8" spans="1:16" ht="15" customHeight="1" x14ac:dyDescent="0.25"/>
    <row r="9" spans="1:16" ht="39" customHeight="1" x14ac:dyDescent="0.25">
      <c r="A9" s="688" t="s">
        <v>1431</v>
      </c>
      <c r="B9" s="688"/>
      <c r="C9" s="688"/>
      <c r="D9" s="688"/>
      <c r="E9" s="688"/>
      <c r="F9" s="688"/>
      <c r="G9" s="688"/>
      <c r="H9" s="688"/>
      <c r="I9" s="688"/>
      <c r="J9" s="688"/>
      <c r="K9" s="688"/>
      <c r="L9" s="688"/>
      <c r="M9" s="688"/>
      <c r="N9" s="688"/>
      <c r="O9" s="688"/>
      <c r="P9" s="688"/>
    </row>
    <row r="10" spans="1:16" ht="15" customHeight="1" x14ac:dyDescent="0.25">
      <c r="A10" s="682" t="s">
        <v>367</v>
      </c>
      <c r="B10" s="682"/>
      <c r="C10" s="682"/>
      <c r="D10" s="682"/>
      <c r="E10" s="682"/>
      <c r="F10" s="682"/>
      <c r="G10" s="682"/>
      <c r="H10" s="682"/>
      <c r="I10" s="682"/>
      <c r="J10" s="682"/>
      <c r="K10" s="682"/>
      <c r="L10" s="682"/>
      <c r="M10" s="682"/>
      <c r="N10" s="682"/>
      <c r="O10" s="682"/>
      <c r="P10" s="682"/>
    </row>
    <row r="11" spans="1:16" ht="15" customHeight="1" x14ac:dyDescent="0.25"/>
    <row r="12" spans="1:16" ht="15" customHeight="1" x14ac:dyDescent="0.25">
      <c r="A12" s="685" t="s">
        <v>635</v>
      </c>
      <c r="B12" s="685"/>
      <c r="C12" s="685"/>
      <c r="D12" s="685"/>
      <c r="E12" s="685"/>
      <c r="F12" s="685"/>
      <c r="G12" s="685"/>
      <c r="H12" s="685"/>
      <c r="I12" s="685"/>
      <c r="J12" s="685"/>
      <c r="K12" s="685"/>
      <c r="L12" s="685"/>
      <c r="M12" s="685"/>
      <c r="N12" s="685"/>
      <c r="O12" s="685"/>
      <c r="P12" s="685"/>
    </row>
    <row r="13" spans="1:16" ht="15" customHeight="1" x14ac:dyDescent="0.25"/>
    <row r="14" spans="1:16" ht="15" customHeight="1" x14ac:dyDescent="0.25">
      <c r="A14" s="685" t="s">
        <v>229</v>
      </c>
      <c r="B14" s="685"/>
      <c r="C14" s="685"/>
      <c r="D14" s="685"/>
      <c r="E14" s="685"/>
      <c r="F14" s="685"/>
      <c r="G14" s="685"/>
      <c r="H14" s="685"/>
      <c r="I14" s="685"/>
      <c r="J14" s="685"/>
      <c r="K14" s="685"/>
      <c r="L14" s="685"/>
      <c r="M14" s="685"/>
      <c r="N14" s="685"/>
      <c r="O14" s="685"/>
      <c r="P14" s="685"/>
    </row>
    <row r="15" spans="1:16" ht="15" customHeight="1" x14ac:dyDescent="0.25"/>
    <row r="16" spans="1:16" ht="122.45" customHeight="1" x14ac:dyDescent="0.25">
      <c r="A16" s="526" t="s">
        <v>228</v>
      </c>
      <c r="B16" s="695" t="s">
        <v>90</v>
      </c>
      <c r="C16" s="695"/>
      <c r="D16" s="695"/>
      <c r="E16" s="695"/>
      <c r="F16" s="695" t="s">
        <v>296</v>
      </c>
      <c r="G16" s="695"/>
      <c r="H16" s="695"/>
      <c r="I16" s="526" t="s">
        <v>634</v>
      </c>
      <c r="J16" s="526" t="s">
        <v>175</v>
      </c>
      <c r="K16" s="695" t="s">
        <v>226</v>
      </c>
      <c r="L16" s="695"/>
      <c r="M16" s="695"/>
      <c r="N16" s="695"/>
      <c r="O16" s="695" t="s">
        <v>366</v>
      </c>
      <c r="P16" s="695"/>
    </row>
    <row r="17" spans="1:16" ht="15" customHeight="1" x14ac:dyDescent="0.25">
      <c r="A17" s="526">
        <v>1</v>
      </c>
      <c r="B17" s="695">
        <v>2</v>
      </c>
      <c r="C17" s="695"/>
      <c r="D17" s="695"/>
      <c r="E17" s="695"/>
      <c r="F17" s="695">
        <v>3</v>
      </c>
      <c r="G17" s="695"/>
      <c r="H17" s="695"/>
      <c r="I17" s="526">
        <v>4</v>
      </c>
      <c r="J17" s="526">
        <v>5</v>
      </c>
      <c r="K17" s="695">
        <v>6</v>
      </c>
      <c r="L17" s="695"/>
      <c r="M17" s="695"/>
      <c r="N17" s="695"/>
      <c r="O17" s="695">
        <v>7</v>
      </c>
      <c r="P17" s="695"/>
    </row>
    <row r="18" spans="1:16" ht="15" customHeight="1" x14ac:dyDescent="0.25">
      <c r="A18" s="521"/>
      <c r="B18" s="683" t="s">
        <v>365</v>
      </c>
      <c r="C18" s="683"/>
      <c r="D18" s="683"/>
      <c r="E18" s="683"/>
      <c r="F18" s="683"/>
      <c r="G18" s="683"/>
      <c r="H18" s="683"/>
      <c r="I18" s="521"/>
      <c r="J18" s="521"/>
      <c r="K18" s="683"/>
      <c r="L18" s="683"/>
      <c r="M18" s="683"/>
      <c r="N18" s="683"/>
      <c r="O18" s="683"/>
      <c r="P18" s="683"/>
    </row>
    <row r="19" spans="1:16" ht="81.599999999999994" customHeight="1" x14ac:dyDescent="0.25">
      <c r="A19" s="525" t="s">
        <v>2</v>
      </c>
      <c r="B19" s="691" t="s">
        <v>1339</v>
      </c>
      <c r="C19" s="692"/>
      <c r="D19" s="692"/>
      <c r="E19" s="692"/>
      <c r="F19" s="692" t="s">
        <v>1338</v>
      </c>
      <c r="G19" s="692"/>
      <c r="H19" s="692"/>
      <c r="I19" s="524" t="s">
        <v>1337</v>
      </c>
      <c r="J19" s="524" t="s">
        <v>223</v>
      </c>
      <c r="K19" s="692" t="s">
        <v>1336</v>
      </c>
      <c r="L19" s="692"/>
      <c r="M19" s="692"/>
      <c r="N19" s="692"/>
      <c r="O19" s="693">
        <f>ROUND((21218 + 5015 * 15) * 1 * 1.25, 2)</f>
        <v>120553.75</v>
      </c>
      <c r="P19" s="692"/>
    </row>
    <row r="20" spans="1:16" ht="15" customHeight="1" x14ac:dyDescent="0.25">
      <c r="A20" s="523"/>
      <c r="B20" s="690" t="s">
        <v>204</v>
      </c>
      <c r="C20" s="690"/>
      <c r="D20" s="690"/>
      <c r="E20" s="690"/>
      <c r="F20" s="690" t="s">
        <v>199</v>
      </c>
      <c r="G20" s="690"/>
      <c r="H20" s="690"/>
      <c r="I20" s="523"/>
      <c r="J20" s="523"/>
      <c r="K20" s="690" t="s">
        <v>199</v>
      </c>
      <c r="L20" s="690"/>
      <c r="M20" s="690"/>
      <c r="N20" s="690"/>
      <c r="O20" s="690"/>
      <c r="P20" s="690"/>
    </row>
    <row r="21" spans="1:16" ht="54.4" customHeight="1" x14ac:dyDescent="0.25">
      <c r="A21" s="522"/>
      <c r="B21" s="689" t="s">
        <v>572</v>
      </c>
      <c r="C21" s="689"/>
      <c r="D21" s="689"/>
      <c r="E21" s="689"/>
      <c r="F21" s="689" t="s">
        <v>571</v>
      </c>
      <c r="G21" s="689"/>
      <c r="H21" s="689"/>
      <c r="I21" s="522"/>
      <c r="J21" s="522"/>
      <c r="K21" s="689" t="s">
        <v>199</v>
      </c>
      <c r="L21" s="689"/>
      <c r="M21" s="689"/>
      <c r="N21" s="689"/>
      <c r="O21" s="689"/>
      <c r="P21" s="689"/>
    </row>
    <row r="22" spans="1:16" ht="122.45" customHeight="1" x14ac:dyDescent="0.25">
      <c r="A22" s="525" t="s">
        <v>3</v>
      </c>
      <c r="B22" s="691" t="s">
        <v>633</v>
      </c>
      <c r="C22" s="692"/>
      <c r="D22" s="692"/>
      <c r="E22" s="692"/>
      <c r="F22" s="692" t="s">
        <v>1335</v>
      </c>
      <c r="G22" s="692"/>
      <c r="H22" s="692"/>
      <c r="I22" s="524" t="s">
        <v>591</v>
      </c>
      <c r="J22" s="524" t="s">
        <v>1334</v>
      </c>
      <c r="K22" s="692" t="s">
        <v>1333</v>
      </c>
      <c r="L22" s="692"/>
      <c r="M22" s="692"/>
      <c r="N22" s="692"/>
      <c r="O22" s="693">
        <f>ROUND(10254 * 188 * 1.25, 2)</f>
        <v>2409690</v>
      </c>
      <c r="P22" s="692"/>
    </row>
    <row r="23" spans="1:16" ht="15" customHeight="1" x14ac:dyDescent="0.25">
      <c r="A23" s="523"/>
      <c r="B23" s="690" t="s">
        <v>204</v>
      </c>
      <c r="C23" s="690"/>
      <c r="D23" s="690"/>
      <c r="E23" s="690"/>
      <c r="F23" s="690" t="s">
        <v>199</v>
      </c>
      <c r="G23" s="690"/>
      <c r="H23" s="690"/>
      <c r="I23" s="523"/>
      <c r="J23" s="523"/>
      <c r="K23" s="690" t="s">
        <v>199</v>
      </c>
      <c r="L23" s="690"/>
      <c r="M23" s="690"/>
      <c r="N23" s="690"/>
      <c r="O23" s="690"/>
      <c r="P23" s="690"/>
    </row>
    <row r="24" spans="1:16" ht="54.4" customHeight="1" x14ac:dyDescent="0.25">
      <c r="A24" s="522"/>
      <c r="B24" s="689" t="s">
        <v>572</v>
      </c>
      <c r="C24" s="689"/>
      <c r="D24" s="689"/>
      <c r="E24" s="689"/>
      <c r="F24" s="689" t="s">
        <v>571</v>
      </c>
      <c r="G24" s="689"/>
      <c r="H24" s="689"/>
      <c r="I24" s="522"/>
      <c r="J24" s="522"/>
      <c r="K24" s="689" t="s">
        <v>199</v>
      </c>
      <c r="L24" s="689"/>
      <c r="M24" s="689"/>
      <c r="N24" s="689"/>
      <c r="O24" s="689"/>
      <c r="P24" s="689"/>
    </row>
    <row r="25" spans="1:16" ht="135.94999999999999" customHeight="1" x14ac:dyDescent="0.25">
      <c r="A25" s="525" t="s">
        <v>24</v>
      </c>
      <c r="B25" s="691" t="s">
        <v>632</v>
      </c>
      <c r="C25" s="692"/>
      <c r="D25" s="692"/>
      <c r="E25" s="692"/>
      <c r="F25" s="692" t="s">
        <v>1332</v>
      </c>
      <c r="G25" s="692"/>
      <c r="H25" s="692"/>
      <c r="I25" s="524" t="s">
        <v>591</v>
      </c>
      <c r="J25" s="524" t="s">
        <v>1331</v>
      </c>
      <c r="K25" s="692" t="s">
        <v>1330</v>
      </c>
      <c r="L25" s="692"/>
      <c r="M25" s="692"/>
      <c r="N25" s="692"/>
      <c r="O25" s="693">
        <f>ROUND(29921 * 200 * 1.25, 2)</f>
        <v>7480250</v>
      </c>
      <c r="P25" s="692"/>
    </row>
    <row r="26" spans="1:16" ht="15" customHeight="1" x14ac:dyDescent="0.25">
      <c r="A26" s="523"/>
      <c r="B26" s="690" t="s">
        <v>204</v>
      </c>
      <c r="C26" s="690"/>
      <c r="D26" s="690"/>
      <c r="E26" s="690"/>
      <c r="F26" s="690" t="s">
        <v>199</v>
      </c>
      <c r="G26" s="690"/>
      <c r="H26" s="690"/>
      <c r="I26" s="523"/>
      <c r="J26" s="523"/>
      <c r="K26" s="690" t="s">
        <v>199</v>
      </c>
      <c r="L26" s="690"/>
      <c r="M26" s="690"/>
      <c r="N26" s="690"/>
      <c r="O26" s="690"/>
      <c r="P26" s="690"/>
    </row>
    <row r="27" spans="1:16" ht="54.4" customHeight="1" x14ac:dyDescent="0.25">
      <c r="A27" s="522"/>
      <c r="B27" s="689" t="s">
        <v>572</v>
      </c>
      <c r="C27" s="689"/>
      <c r="D27" s="689"/>
      <c r="E27" s="689"/>
      <c r="F27" s="689" t="s">
        <v>571</v>
      </c>
      <c r="G27" s="689"/>
      <c r="H27" s="689"/>
      <c r="I27" s="522"/>
      <c r="J27" s="522"/>
      <c r="K27" s="689" t="s">
        <v>199</v>
      </c>
      <c r="L27" s="689"/>
      <c r="M27" s="689"/>
      <c r="N27" s="689"/>
      <c r="O27" s="689"/>
      <c r="P27" s="689"/>
    </row>
    <row r="28" spans="1:16" ht="68.099999999999994" customHeight="1" x14ac:dyDescent="0.25">
      <c r="A28" s="525" t="s">
        <v>26</v>
      </c>
      <c r="B28" s="691" t="s">
        <v>630</v>
      </c>
      <c r="C28" s="692"/>
      <c r="D28" s="692"/>
      <c r="E28" s="692"/>
      <c r="F28" s="692" t="s">
        <v>1329</v>
      </c>
      <c r="G28" s="692"/>
      <c r="H28" s="692"/>
      <c r="I28" s="524" t="s">
        <v>591</v>
      </c>
      <c r="J28" s="524" t="s">
        <v>1328</v>
      </c>
      <c r="K28" s="692" t="s">
        <v>1327</v>
      </c>
      <c r="L28" s="692"/>
      <c r="M28" s="692"/>
      <c r="N28" s="692"/>
      <c r="O28" s="693">
        <f>ROUND(1536 * 310 * 1.25, 2)</f>
        <v>595200</v>
      </c>
      <c r="P28" s="692"/>
    </row>
    <row r="29" spans="1:16" ht="15" customHeight="1" x14ac:dyDescent="0.25">
      <c r="A29" s="523"/>
      <c r="B29" s="690" t="s">
        <v>204</v>
      </c>
      <c r="C29" s="690"/>
      <c r="D29" s="690"/>
      <c r="E29" s="690"/>
      <c r="F29" s="690" t="s">
        <v>199</v>
      </c>
      <c r="G29" s="690"/>
      <c r="H29" s="690"/>
      <c r="I29" s="523"/>
      <c r="J29" s="523"/>
      <c r="K29" s="690" t="s">
        <v>199</v>
      </c>
      <c r="L29" s="690"/>
      <c r="M29" s="690"/>
      <c r="N29" s="690"/>
      <c r="O29" s="690"/>
      <c r="P29" s="690"/>
    </row>
    <row r="30" spans="1:16" ht="54.4" customHeight="1" x14ac:dyDescent="0.25">
      <c r="A30" s="522"/>
      <c r="B30" s="689" t="s">
        <v>572</v>
      </c>
      <c r="C30" s="689"/>
      <c r="D30" s="689"/>
      <c r="E30" s="689"/>
      <c r="F30" s="689" t="s">
        <v>571</v>
      </c>
      <c r="G30" s="689"/>
      <c r="H30" s="689"/>
      <c r="I30" s="522"/>
      <c r="J30" s="522"/>
      <c r="K30" s="689" t="s">
        <v>199</v>
      </c>
      <c r="L30" s="689"/>
      <c r="M30" s="689"/>
      <c r="N30" s="689"/>
      <c r="O30" s="689"/>
      <c r="P30" s="689"/>
    </row>
    <row r="31" spans="1:16" ht="68.099999999999994" customHeight="1" x14ac:dyDescent="0.25">
      <c r="A31" s="525" t="s">
        <v>28</v>
      </c>
      <c r="B31" s="691" t="s">
        <v>628</v>
      </c>
      <c r="C31" s="692"/>
      <c r="D31" s="692"/>
      <c r="E31" s="692"/>
      <c r="F31" s="692" t="s">
        <v>1326</v>
      </c>
      <c r="G31" s="692"/>
      <c r="H31" s="692"/>
      <c r="I31" s="524" t="s">
        <v>589</v>
      </c>
      <c r="J31" s="524" t="s">
        <v>207</v>
      </c>
      <c r="K31" s="692" t="s">
        <v>1325</v>
      </c>
      <c r="L31" s="692"/>
      <c r="M31" s="692"/>
      <c r="N31" s="692"/>
      <c r="O31" s="693">
        <f>ROUND(9005 * 5 * 1.25, 2)</f>
        <v>56281.25</v>
      </c>
      <c r="P31" s="692"/>
    </row>
    <row r="32" spans="1:16" ht="15" customHeight="1" x14ac:dyDescent="0.25">
      <c r="A32" s="523"/>
      <c r="B32" s="690" t="s">
        <v>204</v>
      </c>
      <c r="C32" s="690"/>
      <c r="D32" s="690"/>
      <c r="E32" s="690"/>
      <c r="F32" s="690" t="s">
        <v>199</v>
      </c>
      <c r="G32" s="690"/>
      <c r="H32" s="690"/>
      <c r="I32" s="523"/>
      <c r="J32" s="523"/>
      <c r="K32" s="690" t="s">
        <v>199</v>
      </c>
      <c r="L32" s="690"/>
      <c r="M32" s="690"/>
      <c r="N32" s="690"/>
      <c r="O32" s="690"/>
      <c r="P32" s="690"/>
    </row>
    <row r="33" spans="1:16" ht="54.4" customHeight="1" x14ac:dyDescent="0.25">
      <c r="A33" s="522"/>
      <c r="B33" s="689" t="s">
        <v>572</v>
      </c>
      <c r="C33" s="689"/>
      <c r="D33" s="689"/>
      <c r="E33" s="689"/>
      <c r="F33" s="689" t="s">
        <v>571</v>
      </c>
      <c r="G33" s="689"/>
      <c r="H33" s="689"/>
      <c r="I33" s="522"/>
      <c r="J33" s="522"/>
      <c r="K33" s="689" t="s">
        <v>199</v>
      </c>
      <c r="L33" s="689"/>
      <c r="M33" s="689"/>
      <c r="N33" s="689"/>
      <c r="O33" s="689"/>
      <c r="P33" s="689"/>
    </row>
    <row r="34" spans="1:16" ht="15" customHeight="1" x14ac:dyDescent="0.25">
      <c r="A34" s="521"/>
      <c r="B34" s="683" t="s">
        <v>356</v>
      </c>
      <c r="C34" s="683"/>
      <c r="D34" s="683"/>
      <c r="E34" s="683"/>
      <c r="F34" s="683"/>
      <c r="G34" s="683"/>
      <c r="H34" s="683"/>
      <c r="I34" s="521"/>
      <c r="J34" s="521"/>
      <c r="K34" s="683" t="s">
        <v>199</v>
      </c>
      <c r="L34" s="683"/>
      <c r="M34" s="683"/>
      <c r="N34" s="683"/>
      <c r="O34" s="684">
        <f>ROUND(SUM($O$19:$O$31),2)</f>
        <v>10661975</v>
      </c>
      <c r="P34" s="683"/>
    </row>
    <row r="35" spans="1:16" ht="15" customHeight="1" x14ac:dyDescent="0.25">
      <c r="A35" s="521"/>
      <c r="B35" s="683" t="s">
        <v>355</v>
      </c>
      <c r="C35" s="683"/>
      <c r="D35" s="683"/>
      <c r="E35" s="683"/>
      <c r="F35" s="683"/>
      <c r="G35" s="683"/>
      <c r="H35" s="683"/>
      <c r="I35" s="521"/>
      <c r="J35" s="521"/>
      <c r="K35" s="683" t="s">
        <v>199</v>
      </c>
      <c r="L35" s="683"/>
      <c r="M35" s="683"/>
      <c r="N35" s="683"/>
      <c r="O35" s="684">
        <f>ROUND(($O$34),2)</f>
        <v>10661975</v>
      </c>
      <c r="P35" s="683"/>
    </row>
    <row r="36" spans="1:16" ht="15" customHeight="1" x14ac:dyDescent="0.25">
      <c r="A36" s="521"/>
      <c r="B36" s="683" t="s">
        <v>627</v>
      </c>
      <c r="C36" s="683"/>
      <c r="D36" s="683"/>
      <c r="E36" s="683"/>
      <c r="F36" s="683"/>
      <c r="G36" s="683"/>
      <c r="H36" s="683"/>
      <c r="I36" s="521"/>
      <c r="J36" s="521"/>
      <c r="K36" s="683"/>
      <c r="L36" s="683"/>
      <c r="M36" s="683"/>
      <c r="N36" s="683"/>
      <c r="O36" s="683"/>
      <c r="P36" s="683"/>
    </row>
    <row r="37" spans="1:16" ht="15" customHeight="1" x14ac:dyDescent="0.25">
      <c r="A37" s="694" t="s">
        <v>626</v>
      </c>
      <c r="B37" s="694"/>
      <c r="C37" s="694"/>
      <c r="D37" s="694"/>
      <c r="E37" s="694"/>
      <c r="F37" s="694"/>
      <c r="G37" s="694"/>
      <c r="H37" s="694"/>
      <c r="I37" s="694"/>
      <c r="J37" s="694"/>
      <c r="K37" s="694"/>
      <c r="L37" s="694"/>
      <c r="M37" s="694"/>
      <c r="N37" s="694"/>
      <c r="O37" s="694"/>
      <c r="P37" s="694"/>
    </row>
    <row r="38" spans="1:16" ht="68.099999999999994" customHeight="1" x14ac:dyDescent="0.25">
      <c r="A38" s="525" t="s">
        <v>5</v>
      </c>
      <c r="B38" s="691" t="s">
        <v>613</v>
      </c>
      <c r="C38" s="692"/>
      <c r="D38" s="692"/>
      <c r="E38" s="692"/>
      <c r="F38" s="692" t="s">
        <v>1324</v>
      </c>
      <c r="G38" s="692"/>
      <c r="H38" s="692"/>
      <c r="I38" s="524" t="s">
        <v>608</v>
      </c>
      <c r="J38" s="524" t="s">
        <v>587</v>
      </c>
      <c r="K38" s="692" t="s">
        <v>625</v>
      </c>
      <c r="L38" s="692"/>
      <c r="M38" s="692"/>
      <c r="N38" s="692"/>
      <c r="O38" s="693">
        <f>ROUND(459 * 20 * 1.25, 2)</f>
        <v>11475</v>
      </c>
      <c r="P38" s="692"/>
    </row>
    <row r="39" spans="1:16" ht="15" customHeight="1" x14ac:dyDescent="0.25">
      <c r="A39" s="523"/>
      <c r="B39" s="690" t="s">
        <v>204</v>
      </c>
      <c r="C39" s="690"/>
      <c r="D39" s="690"/>
      <c r="E39" s="690"/>
      <c r="F39" s="690" t="s">
        <v>199</v>
      </c>
      <c r="G39" s="690"/>
      <c r="H39" s="690"/>
      <c r="I39" s="523"/>
      <c r="J39" s="523"/>
      <c r="K39" s="690" t="s">
        <v>199</v>
      </c>
      <c r="L39" s="690"/>
      <c r="M39" s="690"/>
      <c r="N39" s="690"/>
      <c r="O39" s="690"/>
      <c r="P39" s="690"/>
    </row>
    <row r="40" spans="1:16" ht="54.4" customHeight="1" x14ac:dyDescent="0.25">
      <c r="A40" s="522"/>
      <c r="B40" s="689" t="s">
        <v>572</v>
      </c>
      <c r="C40" s="689"/>
      <c r="D40" s="689"/>
      <c r="E40" s="689"/>
      <c r="F40" s="689" t="s">
        <v>571</v>
      </c>
      <c r="G40" s="689"/>
      <c r="H40" s="689"/>
      <c r="I40" s="522"/>
      <c r="J40" s="522"/>
      <c r="K40" s="689" t="s">
        <v>199</v>
      </c>
      <c r="L40" s="689"/>
      <c r="M40" s="689"/>
      <c r="N40" s="689"/>
      <c r="O40" s="689"/>
      <c r="P40" s="689"/>
    </row>
    <row r="41" spans="1:16" ht="68.099999999999994" customHeight="1" x14ac:dyDescent="0.25">
      <c r="A41" s="525" t="s">
        <v>6</v>
      </c>
      <c r="B41" s="691" t="s">
        <v>611</v>
      </c>
      <c r="C41" s="692"/>
      <c r="D41" s="692"/>
      <c r="E41" s="692"/>
      <c r="F41" s="692" t="s">
        <v>1323</v>
      </c>
      <c r="G41" s="692"/>
      <c r="H41" s="692"/>
      <c r="I41" s="524" t="s">
        <v>608</v>
      </c>
      <c r="J41" s="524" t="s">
        <v>587</v>
      </c>
      <c r="K41" s="692" t="s">
        <v>624</v>
      </c>
      <c r="L41" s="692"/>
      <c r="M41" s="692"/>
      <c r="N41" s="692"/>
      <c r="O41" s="693">
        <f>ROUND(335 * 20 * 1.25, 2)</f>
        <v>8375</v>
      </c>
      <c r="P41" s="692"/>
    </row>
    <row r="42" spans="1:16" ht="15" customHeight="1" x14ac:dyDescent="0.25">
      <c r="A42" s="523"/>
      <c r="B42" s="690" t="s">
        <v>204</v>
      </c>
      <c r="C42" s="690"/>
      <c r="D42" s="690"/>
      <c r="E42" s="690"/>
      <c r="F42" s="690" t="s">
        <v>199</v>
      </c>
      <c r="G42" s="690"/>
      <c r="H42" s="690"/>
      <c r="I42" s="523"/>
      <c r="J42" s="523"/>
      <c r="K42" s="690" t="s">
        <v>199</v>
      </c>
      <c r="L42" s="690"/>
      <c r="M42" s="690"/>
      <c r="N42" s="690"/>
      <c r="O42" s="690"/>
      <c r="P42" s="690"/>
    </row>
    <row r="43" spans="1:16" ht="54.4" customHeight="1" x14ac:dyDescent="0.25">
      <c r="A43" s="522"/>
      <c r="B43" s="689" t="s">
        <v>572</v>
      </c>
      <c r="C43" s="689"/>
      <c r="D43" s="689"/>
      <c r="E43" s="689"/>
      <c r="F43" s="689" t="s">
        <v>571</v>
      </c>
      <c r="G43" s="689"/>
      <c r="H43" s="689"/>
      <c r="I43" s="522"/>
      <c r="J43" s="522"/>
      <c r="K43" s="689" t="s">
        <v>199</v>
      </c>
      <c r="L43" s="689"/>
      <c r="M43" s="689"/>
      <c r="N43" s="689"/>
      <c r="O43" s="689"/>
      <c r="P43" s="689"/>
    </row>
    <row r="44" spans="1:16" ht="68.099999999999994" customHeight="1" x14ac:dyDescent="0.25">
      <c r="A44" s="525" t="s">
        <v>221</v>
      </c>
      <c r="B44" s="691" t="s">
        <v>609</v>
      </c>
      <c r="C44" s="692"/>
      <c r="D44" s="692"/>
      <c r="E44" s="692"/>
      <c r="F44" s="692" t="s">
        <v>1322</v>
      </c>
      <c r="G44" s="692"/>
      <c r="H44" s="692"/>
      <c r="I44" s="524" t="s">
        <v>608</v>
      </c>
      <c r="J44" s="524" t="s">
        <v>587</v>
      </c>
      <c r="K44" s="692" t="s">
        <v>623</v>
      </c>
      <c r="L44" s="692"/>
      <c r="M44" s="692"/>
      <c r="N44" s="692"/>
      <c r="O44" s="693">
        <f>ROUND(141 * 20 * 1.25, 2)</f>
        <v>3525</v>
      </c>
      <c r="P44" s="692"/>
    </row>
    <row r="45" spans="1:16" ht="15" customHeight="1" x14ac:dyDescent="0.25">
      <c r="A45" s="523"/>
      <c r="B45" s="690" t="s">
        <v>204</v>
      </c>
      <c r="C45" s="690"/>
      <c r="D45" s="690"/>
      <c r="E45" s="690"/>
      <c r="F45" s="690" t="s">
        <v>199</v>
      </c>
      <c r="G45" s="690"/>
      <c r="H45" s="690"/>
      <c r="I45" s="523"/>
      <c r="J45" s="523"/>
      <c r="K45" s="690" t="s">
        <v>199</v>
      </c>
      <c r="L45" s="690"/>
      <c r="M45" s="690"/>
      <c r="N45" s="690"/>
      <c r="O45" s="690"/>
      <c r="P45" s="690"/>
    </row>
    <row r="46" spans="1:16" ht="54.4" customHeight="1" x14ac:dyDescent="0.25">
      <c r="A46" s="522"/>
      <c r="B46" s="689" t="s">
        <v>572</v>
      </c>
      <c r="C46" s="689"/>
      <c r="D46" s="689"/>
      <c r="E46" s="689"/>
      <c r="F46" s="689" t="s">
        <v>571</v>
      </c>
      <c r="G46" s="689"/>
      <c r="H46" s="689"/>
      <c r="I46" s="522"/>
      <c r="J46" s="522"/>
      <c r="K46" s="689" t="s">
        <v>199</v>
      </c>
      <c r="L46" s="689"/>
      <c r="M46" s="689"/>
      <c r="N46" s="689"/>
      <c r="O46" s="689"/>
      <c r="P46" s="689"/>
    </row>
    <row r="47" spans="1:16" ht="122.45" customHeight="1" x14ac:dyDescent="0.25">
      <c r="A47" s="525" t="s">
        <v>220</v>
      </c>
      <c r="B47" s="691" t="s">
        <v>605</v>
      </c>
      <c r="C47" s="692"/>
      <c r="D47" s="692"/>
      <c r="E47" s="692"/>
      <c r="F47" s="692" t="s">
        <v>1312</v>
      </c>
      <c r="G47" s="692"/>
      <c r="H47" s="692"/>
      <c r="I47" s="524" t="s">
        <v>594</v>
      </c>
      <c r="J47" s="524" t="s">
        <v>587</v>
      </c>
      <c r="K47" s="692" t="s">
        <v>622</v>
      </c>
      <c r="L47" s="692"/>
      <c r="M47" s="692"/>
      <c r="N47" s="692"/>
      <c r="O47" s="693">
        <f>ROUND(229 * 20 * 1.25, 2)</f>
        <v>5725</v>
      </c>
      <c r="P47" s="692"/>
    </row>
    <row r="48" spans="1:16" ht="15" customHeight="1" x14ac:dyDescent="0.25">
      <c r="A48" s="523"/>
      <c r="B48" s="690" t="s">
        <v>204</v>
      </c>
      <c r="C48" s="690"/>
      <c r="D48" s="690"/>
      <c r="E48" s="690"/>
      <c r="F48" s="690" t="s">
        <v>199</v>
      </c>
      <c r="G48" s="690"/>
      <c r="H48" s="690"/>
      <c r="I48" s="523"/>
      <c r="J48" s="523"/>
      <c r="K48" s="690" t="s">
        <v>199</v>
      </c>
      <c r="L48" s="690"/>
      <c r="M48" s="690"/>
      <c r="N48" s="690"/>
      <c r="O48" s="690"/>
      <c r="P48" s="690"/>
    </row>
    <row r="49" spans="1:16" ht="54.4" customHeight="1" x14ac:dyDescent="0.25">
      <c r="A49" s="522"/>
      <c r="B49" s="689" t="s">
        <v>572</v>
      </c>
      <c r="C49" s="689"/>
      <c r="D49" s="689"/>
      <c r="E49" s="689"/>
      <c r="F49" s="689" t="s">
        <v>571</v>
      </c>
      <c r="G49" s="689"/>
      <c r="H49" s="689"/>
      <c r="I49" s="522"/>
      <c r="J49" s="522"/>
      <c r="K49" s="689" t="s">
        <v>199</v>
      </c>
      <c r="L49" s="689"/>
      <c r="M49" s="689"/>
      <c r="N49" s="689"/>
      <c r="O49" s="689"/>
      <c r="P49" s="689"/>
    </row>
    <row r="50" spans="1:16" ht="81.599999999999994" customHeight="1" x14ac:dyDescent="0.25">
      <c r="A50" s="525" t="s">
        <v>219</v>
      </c>
      <c r="B50" s="691" t="s">
        <v>621</v>
      </c>
      <c r="C50" s="692"/>
      <c r="D50" s="692"/>
      <c r="E50" s="692"/>
      <c r="F50" s="692" t="s">
        <v>1321</v>
      </c>
      <c r="G50" s="692"/>
      <c r="H50" s="692"/>
      <c r="I50" s="524" t="s">
        <v>594</v>
      </c>
      <c r="J50" s="524" t="s">
        <v>587</v>
      </c>
      <c r="K50" s="692" t="s">
        <v>620</v>
      </c>
      <c r="L50" s="692"/>
      <c r="M50" s="692"/>
      <c r="N50" s="692"/>
      <c r="O50" s="693">
        <f>ROUND(512 * 20 * 1.25, 2)</f>
        <v>12800</v>
      </c>
      <c r="P50" s="692"/>
    </row>
    <row r="51" spans="1:16" x14ac:dyDescent="0.25">
      <c r="A51" s="523"/>
      <c r="B51" s="690" t="s">
        <v>204</v>
      </c>
      <c r="C51" s="690"/>
      <c r="D51" s="690"/>
      <c r="E51" s="690"/>
      <c r="F51" s="690" t="s">
        <v>199</v>
      </c>
      <c r="G51" s="690"/>
      <c r="H51" s="690"/>
      <c r="I51" s="523"/>
      <c r="J51" s="523"/>
      <c r="K51" s="690" t="s">
        <v>199</v>
      </c>
      <c r="L51" s="690"/>
      <c r="M51" s="690"/>
      <c r="N51" s="690"/>
      <c r="O51" s="690"/>
      <c r="P51" s="690"/>
    </row>
    <row r="52" spans="1:16" ht="54.4" customHeight="1" x14ac:dyDescent="0.25">
      <c r="A52" s="522"/>
      <c r="B52" s="689" t="s">
        <v>572</v>
      </c>
      <c r="C52" s="689"/>
      <c r="D52" s="689"/>
      <c r="E52" s="689"/>
      <c r="F52" s="689" t="s">
        <v>571</v>
      </c>
      <c r="G52" s="689"/>
      <c r="H52" s="689"/>
      <c r="I52" s="522"/>
      <c r="J52" s="522"/>
      <c r="K52" s="689" t="s">
        <v>199</v>
      </c>
      <c r="L52" s="689"/>
      <c r="M52" s="689"/>
      <c r="N52" s="689"/>
      <c r="O52" s="689"/>
      <c r="P52" s="689"/>
    </row>
    <row r="53" spans="1:16" ht="122.45" customHeight="1" x14ac:dyDescent="0.25">
      <c r="A53" s="525" t="s">
        <v>275</v>
      </c>
      <c r="B53" s="691" t="s">
        <v>601</v>
      </c>
      <c r="C53" s="692"/>
      <c r="D53" s="692"/>
      <c r="E53" s="692"/>
      <c r="F53" s="692" t="s">
        <v>1309</v>
      </c>
      <c r="G53" s="692"/>
      <c r="H53" s="692"/>
      <c r="I53" s="524" t="s">
        <v>594</v>
      </c>
      <c r="J53" s="524" t="s">
        <v>587</v>
      </c>
      <c r="K53" s="692" t="s">
        <v>619</v>
      </c>
      <c r="L53" s="692"/>
      <c r="M53" s="692"/>
      <c r="N53" s="692"/>
      <c r="O53" s="693">
        <f>ROUND(600 * 20 * 1.25, 2)</f>
        <v>15000</v>
      </c>
      <c r="P53" s="692"/>
    </row>
    <row r="54" spans="1:16" x14ac:dyDescent="0.25">
      <c r="A54" s="523"/>
      <c r="B54" s="690" t="s">
        <v>204</v>
      </c>
      <c r="C54" s="690"/>
      <c r="D54" s="690"/>
      <c r="E54" s="690"/>
      <c r="F54" s="690" t="s">
        <v>199</v>
      </c>
      <c r="G54" s="690"/>
      <c r="H54" s="690"/>
      <c r="I54" s="523"/>
      <c r="J54" s="523"/>
      <c r="K54" s="690" t="s">
        <v>199</v>
      </c>
      <c r="L54" s="690"/>
      <c r="M54" s="690"/>
      <c r="N54" s="690"/>
      <c r="O54" s="690"/>
      <c r="P54" s="690"/>
    </row>
    <row r="55" spans="1:16" ht="54.4" customHeight="1" x14ac:dyDescent="0.25">
      <c r="A55" s="522"/>
      <c r="B55" s="689" t="s">
        <v>572</v>
      </c>
      <c r="C55" s="689"/>
      <c r="D55" s="689"/>
      <c r="E55" s="689"/>
      <c r="F55" s="689" t="s">
        <v>571</v>
      </c>
      <c r="G55" s="689"/>
      <c r="H55" s="689"/>
      <c r="I55" s="522"/>
      <c r="J55" s="522"/>
      <c r="K55" s="689" t="s">
        <v>199</v>
      </c>
      <c r="L55" s="689"/>
      <c r="M55" s="689"/>
      <c r="N55" s="689"/>
      <c r="O55" s="689"/>
      <c r="P55" s="689"/>
    </row>
    <row r="56" spans="1:16" ht="258.39999999999998" customHeight="1" x14ac:dyDescent="0.25">
      <c r="A56" s="525" t="s">
        <v>270</v>
      </c>
      <c r="B56" s="691" t="s">
        <v>618</v>
      </c>
      <c r="C56" s="692"/>
      <c r="D56" s="692"/>
      <c r="E56" s="692"/>
      <c r="F56" s="692" t="s">
        <v>1320</v>
      </c>
      <c r="G56" s="692"/>
      <c r="H56" s="692"/>
      <c r="I56" s="524" t="s">
        <v>594</v>
      </c>
      <c r="J56" s="524" t="s">
        <v>587</v>
      </c>
      <c r="K56" s="692" t="s">
        <v>617</v>
      </c>
      <c r="L56" s="692"/>
      <c r="M56" s="692"/>
      <c r="N56" s="692"/>
      <c r="O56" s="693">
        <f>ROUND(1835 * 20 * 1.25, 2)</f>
        <v>45875</v>
      </c>
      <c r="P56" s="692"/>
    </row>
    <row r="57" spans="1:16" x14ac:dyDescent="0.25">
      <c r="A57" s="523"/>
      <c r="B57" s="690" t="s">
        <v>204</v>
      </c>
      <c r="C57" s="690"/>
      <c r="D57" s="690"/>
      <c r="E57" s="690"/>
      <c r="F57" s="690" t="s">
        <v>199</v>
      </c>
      <c r="G57" s="690"/>
      <c r="H57" s="690"/>
      <c r="I57" s="523"/>
      <c r="J57" s="523"/>
      <c r="K57" s="690" t="s">
        <v>199</v>
      </c>
      <c r="L57" s="690"/>
      <c r="M57" s="690"/>
      <c r="N57" s="690"/>
      <c r="O57" s="690"/>
      <c r="P57" s="690"/>
    </row>
    <row r="58" spans="1:16" ht="54.4" customHeight="1" x14ac:dyDescent="0.25">
      <c r="A58" s="522"/>
      <c r="B58" s="689" t="s">
        <v>572</v>
      </c>
      <c r="C58" s="689"/>
      <c r="D58" s="689"/>
      <c r="E58" s="689"/>
      <c r="F58" s="689" t="s">
        <v>571</v>
      </c>
      <c r="G58" s="689"/>
      <c r="H58" s="689"/>
      <c r="I58" s="522"/>
      <c r="J58" s="522"/>
      <c r="K58" s="689" t="s">
        <v>199</v>
      </c>
      <c r="L58" s="689"/>
      <c r="M58" s="689"/>
      <c r="N58" s="689"/>
      <c r="O58" s="689"/>
      <c r="P58" s="689"/>
    </row>
    <row r="59" spans="1:16" ht="231.2" customHeight="1" x14ac:dyDescent="0.25">
      <c r="A59" s="525" t="s">
        <v>265</v>
      </c>
      <c r="B59" s="691" t="s">
        <v>1319</v>
      </c>
      <c r="C59" s="692"/>
      <c r="D59" s="692"/>
      <c r="E59" s="692"/>
      <c r="F59" s="692" t="s">
        <v>1318</v>
      </c>
      <c r="G59" s="692"/>
      <c r="H59" s="692"/>
      <c r="I59" s="524" t="s">
        <v>594</v>
      </c>
      <c r="J59" s="524" t="s">
        <v>587</v>
      </c>
      <c r="K59" s="692" t="s">
        <v>1317</v>
      </c>
      <c r="L59" s="692"/>
      <c r="M59" s="692"/>
      <c r="N59" s="692"/>
      <c r="O59" s="693">
        <f>ROUND(1852 * 20 * 1.25, 2)</f>
        <v>46300</v>
      </c>
      <c r="P59" s="692"/>
    </row>
    <row r="60" spans="1:16" x14ac:dyDescent="0.25">
      <c r="A60" s="523"/>
      <c r="B60" s="690" t="s">
        <v>204</v>
      </c>
      <c r="C60" s="690"/>
      <c r="D60" s="690"/>
      <c r="E60" s="690"/>
      <c r="F60" s="690" t="s">
        <v>199</v>
      </c>
      <c r="G60" s="690"/>
      <c r="H60" s="690"/>
      <c r="I60" s="523"/>
      <c r="J60" s="523"/>
      <c r="K60" s="690" t="s">
        <v>199</v>
      </c>
      <c r="L60" s="690"/>
      <c r="M60" s="690"/>
      <c r="N60" s="690"/>
      <c r="O60" s="690"/>
      <c r="P60" s="690"/>
    </row>
    <row r="61" spans="1:16" ht="54.4" customHeight="1" x14ac:dyDescent="0.25">
      <c r="A61" s="522"/>
      <c r="B61" s="689" t="s">
        <v>572</v>
      </c>
      <c r="C61" s="689"/>
      <c r="D61" s="689"/>
      <c r="E61" s="689"/>
      <c r="F61" s="689" t="s">
        <v>571</v>
      </c>
      <c r="G61" s="689"/>
      <c r="H61" s="689"/>
      <c r="I61" s="522"/>
      <c r="J61" s="522"/>
      <c r="K61" s="689" t="s">
        <v>199</v>
      </c>
      <c r="L61" s="689"/>
      <c r="M61" s="689"/>
      <c r="N61" s="689"/>
      <c r="O61" s="689"/>
      <c r="P61" s="689"/>
    </row>
    <row r="62" spans="1:16" ht="81.599999999999994" customHeight="1" x14ac:dyDescent="0.25">
      <c r="A62" s="525" t="s">
        <v>259</v>
      </c>
      <c r="B62" s="691" t="s">
        <v>616</v>
      </c>
      <c r="C62" s="692"/>
      <c r="D62" s="692"/>
      <c r="E62" s="692"/>
      <c r="F62" s="692" t="s">
        <v>1316</v>
      </c>
      <c r="G62" s="692"/>
      <c r="H62" s="692"/>
      <c r="I62" s="524" t="s">
        <v>594</v>
      </c>
      <c r="J62" s="524" t="s">
        <v>584</v>
      </c>
      <c r="K62" s="692" t="s">
        <v>615</v>
      </c>
      <c r="L62" s="692"/>
      <c r="M62" s="692"/>
      <c r="N62" s="692"/>
      <c r="O62" s="693">
        <f>ROUND(13689 * 10 * 1.25, 2)</f>
        <v>171112.5</v>
      </c>
      <c r="P62" s="692"/>
    </row>
    <row r="63" spans="1:16" x14ac:dyDescent="0.25">
      <c r="A63" s="523"/>
      <c r="B63" s="690" t="s">
        <v>204</v>
      </c>
      <c r="C63" s="690"/>
      <c r="D63" s="690"/>
      <c r="E63" s="690"/>
      <c r="F63" s="690" t="s">
        <v>199</v>
      </c>
      <c r="G63" s="690"/>
      <c r="H63" s="690"/>
      <c r="I63" s="523"/>
      <c r="J63" s="523"/>
      <c r="K63" s="690" t="s">
        <v>199</v>
      </c>
      <c r="L63" s="690"/>
      <c r="M63" s="690"/>
      <c r="N63" s="690"/>
      <c r="O63" s="690"/>
      <c r="P63" s="690"/>
    </row>
    <row r="64" spans="1:16" ht="54.4" customHeight="1" x14ac:dyDescent="0.25">
      <c r="A64" s="522"/>
      <c r="B64" s="689" t="s">
        <v>572</v>
      </c>
      <c r="C64" s="689"/>
      <c r="D64" s="689"/>
      <c r="E64" s="689"/>
      <c r="F64" s="689" t="s">
        <v>571</v>
      </c>
      <c r="G64" s="689"/>
      <c r="H64" s="689"/>
      <c r="I64" s="522"/>
      <c r="J64" s="522"/>
      <c r="K64" s="689" t="s">
        <v>199</v>
      </c>
      <c r="L64" s="689"/>
      <c r="M64" s="689"/>
      <c r="N64" s="689"/>
      <c r="O64" s="689"/>
      <c r="P64" s="689"/>
    </row>
    <row r="65" spans="1:16" x14ac:dyDescent="0.25">
      <c r="A65" s="694" t="s">
        <v>614</v>
      </c>
      <c r="B65" s="694"/>
      <c r="C65" s="694"/>
      <c r="D65" s="694"/>
      <c r="E65" s="694"/>
      <c r="F65" s="694"/>
      <c r="G65" s="694"/>
      <c r="H65" s="694"/>
      <c r="I65" s="694"/>
      <c r="J65" s="694"/>
      <c r="K65" s="694"/>
      <c r="L65" s="694"/>
      <c r="M65" s="694"/>
      <c r="N65" s="694"/>
      <c r="O65" s="694"/>
      <c r="P65" s="694"/>
    </row>
    <row r="66" spans="1:16" ht="68.099999999999994" customHeight="1" x14ac:dyDescent="0.25">
      <c r="A66" s="525" t="s">
        <v>255</v>
      </c>
      <c r="B66" s="691" t="s">
        <v>613</v>
      </c>
      <c r="C66" s="692"/>
      <c r="D66" s="692"/>
      <c r="E66" s="692"/>
      <c r="F66" s="692" t="s">
        <v>1315</v>
      </c>
      <c r="G66" s="692"/>
      <c r="H66" s="692"/>
      <c r="I66" s="524" t="s">
        <v>608</v>
      </c>
      <c r="J66" s="524" t="s">
        <v>584</v>
      </c>
      <c r="K66" s="692" t="s">
        <v>612</v>
      </c>
      <c r="L66" s="692"/>
      <c r="M66" s="692"/>
      <c r="N66" s="692"/>
      <c r="O66" s="693">
        <f>ROUND(459 * 10 * 1.25, 2)</f>
        <v>5737.5</v>
      </c>
      <c r="P66" s="692"/>
    </row>
    <row r="67" spans="1:16" x14ac:dyDescent="0.25">
      <c r="A67" s="523"/>
      <c r="B67" s="690" t="s">
        <v>204</v>
      </c>
      <c r="C67" s="690"/>
      <c r="D67" s="690"/>
      <c r="E67" s="690"/>
      <c r="F67" s="690" t="s">
        <v>199</v>
      </c>
      <c r="G67" s="690"/>
      <c r="H67" s="690"/>
      <c r="I67" s="523"/>
      <c r="J67" s="523"/>
      <c r="K67" s="690" t="s">
        <v>199</v>
      </c>
      <c r="L67" s="690"/>
      <c r="M67" s="690"/>
      <c r="N67" s="690"/>
      <c r="O67" s="690"/>
      <c r="P67" s="690"/>
    </row>
    <row r="68" spans="1:16" ht="54.4" customHeight="1" x14ac:dyDescent="0.25">
      <c r="A68" s="522"/>
      <c r="B68" s="689" t="s">
        <v>572</v>
      </c>
      <c r="C68" s="689"/>
      <c r="D68" s="689"/>
      <c r="E68" s="689"/>
      <c r="F68" s="689" t="s">
        <v>571</v>
      </c>
      <c r="G68" s="689"/>
      <c r="H68" s="689"/>
      <c r="I68" s="522"/>
      <c r="J68" s="522"/>
      <c r="K68" s="689" t="s">
        <v>199</v>
      </c>
      <c r="L68" s="689"/>
      <c r="M68" s="689"/>
      <c r="N68" s="689"/>
      <c r="O68" s="689"/>
      <c r="P68" s="689"/>
    </row>
    <row r="69" spans="1:16" ht="68.099999999999994" customHeight="1" x14ac:dyDescent="0.25">
      <c r="A69" s="525" t="s">
        <v>253</v>
      </c>
      <c r="B69" s="691" t="s">
        <v>611</v>
      </c>
      <c r="C69" s="692"/>
      <c r="D69" s="692"/>
      <c r="E69" s="692"/>
      <c r="F69" s="692" t="s">
        <v>1314</v>
      </c>
      <c r="G69" s="692"/>
      <c r="H69" s="692"/>
      <c r="I69" s="524" t="s">
        <v>608</v>
      </c>
      <c r="J69" s="524" t="s">
        <v>584</v>
      </c>
      <c r="K69" s="692" t="s">
        <v>610</v>
      </c>
      <c r="L69" s="692"/>
      <c r="M69" s="692"/>
      <c r="N69" s="692"/>
      <c r="O69" s="693">
        <f>ROUND(335 * 10 * 1.25, 2)</f>
        <v>4187.5</v>
      </c>
      <c r="P69" s="692"/>
    </row>
    <row r="70" spans="1:16" x14ac:dyDescent="0.25">
      <c r="A70" s="523"/>
      <c r="B70" s="690" t="s">
        <v>204</v>
      </c>
      <c r="C70" s="690"/>
      <c r="D70" s="690"/>
      <c r="E70" s="690"/>
      <c r="F70" s="690" t="s">
        <v>199</v>
      </c>
      <c r="G70" s="690"/>
      <c r="H70" s="690"/>
      <c r="I70" s="523"/>
      <c r="J70" s="523"/>
      <c r="K70" s="690" t="s">
        <v>199</v>
      </c>
      <c r="L70" s="690"/>
      <c r="M70" s="690"/>
      <c r="N70" s="690"/>
      <c r="O70" s="690"/>
      <c r="P70" s="690"/>
    </row>
    <row r="71" spans="1:16" ht="54.4" customHeight="1" x14ac:dyDescent="0.25">
      <c r="A71" s="522"/>
      <c r="B71" s="689" t="s">
        <v>572</v>
      </c>
      <c r="C71" s="689"/>
      <c r="D71" s="689"/>
      <c r="E71" s="689"/>
      <c r="F71" s="689" t="s">
        <v>571</v>
      </c>
      <c r="G71" s="689"/>
      <c r="H71" s="689"/>
      <c r="I71" s="522"/>
      <c r="J71" s="522"/>
      <c r="K71" s="689" t="s">
        <v>199</v>
      </c>
      <c r="L71" s="689"/>
      <c r="M71" s="689"/>
      <c r="N71" s="689"/>
      <c r="O71" s="689"/>
      <c r="P71" s="689"/>
    </row>
    <row r="72" spans="1:16" ht="68.099999999999994" customHeight="1" x14ac:dyDescent="0.25">
      <c r="A72" s="525" t="s">
        <v>606</v>
      </c>
      <c r="B72" s="691" t="s">
        <v>609</v>
      </c>
      <c r="C72" s="692"/>
      <c r="D72" s="692"/>
      <c r="E72" s="692"/>
      <c r="F72" s="692" t="s">
        <v>1313</v>
      </c>
      <c r="G72" s="692"/>
      <c r="H72" s="692"/>
      <c r="I72" s="524" t="s">
        <v>608</v>
      </c>
      <c r="J72" s="524" t="s">
        <v>584</v>
      </c>
      <c r="K72" s="692" t="s">
        <v>607</v>
      </c>
      <c r="L72" s="692"/>
      <c r="M72" s="692"/>
      <c r="N72" s="692"/>
      <c r="O72" s="693">
        <f>ROUND(141 * 10 * 1.25, 2)</f>
        <v>1762.5</v>
      </c>
      <c r="P72" s="692"/>
    </row>
    <row r="73" spans="1:16" x14ac:dyDescent="0.25">
      <c r="A73" s="523"/>
      <c r="B73" s="690" t="s">
        <v>204</v>
      </c>
      <c r="C73" s="690"/>
      <c r="D73" s="690"/>
      <c r="E73" s="690"/>
      <c r="F73" s="690" t="s">
        <v>199</v>
      </c>
      <c r="G73" s="690"/>
      <c r="H73" s="690"/>
      <c r="I73" s="523"/>
      <c r="J73" s="523"/>
      <c r="K73" s="690" t="s">
        <v>199</v>
      </c>
      <c r="L73" s="690"/>
      <c r="M73" s="690"/>
      <c r="N73" s="690"/>
      <c r="O73" s="690"/>
      <c r="P73" s="690"/>
    </row>
    <row r="74" spans="1:16" ht="54.4" customHeight="1" x14ac:dyDescent="0.25">
      <c r="A74" s="522"/>
      <c r="B74" s="689" t="s">
        <v>572</v>
      </c>
      <c r="C74" s="689"/>
      <c r="D74" s="689"/>
      <c r="E74" s="689"/>
      <c r="F74" s="689" t="s">
        <v>571</v>
      </c>
      <c r="G74" s="689"/>
      <c r="H74" s="689"/>
      <c r="I74" s="522"/>
      <c r="J74" s="522"/>
      <c r="K74" s="689" t="s">
        <v>199</v>
      </c>
      <c r="L74" s="689"/>
      <c r="M74" s="689"/>
      <c r="N74" s="689"/>
      <c r="O74" s="689"/>
      <c r="P74" s="689"/>
    </row>
    <row r="75" spans="1:16" ht="122.45" customHeight="1" x14ac:dyDescent="0.25">
      <c r="A75" s="525" t="s">
        <v>604</v>
      </c>
      <c r="B75" s="691" t="s">
        <v>605</v>
      </c>
      <c r="C75" s="692"/>
      <c r="D75" s="692"/>
      <c r="E75" s="692"/>
      <c r="F75" s="692" t="s">
        <v>1312</v>
      </c>
      <c r="G75" s="692"/>
      <c r="H75" s="692"/>
      <c r="I75" s="524" t="s">
        <v>594</v>
      </c>
      <c r="J75" s="524" t="s">
        <v>587</v>
      </c>
      <c r="K75" s="692" t="s">
        <v>622</v>
      </c>
      <c r="L75" s="692"/>
      <c r="M75" s="692"/>
      <c r="N75" s="692"/>
      <c r="O75" s="693">
        <f>ROUND(229 * 20 * 1.25, 2)</f>
        <v>5725</v>
      </c>
      <c r="P75" s="692"/>
    </row>
    <row r="76" spans="1:16" x14ac:dyDescent="0.25">
      <c r="A76" s="523"/>
      <c r="B76" s="690" t="s">
        <v>204</v>
      </c>
      <c r="C76" s="690"/>
      <c r="D76" s="690"/>
      <c r="E76" s="690"/>
      <c r="F76" s="690" t="s">
        <v>199</v>
      </c>
      <c r="G76" s="690"/>
      <c r="H76" s="690"/>
      <c r="I76" s="523"/>
      <c r="J76" s="523"/>
      <c r="K76" s="690" t="s">
        <v>199</v>
      </c>
      <c r="L76" s="690"/>
      <c r="M76" s="690"/>
      <c r="N76" s="690"/>
      <c r="O76" s="690"/>
      <c r="P76" s="690"/>
    </row>
    <row r="77" spans="1:16" ht="54.4" customHeight="1" x14ac:dyDescent="0.25">
      <c r="A77" s="522"/>
      <c r="B77" s="689" t="s">
        <v>572</v>
      </c>
      <c r="C77" s="689"/>
      <c r="D77" s="689"/>
      <c r="E77" s="689"/>
      <c r="F77" s="689" t="s">
        <v>571</v>
      </c>
      <c r="G77" s="689"/>
      <c r="H77" s="689"/>
      <c r="I77" s="522"/>
      <c r="J77" s="522"/>
      <c r="K77" s="689" t="s">
        <v>199</v>
      </c>
      <c r="L77" s="689"/>
      <c r="M77" s="689"/>
      <c r="N77" s="689"/>
      <c r="O77" s="689"/>
      <c r="P77" s="689"/>
    </row>
    <row r="78" spans="1:16" ht="108.75" customHeight="1" x14ac:dyDescent="0.25">
      <c r="A78" s="525" t="s">
        <v>602</v>
      </c>
      <c r="B78" s="691" t="s">
        <v>603</v>
      </c>
      <c r="C78" s="692"/>
      <c r="D78" s="692"/>
      <c r="E78" s="692"/>
      <c r="F78" s="692" t="s">
        <v>1311</v>
      </c>
      <c r="G78" s="692"/>
      <c r="H78" s="692"/>
      <c r="I78" s="524" t="s">
        <v>594</v>
      </c>
      <c r="J78" s="524" t="s">
        <v>587</v>
      </c>
      <c r="K78" s="692" t="s">
        <v>1310</v>
      </c>
      <c r="L78" s="692"/>
      <c r="M78" s="692"/>
      <c r="N78" s="692"/>
      <c r="O78" s="693">
        <f>ROUND(653 * 20 * 1.25, 2)</f>
        <v>16325</v>
      </c>
      <c r="P78" s="692"/>
    </row>
    <row r="79" spans="1:16" x14ac:dyDescent="0.25">
      <c r="A79" s="523"/>
      <c r="B79" s="690" t="s">
        <v>204</v>
      </c>
      <c r="C79" s="690"/>
      <c r="D79" s="690"/>
      <c r="E79" s="690"/>
      <c r="F79" s="690" t="s">
        <v>199</v>
      </c>
      <c r="G79" s="690"/>
      <c r="H79" s="690"/>
      <c r="I79" s="523"/>
      <c r="J79" s="523"/>
      <c r="K79" s="690" t="s">
        <v>199</v>
      </c>
      <c r="L79" s="690"/>
      <c r="M79" s="690"/>
      <c r="N79" s="690"/>
      <c r="O79" s="690"/>
      <c r="P79" s="690"/>
    </row>
    <row r="80" spans="1:16" ht="54.4" customHeight="1" x14ac:dyDescent="0.25">
      <c r="A80" s="522"/>
      <c r="B80" s="689" t="s">
        <v>572</v>
      </c>
      <c r="C80" s="689"/>
      <c r="D80" s="689"/>
      <c r="E80" s="689"/>
      <c r="F80" s="689" t="s">
        <v>571</v>
      </c>
      <c r="G80" s="689"/>
      <c r="H80" s="689"/>
      <c r="I80" s="522"/>
      <c r="J80" s="522"/>
      <c r="K80" s="689" t="s">
        <v>199</v>
      </c>
      <c r="L80" s="689"/>
      <c r="M80" s="689"/>
      <c r="N80" s="689"/>
      <c r="O80" s="689"/>
      <c r="P80" s="689"/>
    </row>
    <row r="81" spans="1:16" ht="122.45" customHeight="1" x14ac:dyDescent="0.25">
      <c r="A81" s="525" t="s">
        <v>600</v>
      </c>
      <c r="B81" s="691" t="s">
        <v>601</v>
      </c>
      <c r="C81" s="692"/>
      <c r="D81" s="692"/>
      <c r="E81" s="692"/>
      <c r="F81" s="692" t="s">
        <v>1309</v>
      </c>
      <c r="G81" s="692"/>
      <c r="H81" s="692"/>
      <c r="I81" s="524" t="s">
        <v>594</v>
      </c>
      <c r="J81" s="524" t="s">
        <v>587</v>
      </c>
      <c r="K81" s="692" t="s">
        <v>619</v>
      </c>
      <c r="L81" s="692"/>
      <c r="M81" s="692"/>
      <c r="N81" s="692"/>
      <c r="O81" s="693">
        <f>ROUND(600 * 20 * 1.25, 2)</f>
        <v>15000</v>
      </c>
      <c r="P81" s="692"/>
    </row>
    <row r="82" spans="1:16" x14ac:dyDescent="0.25">
      <c r="A82" s="523"/>
      <c r="B82" s="690" t="s">
        <v>204</v>
      </c>
      <c r="C82" s="690"/>
      <c r="D82" s="690"/>
      <c r="E82" s="690"/>
      <c r="F82" s="690" t="s">
        <v>199</v>
      </c>
      <c r="G82" s="690"/>
      <c r="H82" s="690"/>
      <c r="I82" s="523"/>
      <c r="J82" s="523"/>
      <c r="K82" s="690" t="s">
        <v>199</v>
      </c>
      <c r="L82" s="690"/>
      <c r="M82" s="690"/>
      <c r="N82" s="690"/>
      <c r="O82" s="690"/>
      <c r="P82" s="690"/>
    </row>
    <row r="83" spans="1:16" ht="54.4" customHeight="1" x14ac:dyDescent="0.25">
      <c r="A83" s="522"/>
      <c r="B83" s="689" t="s">
        <v>572</v>
      </c>
      <c r="C83" s="689"/>
      <c r="D83" s="689"/>
      <c r="E83" s="689"/>
      <c r="F83" s="689" t="s">
        <v>571</v>
      </c>
      <c r="G83" s="689"/>
      <c r="H83" s="689"/>
      <c r="I83" s="522"/>
      <c r="J83" s="522"/>
      <c r="K83" s="689" t="s">
        <v>199</v>
      </c>
      <c r="L83" s="689"/>
      <c r="M83" s="689"/>
      <c r="N83" s="689"/>
      <c r="O83" s="689"/>
      <c r="P83" s="689"/>
    </row>
    <row r="84" spans="1:16" ht="68.099999999999994" customHeight="1" x14ac:dyDescent="0.25">
      <c r="A84" s="525" t="s">
        <v>598</v>
      </c>
      <c r="B84" s="691" t="s">
        <v>599</v>
      </c>
      <c r="C84" s="692"/>
      <c r="D84" s="692"/>
      <c r="E84" s="692"/>
      <c r="F84" s="692" t="s">
        <v>1308</v>
      </c>
      <c r="G84" s="692"/>
      <c r="H84" s="692"/>
      <c r="I84" s="524" t="s">
        <v>594</v>
      </c>
      <c r="J84" s="524" t="s">
        <v>587</v>
      </c>
      <c r="K84" s="692" t="s">
        <v>1307</v>
      </c>
      <c r="L84" s="692"/>
      <c r="M84" s="692"/>
      <c r="N84" s="692"/>
      <c r="O84" s="693">
        <f>ROUND(3452 * 20 * 1.25, 2)</f>
        <v>86300</v>
      </c>
      <c r="P84" s="692"/>
    </row>
    <row r="85" spans="1:16" x14ac:dyDescent="0.25">
      <c r="A85" s="523"/>
      <c r="B85" s="690" t="s">
        <v>204</v>
      </c>
      <c r="C85" s="690"/>
      <c r="D85" s="690"/>
      <c r="E85" s="690"/>
      <c r="F85" s="690" t="s">
        <v>199</v>
      </c>
      <c r="G85" s="690"/>
      <c r="H85" s="690"/>
      <c r="I85" s="523"/>
      <c r="J85" s="523"/>
      <c r="K85" s="690" t="s">
        <v>199</v>
      </c>
      <c r="L85" s="690"/>
      <c r="M85" s="690"/>
      <c r="N85" s="690"/>
      <c r="O85" s="690"/>
      <c r="P85" s="690"/>
    </row>
    <row r="86" spans="1:16" ht="54.4" customHeight="1" x14ac:dyDescent="0.25">
      <c r="A86" s="522"/>
      <c r="B86" s="689" t="s">
        <v>572</v>
      </c>
      <c r="C86" s="689"/>
      <c r="D86" s="689"/>
      <c r="E86" s="689"/>
      <c r="F86" s="689" t="s">
        <v>571</v>
      </c>
      <c r="G86" s="689"/>
      <c r="H86" s="689"/>
      <c r="I86" s="522"/>
      <c r="J86" s="522"/>
      <c r="K86" s="689" t="s">
        <v>199</v>
      </c>
      <c r="L86" s="689"/>
      <c r="M86" s="689"/>
      <c r="N86" s="689"/>
      <c r="O86" s="689"/>
      <c r="P86" s="689"/>
    </row>
    <row r="87" spans="1:16" ht="81.599999999999994" customHeight="1" x14ac:dyDescent="0.25">
      <c r="A87" s="525" t="s">
        <v>596</v>
      </c>
      <c r="B87" s="691" t="s">
        <v>597</v>
      </c>
      <c r="C87" s="692"/>
      <c r="D87" s="692"/>
      <c r="E87" s="692"/>
      <c r="F87" s="692" t="s">
        <v>1306</v>
      </c>
      <c r="G87" s="692"/>
      <c r="H87" s="692"/>
      <c r="I87" s="524" t="s">
        <v>594</v>
      </c>
      <c r="J87" s="524" t="s">
        <v>587</v>
      </c>
      <c r="K87" s="692" t="s">
        <v>1305</v>
      </c>
      <c r="L87" s="692"/>
      <c r="M87" s="692"/>
      <c r="N87" s="692"/>
      <c r="O87" s="693">
        <f>ROUND(3029 * 20 * 1.25, 2)</f>
        <v>75725</v>
      </c>
      <c r="P87" s="692"/>
    </row>
    <row r="88" spans="1:16" x14ac:dyDescent="0.25">
      <c r="A88" s="523"/>
      <c r="B88" s="690" t="s">
        <v>204</v>
      </c>
      <c r="C88" s="690"/>
      <c r="D88" s="690"/>
      <c r="E88" s="690"/>
      <c r="F88" s="690" t="s">
        <v>199</v>
      </c>
      <c r="G88" s="690"/>
      <c r="H88" s="690"/>
      <c r="I88" s="523"/>
      <c r="J88" s="523"/>
      <c r="K88" s="690" t="s">
        <v>199</v>
      </c>
      <c r="L88" s="690"/>
      <c r="M88" s="690"/>
      <c r="N88" s="690"/>
      <c r="O88" s="690"/>
      <c r="P88" s="690"/>
    </row>
    <row r="89" spans="1:16" ht="54.4" customHeight="1" x14ac:dyDescent="0.25">
      <c r="A89" s="522"/>
      <c r="B89" s="689" t="s">
        <v>572</v>
      </c>
      <c r="C89" s="689"/>
      <c r="D89" s="689"/>
      <c r="E89" s="689"/>
      <c r="F89" s="689" t="s">
        <v>571</v>
      </c>
      <c r="G89" s="689"/>
      <c r="H89" s="689"/>
      <c r="I89" s="522"/>
      <c r="J89" s="522"/>
      <c r="K89" s="689" t="s">
        <v>199</v>
      </c>
      <c r="L89" s="689"/>
      <c r="M89" s="689"/>
      <c r="N89" s="689"/>
      <c r="O89" s="689"/>
      <c r="P89" s="689"/>
    </row>
    <row r="90" spans="1:16" ht="68.099999999999994" customHeight="1" x14ac:dyDescent="0.25">
      <c r="A90" s="525" t="s">
        <v>1304</v>
      </c>
      <c r="B90" s="691" t="s">
        <v>595</v>
      </c>
      <c r="C90" s="692"/>
      <c r="D90" s="692"/>
      <c r="E90" s="692"/>
      <c r="F90" s="692" t="s">
        <v>1303</v>
      </c>
      <c r="G90" s="692"/>
      <c r="H90" s="692"/>
      <c r="I90" s="524" t="s">
        <v>594</v>
      </c>
      <c r="J90" s="524" t="s">
        <v>203</v>
      </c>
      <c r="K90" s="692" t="s">
        <v>1302</v>
      </c>
      <c r="L90" s="692"/>
      <c r="M90" s="692"/>
      <c r="N90" s="692"/>
      <c r="O90" s="693">
        <f>ROUND(2726 * 6 * 1.25, 2)</f>
        <v>20445</v>
      </c>
      <c r="P90" s="692"/>
    </row>
    <row r="91" spans="1:16" x14ac:dyDescent="0.25">
      <c r="A91" s="523"/>
      <c r="B91" s="690" t="s">
        <v>204</v>
      </c>
      <c r="C91" s="690"/>
      <c r="D91" s="690"/>
      <c r="E91" s="690"/>
      <c r="F91" s="690" t="s">
        <v>199</v>
      </c>
      <c r="G91" s="690"/>
      <c r="H91" s="690"/>
      <c r="I91" s="523"/>
      <c r="J91" s="523"/>
      <c r="K91" s="690" t="s">
        <v>199</v>
      </c>
      <c r="L91" s="690"/>
      <c r="M91" s="690"/>
      <c r="N91" s="690"/>
      <c r="O91" s="690"/>
      <c r="P91" s="690"/>
    </row>
    <row r="92" spans="1:16" ht="54.4" customHeight="1" x14ac:dyDescent="0.25">
      <c r="A92" s="522"/>
      <c r="B92" s="689" t="s">
        <v>572</v>
      </c>
      <c r="C92" s="689"/>
      <c r="D92" s="689"/>
      <c r="E92" s="689"/>
      <c r="F92" s="689" t="s">
        <v>571</v>
      </c>
      <c r="G92" s="689"/>
      <c r="H92" s="689"/>
      <c r="I92" s="522"/>
      <c r="J92" s="522"/>
      <c r="K92" s="689" t="s">
        <v>199</v>
      </c>
      <c r="L92" s="689"/>
      <c r="M92" s="689"/>
      <c r="N92" s="689"/>
      <c r="O92" s="689"/>
      <c r="P92" s="689"/>
    </row>
    <row r="93" spans="1:16" x14ac:dyDescent="0.25">
      <c r="A93" s="521"/>
      <c r="B93" s="683" t="s">
        <v>345</v>
      </c>
      <c r="C93" s="683"/>
      <c r="D93" s="683"/>
      <c r="E93" s="683"/>
      <c r="F93" s="683"/>
      <c r="G93" s="683"/>
      <c r="H93" s="683"/>
      <c r="I93" s="521"/>
      <c r="J93" s="521"/>
      <c r="K93" s="683" t="s">
        <v>199</v>
      </c>
      <c r="L93" s="683"/>
      <c r="M93" s="683"/>
      <c r="N93" s="683"/>
      <c r="O93" s="684">
        <f>ROUND(SUM($O$38:$O$90),2)</f>
        <v>551395</v>
      </c>
      <c r="P93" s="683"/>
    </row>
    <row r="94" spans="1:16" x14ac:dyDescent="0.25">
      <c r="A94" s="521"/>
      <c r="B94" s="683" t="s">
        <v>344</v>
      </c>
      <c r="C94" s="683"/>
      <c r="D94" s="683"/>
      <c r="E94" s="683"/>
      <c r="F94" s="683"/>
      <c r="G94" s="683"/>
      <c r="H94" s="683"/>
      <c r="I94" s="521"/>
      <c r="J94" s="521"/>
      <c r="K94" s="683" t="s">
        <v>199</v>
      </c>
      <c r="L94" s="683"/>
      <c r="M94" s="683"/>
      <c r="N94" s="683"/>
      <c r="O94" s="684">
        <f>ROUND(($O$93),2)</f>
        <v>551395</v>
      </c>
      <c r="P94" s="683"/>
    </row>
    <row r="95" spans="1:16" x14ac:dyDescent="0.25">
      <c r="A95" s="521"/>
      <c r="B95" s="683" t="s">
        <v>593</v>
      </c>
      <c r="C95" s="683"/>
      <c r="D95" s="683"/>
      <c r="E95" s="683"/>
      <c r="F95" s="683"/>
      <c r="G95" s="683"/>
      <c r="H95" s="683"/>
      <c r="I95" s="521"/>
      <c r="J95" s="521"/>
      <c r="K95" s="683"/>
      <c r="L95" s="683"/>
      <c r="M95" s="683"/>
      <c r="N95" s="683"/>
      <c r="O95" s="683"/>
      <c r="P95" s="683"/>
    </row>
    <row r="96" spans="1:16" ht="122.45" customHeight="1" x14ac:dyDescent="0.25">
      <c r="A96" s="525" t="s">
        <v>217</v>
      </c>
      <c r="B96" s="691" t="s">
        <v>592</v>
      </c>
      <c r="C96" s="692"/>
      <c r="D96" s="692"/>
      <c r="E96" s="692"/>
      <c r="F96" s="692" t="s">
        <v>1301</v>
      </c>
      <c r="G96" s="692"/>
      <c r="H96" s="692"/>
      <c r="I96" s="524" t="s">
        <v>591</v>
      </c>
      <c r="J96" s="524" t="s">
        <v>1300</v>
      </c>
      <c r="K96" s="692" t="s">
        <v>1299</v>
      </c>
      <c r="L96" s="692"/>
      <c r="M96" s="692"/>
      <c r="N96" s="692"/>
      <c r="O96" s="693">
        <f>ROUND(434 * 388 * 1.25, 2)</f>
        <v>210490</v>
      </c>
      <c r="P96" s="692"/>
    </row>
    <row r="97" spans="1:16" x14ac:dyDescent="0.25">
      <c r="A97" s="523"/>
      <c r="B97" s="690" t="s">
        <v>204</v>
      </c>
      <c r="C97" s="690"/>
      <c r="D97" s="690"/>
      <c r="E97" s="690"/>
      <c r="F97" s="690" t="s">
        <v>199</v>
      </c>
      <c r="G97" s="690"/>
      <c r="H97" s="690"/>
      <c r="I97" s="523"/>
      <c r="J97" s="523"/>
      <c r="K97" s="690" t="s">
        <v>199</v>
      </c>
      <c r="L97" s="690"/>
      <c r="M97" s="690"/>
      <c r="N97" s="690"/>
      <c r="O97" s="690"/>
      <c r="P97" s="690"/>
    </row>
    <row r="98" spans="1:16" ht="54.4" customHeight="1" x14ac:dyDescent="0.25">
      <c r="A98" s="522"/>
      <c r="B98" s="689" t="s">
        <v>572</v>
      </c>
      <c r="C98" s="689"/>
      <c r="D98" s="689"/>
      <c r="E98" s="689"/>
      <c r="F98" s="689" t="s">
        <v>571</v>
      </c>
      <c r="G98" s="689"/>
      <c r="H98" s="689"/>
      <c r="I98" s="522"/>
      <c r="J98" s="522"/>
      <c r="K98" s="689" t="s">
        <v>199</v>
      </c>
      <c r="L98" s="689"/>
      <c r="M98" s="689"/>
      <c r="N98" s="689"/>
      <c r="O98" s="689"/>
      <c r="P98" s="689"/>
    </row>
    <row r="99" spans="1:16" ht="68.099999999999994" customHeight="1" x14ac:dyDescent="0.25">
      <c r="A99" s="525" t="s">
        <v>216</v>
      </c>
      <c r="B99" s="691" t="s">
        <v>590</v>
      </c>
      <c r="C99" s="692"/>
      <c r="D99" s="692"/>
      <c r="E99" s="692"/>
      <c r="F99" s="692" t="s">
        <v>1298</v>
      </c>
      <c r="G99" s="692"/>
      <c r="H99" s="692"/>
      <c r="I99" s="524" t="s">
        <v>589</v>
      </c>
      <c r="J99" s="524" t="s">
        <v>207</v>
      </c>
      <c r="K99" s="692" t="s">
        <v>1297</v>
      </c>
      <c r="L99" s="692"/>
      <c r="M99" s="692"/>
      <c r="N99" s="692"/>
      <c r="O99" s="693">
        <f>ROUND(1252 * 5 * 1.25, 2)</f>
        <v>7825</v>
      </c>
      <c r="P99" s="692"/>
    </row>
    <row r="100" spans="1:16" x14ac:dyDescent="0.25">
      <c r="A100" s="523"/>
      <c r="B100" s="690" t="s">
        <v>204</v>
      </c>
      <c r="C100" s="690"/>
      <c r="D100" s="690"/>
      <c r="E100" s="690"/>
      <c r="F100" s="690" t="s">
        <v>199</v>
      </c>
      <c r="G100" s="690"/>
      <c r="H100" s="690"/>
      <c r="I100" s="523"/>
      <c r="J100" s="523"/>
      <c r="K100" s="690" t="s">
        <v>199</v>
      </c>
      <c r="L100" s="690"/>
      <c r="M100" s="690"/>
      <c r="N100" s="690"/>
      <c r="O100" s="690"/>
      <c r="P100" s="690"/>
    </row>
    <row r="101" spans="1:16" ht="54.4" customHeight="1" x14ac:dyDescent="0.25">
      <c r="A101" s="522"/>
      <c r="B101" s="689" t="s">
        <v>572</v>
      </c>
      <c r="C101" s="689"/>
      <c r="D101" s="689"/>
      <c r="E101" s="689"/>
      <c r="F101" s="689" t="s">
        <v>571</v>
      </c>
      <c r="G101" s="689"/>
      <c r="H101" s="689"/>
      <c r="I101" s="522"/>
      <c r="J101" s="522"/>
      <c r="K101" s="689" t="s">
        <v>199</v>
      </c>
      <c r="L101" s="689"/>
      <c r="M101" s="689"/>
      <c r="N101" s="689"/>
      <c r="O101" s="689"/>
      <c r="P101" s="689"/>
    </row>
    <row r="102" spans="1:16" ht="68.099999999999994" customHeight="1" x14ac:dyDescent="0.25">
      <c r="A102" s="525" t="s">
        <v>215</v>
      </c>
      <c r="B102" s="691" t="s">
        <v>588</v>
      </c>
      <c r="C102" s="692"/>
      <c r="D102" s="692"/>
      <c r="E102" s="692"/>
      <c r="F102" s="692" t="s">
        <v>1296</v>
      </c>
      <c r="G102" s="692"/>
      <c r="H102" s="692"/>
      <c r="I102" s="524" t="s">
        <v>582</v>
      </c>
      <c r="J102" s="524" t="s">
        <v>587</v>
      </c>
      <c r="K102" s="692" t="s">
        <v>586</v>
      </c>
      <c r="L102" s="692"/>
      <c r="M102" s="692"/>
      <c r="N102" s="692"/>
      <c r="O102" s="693">
        <f>ROUND(320 * 20 * 1.25, 2)</f>
        <v>8000</v>
      </c>
      <c r="P102" s="692"/>
    </row>
    <row r="103" spans="1:16" x14ac:dyDescent="0.25">
      <c r="A103" s="523"/>
      <c r="B103" s="690" t="s">
        <v>204</v>
      </c>
      <c r="C103" s="690"/>
      <c r="D103" s="690"/>
      <c r="E103" s="690"/>
      <c r="F103" s="690" t="s">
        <v>199</v>
      </c>
      <c r="G103" s="690"/>
      <c r="H103" s="690"/>
      <c r="I103" s="523"/>
      <c r="J103" s="523"/>
      <c r="K103" s="690" t="s">
        <v>199</v>
      </c>
      <c r="L103" s="690"/>
      <c r="M103" s="690"/>
      <c r="N103" s="690"/>
      <c r="O103" s="690"/>
      <c r="P103" s="690"/>
    </row>
    <row r="104" spans="1:16" ht="54.4" customHeight="1" x14ac:dyDescent="0.25">
      <c r="A104" s="522"/>
      <c r="B104" s="689" t="s">
        <v>572</v>
      </c>
      <c r="C104" s="689"/>
      <c r="D104" s="689"/>
      <c r="E104" s="689"/>
      <c r="F104" s="689" t="s">
        <v>571</v>
      </c>
      <c r="G104" s="689"/>
      <c r="H104" s="689"/>
      <c r="I104" s="522"/>
      <c r="J104" s="522"/>
      <c r="K104" s="689" t="s">
        <v>199</v>
      </c>
      <c r="L104" s="689"/>
      <c r="M104" s="689"/>
      <c r="N104" s="689"/>
      <c r="O104" s="689"/>
      <c r="P104" s="689"/>
    </row>
    <row r="105" spans="1:16" ht="68.099999999999994" customHeight="1" x14ac:dyDescent="0.25">
      <c r="A105" s="525" t="s">
        <v>214</v>
      </c>
      <c r="B105" s="691" t="s">
        <v>585</v>
      </c>
      <c r="C105" s="692"/>
      <c r="D105" s="692"/>
      <c r="E105" s="692"/>
      <c r="F105" s="692" t="s">
        <v>1295</v>
      </c>
      <c r="G105" s="692"/>
      <c r="H105" s="692"/>
      <c r="I105" s="524" t="s">
        <v>582</v>
      </c>
      <c r="J105" s="524" t="s">
        <v>587</v>
      </c>
      <c r="K105" s="692" t="s">
        <v>1294</v>
      </c>
      <c r="L105" s="692"/>
      <c r="M105" s="692"/>
      <c r="N105" s="692"/>
      <c r="O105" s="693">
        <f>ROUND(316 * 20 * 1.25, 2)</f>
        <v>7900</v>
      </c>
      <c r="P105" s="692"/>
    </row>
    <row r="106" spans="1:16" x14ac:dyDescent="0.25">
      <c r="A106" s="523"/>
      <c r="B106" s="690" t="s">
        <v>204</v>
      </c>
      <c r="C106" s="690"/>
      <c r="D106" s="690"/>
      <c r="E106" s="690"/>
      <c r="F106" s="690" t="s">
        <v>199</v>
      </c>
      <c r="G106" s="690"/>
      <c r="H106" s="690"/>
      <c r="I106" s="523"/>
      <c r="J106" s="523"/>
      <c r="K106" s="690" t="s">
        <v>199</v>
      </c>
      <c r="L106" s="690"/>
      <c r="M106" s="690"/>
      <c r="N106" s="690"/>
      <c r="O106" s="690"/>
      <c r="P106" s="690"/>
    </row>
    <row r="107" spans="1:16" ht="54.4" customHeight="1" x14ac:dyDescent="0.25">
      <c r="A107" s="522"/>
      <c r="B107" s="689" t="s">
        <v>572</v>
      </c>
      <c r="C107" s="689"/>
      <c r="D107" s="689"/>
      <c r="E107" s="689"/>
      <c r="F107" s="689" t="s">
        <v>571</v>
      </c>
      <c r="G107" s="689"/>
      <c r="H107" s="689"/>
      <c r="I107" s="522"/>
      <c r="J107" s="522"/>
      <c r="K107" s="689" t="s">
        <v>199</v>
      </c>
      <c r="L107" s="689"/>
      <c r="M107" s="689"/>
      <c r="N107" s="689"/>
      <c r="O107" s="689"/>
      <c r="P107" s="689"/>
    </row>
    <row r="108" spans="1:16" ht="122.45" customHeight="1" x14ac:dyDescent="0.25">
      <c r="A108" s="525" t="s">
        <v>213</v>
      </c>
      <c r="B108" s="691" t="s">
        <v>583</v>
      </c>
      <c r="C108" s="692"/>
      <c r="D108" s="692"/>
      <c r="E108" s="692"/>
      <c r="F108" s="692" t="s">
        <v>1293</v>
      </c>
      <c r="G108" s="692"/>
      <c r="H108" s="692"/>
      <c r="I108" s="524" t="s">
        <v>582</v>
      </c>
      <c r="J108" s="524" t="s">
        <v>203</v>
      </c>
      <c r="K108" s="692" t="s">
        <v>1292</v>
      </c>
      <c r="L108" s="692"/>
      <c r="M108" s="692"/>
      <c r="N108" s="692"/>
      <c r="O108" s="693">
        <f>ROUND(352 * 6 * 1.25, 2)</f>
        <v>2640</v>
      </c>
      <c r="P108" s="692"/>
    </row>
    <row r="109" spans="1:16" x14ac:dyDescent="0.25">
      <c r="A109" s="523"/>
      <c r="B109" s="690" t="s">
        <v>204</v>
      </c>
      <c r="C109" s="690"/>
      <c r="D109" s="690"/>
      <c r="E109" s="690"/>
      <c r="F109" s="690" t="s">
        <v>199</v>
      </c>
      <c r="G109" s="690"/>
      <c r="H109" s="690"/>
      <c r="I109" s="523"/>
      <c r="J109" s="523"/>
      <c r="K109" s="690" t="s">
        <v>199</v>
      </c>
      <c r="L109" s="690"/>
      <c r="M109" s="690"/>
      <c r="N109" s="690"/>
      <c r="O109" s="690"/>
      <c r="P109" s="690"/>
    </row>
    <row r="110" spans="1:16" ht="54.4" customHeight="1" x14ac:dyDescent="0.25">
      <c r="A110" s="522"/>
      <c r="B110" s="689" t="s">
        <v>572</v>
      </c>
      <c r="C110" s="689"/>
      <c r="D110" s="689"/>
      <c r="E110" s="689"/>
      <c r="F110" s="689" t="s">
        <v>571</v>
      </c>
      <c r="G110" s="689"/>
      <c r="H110" s="689"/>
      <c r="I110" s="522"/>
      <c r="J110" s="522"/>
      <c r="K110" s="689" t="s">
        <v>199</v>
      </c>
      <c r="L110" s="689"/>
      <c r="M110" s="689"/>
      <c r="N110" s="689"/>
      <c r="O110" s="689"/>
      <c r="P110" s="689"/>
    </row>
    <row r="111" spans="1:16" x14ac:dyDescent="0.25">
      <c r="A111" s="521"/>
      <c r="B111" s="683" t="s">
        <v>335</v>
      </c>
      <c r="C111" s="683"/>
      <c r="D111" s="683"/>
      <c r="E111" s="683"/>
      <c r="F111" s="683"/>
      <c r="G111" s="683"/>
      <c r="H111" s="683"/>
      <c r="I111" s="521"/>
      <c r="J111" s="521"/>
      <c r="K111" s="683" t="s">
        <v>199</v>
      </c>
      <c r="L111" s="683"/>
      <c r="M111" s="683"/>
      <c r="N111" s="683"/>
      <c r="O111" s="684">
        <f>ROUND(SUM($O$96:$O$108),2)</f>
        <v>236855</v>
      </c>
      <c r="P111" s="683"/>
    </row>
    <row r="112" spans="1:16" x14ac:dyDescent="0.25">
      <c r="A112" s="521"/>
      <c r="B112" s="683" t="s">
        <v>334</v>
      </c>
      <c r="C112" s="683"/>
      <c r="D112" s="683"/>
      <c r="E112" s="683"/>
      <c r="F112" s="683"/>
      <c r="G112" s="683"/>
      <c r="H112" s="683"/>
      <c r="I112" s="521"/>
      <c r="J112" s="521"/>
      <c r="K112" s="683" t="s">
        <v>199</v>
      </c>
      <c r="L112" s="683"/>
      <c r="M112" s="683"/>
      <c r="N112" s="683"/>
      <c r="O112" s="684">
        <f>ROUND(($O$111),2)</f>
        <v>236855</v>
      </c>
      <c r="P112" s="683"/>
    </row>
    <row r="113" spans="1:16" ht="27.2" customHeight="1" x14ac:dyDescent="0.25">
      <c r="A113" s="521"/>
      <c r="B113" s="683" t="s">
        <v>581</v>
      </c>
      <c r="C113" s="683"/>
      <c r="D113" s="683"/>
      <c r="E113" s="683"/>
      <c r="F113" s="683"/>
      <c r="G113" s="683"/>
      <c r="H113" s="683"/>
      <c r="I113" s="521"/>
      <c r="J113" s="521"/>
      <c r="K113" s="683"/>
      <c r="L113" s="683"/>
      <c r="M113" s="683"/>
      <c r="N113" s="683"/>
      <c r="O113" s="683"/>
      <c r="P113" s="683"/>
    </row>
    <row r="114" spans="1:16" ht="81.599999999999994" customHeight="1" x14ac:dyDescent="0.25">
      <c r="A114" s="525" t="s">
        <v>211</v>
      </c>
      <c r="B114" s="691" t="s">
        <v>1291</v>
      </c>
      <c r="C114" s="692"/>
      <c r="D114" s="692"/>
      <c r="E114" s="692"/>
      <c r="F114" s="692" t="s">
        <v>1290</v>
      </c>
      <c r="G114" s="692"/>
      <c r="H114" s="692"/>
      <c r="I114" s="524" t="s">
        <v>199</v>
      </c>
      <c r="J114" s="524" t="s">
        <v>223</v>
      </c>
      <c r="K114" s="692" t="s">
        <v>1289</v>
      </c>
      <c r="L114" s="692"/>
      <c r="M114" s="692"/>
      <c r="N114" s="692"/>
      <c r="O114" s="693">
        <f>ROUND(8529580 * 40 / 100 * 1.25, 2)</f>
        <v>4264790</v>
      </c>
      <c r="P114" s="692"/>
    </row>
    <row r="115" spans="1:16" x14ac:dyDescent="0.25">
      <c r="A115" s="523"/>
      <c r="B115" s="690" t="s">
        <v>204</v>
      </c>
      <c r="C115" s="690"/>
      <c r="D115" s="690"/>
      <c r="E115" s="690"/>
      <c r="F115" s="690" t="s">
        <v>199</v>
      </c>
      <c r="G115" s="690"/>
      <c r="H115" s="690"/>
      <c r="I115" s="523"/>
      <c r="J115" s="523"/>
      <c r="K115" s="690" t="s">
        <v>199</v>
      </c>
      <c r="L115" s="690"/>
      <c r="M115" s="690"/>
      <c r="N115" s="690"/>
      <c r="O115" s="690"/>
      <c r="P115" s="690"/>
    </row>
    <row r="116" spans="1:16" ht="54.4" customHeight="1" x14ac:dyDescent="0.25">
      <c r="A116" s="522"/>
      <c r="B116" s="689" t="s">
        <v>572</v>
      </c>
      <c r="C116" s="689"/>
      <c r="D116" s="689"/>
      <c r="E116" s="689"/>
      <c r="F116" s="689" t="s">
        <v>571</v>
      </c>
      <c r="G116" s="689"/>
      <c r="H116" s="689"/>
      <c r="I116" s="522"/>
      <c r="J116" s="522"/>
      <c r="K116" s="689" t="s">
        <v>199</v>
      </c>
      <c r="L116" s="689"/>
      <c r="M116" s="689"/>
      <c r="N116" s="689"/>
      <c r="O116" s="689"/>
      <c r="P116" s="689"/>
    </row>
    <row r="117" spans="1:16" ht="135.94999999999999" customHeight="1" x14ac:dyDescent="0.25">
      <c r="A117" s="525" t="s">
        <v>210</v>
      </c>
      <c r="B117" s="691" t="s">
        <v>1288</v>
      </c>
      <c r="C117" s="692"/>
      <c r="D117" s="692"/>
      <c r="E117" s="692"/>
      <c r="F117" s="692" t="s">
        <v>1287</v>
      </c>
      <c r="G117" s="692"/>
      <c r="H117" s="692"/>
      <c r="I117" s="524" t="s">
        <v>199</v>
      </c>
      <c r="J117" s="524" t="s">
        <v>223</v>
      </c>
      <c r="K117" s="692" t="s">
        <v>1286</v>
      </c>
      <c r="L117" s="692"/>
      <c r="M117" s="692"/>
      <c r="N117" s="692"/>
      <c r="O117" s="693">
        <f>ROUND((6.5 / 100 * 8529.58 * 1 * 1.25) * 1000, 2)</f>
        <v>693028.38</v>
      </c>
      <c r="P117" s="692"/>
    </row>
    <row r="118" spans="1:16" x14ac:dyDescent="0.25">
      <c r="A118" s="523"/>
      <c r="B118" s="690" t="s">
        <v>204</v>
      </c>
      <c r="C118" s="690"/>
      <c r="D118" s="690"/>
      <c r="E118" s="690"/>
      <c r="F118" s="690" t="s">
        <v>199</v>
      </c>
      <c r="G118" s="690"/>
      <c r="H118" s="690"/>
      <c r="I118" s="523"/>
      <c r="J118" s="523"/>
      <c r="K118" s="690" t="s">
        <v>199</v>
      </c>
      <c r="L118" s="690"/>
      <c r="M118" s="690"/>
      <c r="N118" s="690"/>
      <c r="O118" s="690"/>
      <c r="P118" s="690"/>
    </row>
    <row r="119" spans="1:16" ht="54.4" customHeight="1" x14ac:dyDescent="0.25">
      <c r="A119" s="522"/>
      <c r="B119" s="689" t="s">
        <v>572</v>
      </c>
      <c r="C119" s="689"/>
      <c r="D119" s="689"/>
      <c r="E119" s="689"/>
      <c r="F119" s="689" t="s">
        <v>571</v>
      </c>
      <c r="G119" s="689"/>
      <c r="H119" s="689"/>
      <c r="I119" s="522"/>
      <c r="J119" s="522"/>
      <c r="K119" s="689" t="s">
        <v>199</v>
      </c>
      <c r="L119" s="689"/>
      <c r="M119" s="689"/>
      <c r="N119" s="689"/>
      <c r="O119" s="689"/>
      <c r="P119" s="689"/>
    </row>
    <row r="120" spans="1:16" ht="163.15" customHeight="1" x14ac:dyDescent="0.25">
      <c r="A120" s="525" t="s">
        <v>209</v>
      </c>
      <c r="B120" s="691" t="s">
        <v>1285</v>
      </c>
      <c r="C120" s="692"/>
      <c r="D120" s="692"/>
      <c r="E120" s="692"/>
      <c r="F120" s="692" t="s">
        <v>1284</v>
      </c>
      <c r="G120" s="692"/>
      <c r="H120" s="692"/>
      <c r="I120" s="524" t="s">
        <v>199</v>
      </c>
      <c r="J120" s="524" t="s">
        <v>223</v>
      </c>
      <c r="K120" s="692" t="s">
        <v>1283</v>
      </c>
      <c r="L120" s="692"/>
      <c r="M120" s="692"/>
      <c r="N120" s="692"/>
      <c r="O120" s="693">
        <f>ROUND((8529.58 * ((11.8 + (9.1 - 11.8) / (10000 - 5000) * (8529.58 - 5000)) / 100) * 1 * 1.25) * 1000, 2)</f>
        <v>1054898.6599999999</v>
      </c>
      <c r="P120" s="692"/>
    </row>
    <row r="121" spans="1:16" x14ac:dyDescent="0.25">
      <c r="A121" s="523"/>
      <c r="B121" s="690" t="s">
        <v>204</v>
      </c>
      <c r="C121" s="690"/>
      <c r="D121" s="690"/>
      <c r="E121" s="690"/>
      <c r="F121" s="690" t="s">
        <v>199</v>
      </c>
      <c r="G121" s="690"/>
      <c r="H121" s="690"/>
      <c r="I121" s="523"/>
      <c r="J121" s="523"/>
      <c r="K121" s="690" t="s">
        <v>199</v>
      </c>
      <c r="L121" s="690"/>
      <c r="M121" s="690"/>
      <c r="N121" s="690"/>
      <c r="O121" s="690"/>
      <c r="P121" s="690"/>
    </row>
    <row r="122" spans="1:16" ht="54.4" customHeight="1" x14ac:dyDescent="0.25">
      <c r="A122" s="522"/>
      <c r="B122" s="689" t="s">
        <v>572</v>
      </c>
      <c r="C122" s="689"/>
      <c r="D122" s="689"/>
      <c r="E122" s="689"/>
      <c r="F122" s="689" t="s">
        <v>571</v>
      </c>
      <c r="G122" s="689"/>
      <c r="H122" s="689"/>
      <c r="I122" s="522"/>
      <c r="J122" s="522"/>
      <c r="K122" s="689" t="s">
        <v>199</v>
      </c>
      <c r="L122" s="689"/>
      <c r="M122" s="689"/>
      <c r="N122" s="689"/>
      <c r="O122" s="689"/>
      <c r="P122" s="689"/>
    </row>
    <row r="123" spans="1:16" x14ac:dyDescent="0.25">
      <c r="A123" s="694" t="s">
        <v>580</v>
      </c>
      <c r="B123" s="694"/>
      <c r="C123" s="694"/>
      <c r="D123" s="694"/>
      <c r="E123" s="694"/>
      <c r="F123" s="694"/>
      <c r="G123" s="694"/>
      <c r="H123" s="694"/>
      <c r="I123" s="694"/>
      <c r="J123" s="694"/>
      <c r="K123" s="694"/>
      <c r="L123" s="694"/>
      <c r="M123" s="694"/>
      <c r="N123" s="694"/>
      <c r="O123" s="694"/>
      <c r="P123" s="694"/>
    </row>
    <row r="124" spans="1:16" ht="149.65" customHeight="1" x14ac:dyDescent="0.25">
      <c r="A124" s="525" t="s">
        <v>208</v>
      </c>
      <c r="B124" s="691" t="s">
        <v>1282</v>
      </c>
      <c r="C124" s="692"/>
      <c r="D124" s="692"/>
      <c r="E124" s="692"/>
      <c r="F124" s="692" t="s">
        <v>1281</v>
      </c>
      <c r="G124" s="692"/>
      <c r="H124" s="692"/>
      <c r="I124" s="524" t="s">
        <v>579</v>
      </c>
      <c r="J124" s="524" t="s">
        <v>223</v>
      </c>
      <c r="K124" s="692" t="s">
        <v>1280</v>
      </c>
      <c r="L124" s="692"/>
      <c r="M124" s="692"/>
      <c r="N124" s="692"/>
      <c r="O124" s="693">
        <f>ROUND(157915 * 1 * 1.25 * 1.4, 2)</f>
        <v>276351.25</v>
      </c>
      <c r="P124" s="692"/>
    </row>
    <row r="125" spans="1:16" x14ac:dyDescent="0.25">
      <c r="A125" s="523"/>
      <c r="B125" s="690" t="s">
        <v>204</v>
      </c>
      <c r="C125" s="690"/>
      <c r="D125" s="690"/>
      <c r="E125" s="690"/>
      <c r="F125" s="690" t="s">
        <v>199</v>
      </c>
      <c r="G125" s="690"/>
      <c r="H125" s="690"/>
      <c r="I125" s="523"/>
      <c r="J125" s="523"/>
      <c r="K125" s="690" t="s">
        <v>199</v>
      </c>
      <c r="L125" s="690"/>
      <c r="M125" s="690"/>
      <c r="N125" s="690"/>
      <c r="O125" s="690"/>
      <c r="P125" s="690"/>
    </row>
    <row r="126" spans="1:16" ht="54.4" customHeight="1" x14ac:dyDescent="0.25">
      <c r="A126" s="522"/>
      <c r="B126" s="689" t="s">
        <v>572</v>
      </c>
      <c r="C126" s="689"/>
      <c r="D126" s="689"/>
      <c r="E126" s="689"/>
      <c r="F126" s="689" t="s">
        <v>571</v>
      </c>
      <c r="G126" s="689"/>
      <c r="H126" s="689"/>
      <c r="I126" s="522"/>
      <c r="J126" s="522"/>
      <c r="K126" s="689" t="s">
        <v>199</v>
      </c>
      <c r="L126" s="689"/>
      <c r="M126" s="689"/>
      <c r="N126" s="689"/>
      <c r="O126" s="689"/>
      <c r="P126" s="689"/>
    </row>
    <row r="127" spans="1:16" ht="122.45" customHeight="1" x14ac:dyDescent="0.25">
      <c r="A127" s="522"/>
      <c r="B127" s="689" t="s">
        <v>578</v>
      </c>
      <c r="C127" s="689"/>
      <c r="D127" s="689"/>
      <c r="E127" s="689"/>
      <c r="F127" s="689" t="s">
        <v>577</v>
      </c>
      <c r="G127" s="689"/>
      <c r="H127" s="689"/>
      <c r="I127" s="522"/>
      <c r="J127" s="522"/>
      <c r="K127" s="689" t="s">
        <v>199</v>
      </c>
      <c r="L127" s="689"/>
      <c r="M127" s="689"/>
      <c r="N127" s="689"/>
      <c r="O127" s="689"/>
      <c r="P127" s="689"/>
    </row>
    <row r="128" spans="1:16" ht="176.85" customHeight="1" x14ac:dyDescent="0.25">
      <c r="A128" s="525" t="s">
        <v>1279</v>
      </c>
      <c r="B128" s="691" t="s">
        <v>576</v>
      </c>
      <c r="C128" s="692"/>
      <c r="D128" s="692"/>
      <c r="E128" s="692"/>
      <c r="F128" s="692" t="s">
        <v>1278</v>
      </c>
      <c r="G128" s="692"/>
      <c r="H128" s="692"/>
      <c r="I128" s="524" t="s">
        <v>575</v>
      </c>
      <c r="J128" s="524" t="s">
        <v>223</v>
      </c>
      <c r="K128" s="692" t="s">
        <v>1277</v>
      </c>
      <c r="L128" s="692"/>
      <c r="M128" s="692"/>
      <c r="N128" s="692"/>
      <c r="O128" s="693">
        <v>514705.72</v>
      </c>
      <c r="P128" s="692"/>
    </row>
    <row r="129" spans="1:16" x14ac:dyDescent="0.25">
      <c r="A129" s="523"/>
      <c r="B129" s="690" t="s">
        <v>204</v>
      </c>
      <c r="C129" s="690"/>
      <c r="D129" s="690"/>
      <c r="E129" s="690"/>
      <c r="F129" s="690" t="s">
        <v>199</v>
      </c>
      <c r="G129" s="690"/>
      <c r="H129" s="690"/>
      <c r="I129" s="523"/>
      <c r="J129" s="523"/>
      <c r="K129" s="690" t="s">
        <v>199</v>
      </c>
      <c r="L129" s="690"/>
      <c r="M129" s="690"/>
      <c r="N129" s="690"/>
      <c r="O129" s="690"/>
      <c r="P129" s="690"/>
    </row>
    <row r="130" spans="1:16" ht="54.4" customHeight="1" x14ac:dyDescent="0.25">
      <c r="A130" s="522"/>
      <c r="B130" s="689" t="s">
        <v>572</v>
      </c>
      <c r="C130" s="689"/>
      <c r="D130" s="689"/>
      <c r="E130" s="689"/>
      <c r="F130" s="689" t="s">
        <v>571</v>
      </c>
      <c r="G130" s="689"/>
      <c r="H130" s="689"/>
      <c r="I130" s="522"/>
      <c r="J130" s="522"/>
      <c r="K130" s="689" t="s">
        <v>199</v>
      </c>
      <c r="L130" s="689"/>
      <c r="M130" s="689"/>
      <c r="N130" s="689"/>
      <c r="O130" s="689"/>
      <c r="P130" s="689"/>
    </row>
    <row r="131" spans="1:16" ht="27.2" customHeight="1" x14ac:dyDescent="0.25">
      <c r="A131" s="521"/>
      <c r="B131" s="683" t="s">
        <v>574</v>
      </c>
      <c r="C131" s="683"/>
      <c r="D131" s="683"/>
      <c r="E131" s="683"/>
      <c r="F131" s="683"/>
      <c r="G131" s="683"/>
      <c r="H131" s="683"/>
      <c r="I131" s="521"/>
      <c r="J131" s="521"/>
      <c r="K131" s="683" t="s">
        <v>199</v>
      </c>
      <c r="L131" s="683"/>
      <c r="M131" s="683"/>
      <c r="N131" s="683"/>
      <c r="O131" s="684">
        <f>ROUND(SUM($O$114:$O$128),2)</f>
        <v>6803774.0099999998</v>
      </c>
      <c r="P131" s="683"/>
    </row>
    <row r="132" spans="1:16" ht="27.2" customHeight="1" x14ac:dyDescent="0.25">
      <c r="A132" s="521"/>
      <c r="B132" s="683" t="s">
        <v>573</v>
      </c>
      <c r="C132" s="683"/>
      <c r="D132" s="683"/>
      <c r="E132" s="683"/>
      <c r="F132" s="683"/>
      <c r="G132" s="683"/>
      <c r="H132" s="683"/>
      <c r="I132" s="521"/>
      <c r="J132" s="521"/>
      <c r="K132" s="683" t="s">
        <v>199</v>
      </c>
      <c r="L132" s="683"/>
      <c r="M132" s="683"/>
      <c r="N132" s="683"/>
      <c r="O132" s="684">
        <f>ROUND(($O$131),2)</f>
        <v>6803774.0099999998</v>
      </c>
      <c r="P132" s="683"/>
    </row>
    <row r="133" spans="1:16" x14ac:dyDescent="0.25">
      <c r="A133" s="521" t="s">
        <v>207</v>
      </c>
      <c r="B133" s="683" t="s">
        <v>202</v>
      </c>
      <c r="C133" s="683"/>
      <c r="D133" s="683"/>
      <c r="E133" s="683"/>
      <c r="F133" s="683"/>
      <c r="G133" s="683"/>
      <c r="H133" s="683"/>
      <c r="I133" s="521"/>
      <c r="J133" s="521"/>
      <c r="K133" s="683" t="s">
        <v>199</v>
      </c>
      <c r="L133" s="683"/>
      <c r="M133" s="683"/>
      <c r="N133" s="683"/>
      <c r="O133" s="684">
        <f>ROUND($O$35+$O$94+$O$112+$O$132,2)</f>
        <v>18253999.010000002</v>
      </c>
      <c r="P133" s="683"/>
    </row>
    <row r="134" spans="1:16" x14ac:dyDescent="0.25">
      <c r="A134" s="521" t="s">
        <v>203</v>
      </c>
      <c r="B134" s="683" t="s">
        <v>200</v>
      </c>
      <c r="C134" s="683"/>
      <c r="D134" s="683"/>
      <c r="E134" s="683"/>
      <c r="F134" s="683"/>
      <c r="G134" s="683"/>
      <c r="H134" s="683"/>
      <c r="I134" s="521"/>
      <c r="J134" s="521"/>
      <c r="K134" s="683" t="s">
        <v>199</v>
      </c>
      <c r="L134" s="683"/>
      <c r="M134" s="683"/>
      <c r="N134" s="683"/>
      <c r="O134" s="684">
        <f>ROUND(($O$133),2)</f>
        <v>18253999.010000002</v>
      </c>
      <c r="P134" s="683"/>
    </row>
    <row r="136" spans="1:16" ht="30" customHeight="1" x14ac:dyDescent="0.25">
      <c r="A136" s="685" t="s">
        <v>198</v>
      </c>
      <c r="B136" s="685"/>
      <c r="C136" s="685"/>
      <c r="D136" s="685"/>
      <c r="E136" s="685"/>
      <c r="F136" s="685" t="str">
        <f>[12]!СуммаПрописью(O134)</f>
        <v>Восемнадцать миллионов двести пятьдесят три тысячи девятьсот девяносто девять рублей 01 копейка</v>
      </c>
      <c r="G136" s="686"/>
      <c r="H136" s="686"/>
      <c r="I136" s="686"/>
      <c r="J136" s="686"/>
      <c r="K136" s="686"/>
      <c r="L136" s="686"/>
      <c r="M136" s="686"/>
      <c r="N136" s="686"/>
      <c r="O136" s="686"/>
      <c r="P136" s="686"/>
    </row>
    <row r="138" spans="1:16" x14ac:dyDescent="0.25">
      <c r="A138" s="685" t="s">
        <v>333</v>
      </c>
      <c r="B138" s="685"/>
      <c r="C138" s="685"/>
      <c r="D138" s="687"/>
      <c r="E138" s="687"/>
      <c r="F138" s="687"/>
      <c r="G138" s="687"/>
      <c r="H138" s="687"/>
      <c r="I138" s="687"/>
      <c r="J138" s="687"/>
      <c r="K138" s="687"/>
      <c r="L138" s="687"/>
      <c r="M138" s="687"/>
      <c r="N138" s="687"/>
      <c r="O138" s="687"/>
      <c r="P138" s="687"/>
    </row>
    <row r="139" spans="1:16" x14ac:dyDescent="0.25">
      <c r="D139" s="682" t="s">
        <v>331</v>
      </c>
      <c r="E139" s="682"/>
      <c r="F139" s="682"/>
      <c r="G139" s="682"/>
      <c r="H139" s="682"/>
      <c r="I139" s="682"/>
      <c r="J139" s="682"/>
      <c r="K139" s="682"/>
      <c r="L139" s="682"/>
      <c r="M139" s="682"/>
      <c r="N139" s="682"/>
      <c r="O139" s="682"/>
      <c r="P139" s="682"/>
    </row>
    <row r="141" spans="1:16" x14ac:dyDescent="0.25">
      <c r="A141" s="688" t="s">
        <v>332</v>
      </c>
      <c r="B141" s="688"/>
      <c r="C141" s="688"/>
      <c r="D141" s="687"/>
      <c r="E141" s="687"/>
      <c r="F141" s="687"/>
      <c r="G141" s="687"/>
      <c r="H141" s="687"/>
      <c r="I141" s="687"/>
      <c r="J141" s="687"/>
      <c r="K141" s="687"/>
      <c r="L141" s="687"/>
      <c r="M141" s="687"/>
      <c r="N141" s="687"/>
      <c r="O141" s="687"/>
      <c r="P141" s="687"/>
    </row>
    <row r="142" spans="1:16" x14ac:dyDescent="0.25">
      <c r="D142" s="682" t="s">
        <v>331</v>
      </c>
      <c r="E142" s="682"/>
      <c r="F142" s="682"/>
      <c r="G142" s="682"/>
      <c r="H142" s="682"/>
      <c r="I142" s="682"/>
      <c r="J142" s="682"/>
      <c r="K142" s="682"/>
      <c r="L142" s="682"/>
      <c r="M142" s="682"/>
      <c r="N142" s="682"/>
      <c r="O142" s="682"/>
      <c r="P142" s="682"/>
    </row>
  </sheetData>
  <mergeCells count="485">
    <mergeCell ref="A9:P9"/>
    <mergeCell ref="A10:P10"/>
    <mergeCell ref="A12:P12"/>
    <mergeCell ref="A1:D1"/>
    <mergeCell ref="E1:P1"/>
    <mergeCell ref="A3:P3"/>
    <mergeCell ref="A4:P4"/>
    <mergeCell ref="A6:P6"/>
    <mergeCell ref="A7:P7"/>
    <mergeCell ref="B23:E23"/>
    <mergeCell ref="F23:H23"/>
    <mergeCell ref="K23:N23"/>
    <mergeCell ref="O23:P23"/>
    <mergeCell ref="B22:E22"/>
    <mergeCell ref="F22:H22"/>
    <mergeCell ref="K22:N22"/>
    <mergeCell ref="O22:P22"/>
    <mergeCell ref="A14:P14"/>
    <mergeCell ref="B16:E16"/>
    <mergeCell ref="B17:E17"/>
    <mergeCell ref="F16:H16"/>
    <mergeCell ref="F17:H17"/>
    <mergeCell ref="K16:N16"/>
    <mergeCell ref="K17:N17"/>
    <mergeCell ref="O16:P16"/>
    <mergeCell ref="O17:P17"/>
    <mergeCell ref="B29:E29"/>
    <mergeCell ref="F29:H29"/>
    <mergeCell ref="K29:N29"/>
    <mergeCell ref="O29:P29"/>
    <mergeCell ref="B28:E28"/>
    <mergeCell ref="F28:H28"/>
    <mergeCell ref="K28:N28"/>
    <mergeCell ref="O28:P28"/>
    <mergeCell ref="B18:E18"/>
    <mergeCell ref="F18:H18"/>
    <mergeCell ref="K18:N18"/>
    <mergeCell ref="O18:P18"/>
    <mergeCell ref="B19:E19"/>
    <mergeCell ref="F19:H19"/>
    <mergeCell ref="B21:E21"/>
    <mergeCell ref="F21:H21"/>
    <mergeCell ref="K21:N21"/>
    <mergeCell ref="O21:P21"/>
    <mergeCell ref="K19:N19"/>
    <mergeCell ref="O19:P19"/>
    <mergeCell ref="B20:E20"/>
    <mergeCell ref="F20:H20"/>
    <mergeCell ref="K20:N20"/>
    <mergeCell ref="O20:P20"/>
    <mergeCell ref="B35:E35"/>
    <mergeCell ref="F35:H35"/>
    <mergeCell ref="K35:N35"/>
    <mergeCell ref="O35:P35"/>
    <mergeCell ref="B34:E34"/>
    <mergeCell ref="F34:H34"/>
    <mergeCell ref="K34:N34"/>
    <mergeCell ref="O34:P34"/>
    <mergeCell ref="B24:E24"/>
    <mergeCell ref="F24:H24"/>
    <mergeCell ref="K24:N24"/>
    <mergeCell ref="O24:P24"/>
    <mergeCell ref="B25:E25"/>
    <mergeCell ref="F25:H25"/>
    <mergeCell ref="B27:E27"/>
    <mergeCell ref="F27:H27"/>
    <mergeCell ref="K27:N27"/>
    <mergeCell ref="O27:P27"/>
    <mergeCell ref="K25:N25"/>
    <mergeCell ref="O25:P25"/>
    <mergeCell ref="B26:E26"/>
    <mergeCell ref="F26:H26"/>
    <mergeCell ref="K26:N26"/>
    <mergeCell ref="O26:P26"/>
    <mergeCell ref="B30:E30"/>
    <mergeCell ref="F30:H30"/>
    <mergeCell ref="K30:N30"/>
    <mergeCell ref="O30:P30"/>
    <mergeCell ref="B31:E31"/>
    <mergeCell ref="F31:H31"/>
    <mergeCell ref="B33:E33"/>
    <mergeCell ref="F33:H33"/>
    <mergeCell ref="K33:N33"/>
    <mergeCell ref="O33:P33"/>
    <mergeCell ref="K31:N31"/>
    <mergeCell ref="O31:P31"/>
    <mergeCell ref="B32:E32"/>
    <mergeCell ref="F32:H32"/>
    <mergeCell ref="K32:N32"/>
    <mergeCell ref="O32:P32"/>
    <mergeCell ref="F44:H44"/>
    <mergeCell ref="K44:N44"/>
    <mergeCell ref="O44:P44"/>
    <mergeCell ref="B43:E43"/>
    <mergeCell ref="F43:H43"/>
    <mergeCell ref="K43:N43"/>
    <mergeCell ref="O43:P43"/>
    <mergeCell ref="B36:E36"/>
    <mergeCell ref="F36:H36"/>
    <mergeCell ref="K36:N36"/>
    <mergeCell ref="O36:P36"/>
    <mergeCell ref="A37:P37"/>
    <mergeCell ref="B38:E38"/>
    <mergeCell ref="F38:H38"/>
    <mergeCell ref="K38:N38"/>
    <mergeCell ref="O38:P38"/>
    <mergeCell ref="F50:H50"/>
    <mergeCell ref="K50:N50"/>
    <mergeCell ref="O50:P50"/>
    <mergeCell ref="B49:E49"/>
    <mergeCell ref="F49:H49"/>
    <mergeCell ref="K49:N49"/>
    <mergeCell ref="O49:P49"/>
    <mergeCell ref="B39:E39"/>
    <mergeCell ref="F39:H39"/>
    <mergeCell ref="K39:N39"/>
    <mergeCell ref="O39:P39"/>
    <mergeCell ref="B40:E40"/>
    <mergeCell ref="F40:H40"/>
    <mergeCell ref="B42:E42"/>
    <mergeCell ref="F42:H42"/>
    <mergeCell ref="K42:N42"/>
    <mergeCell ref="O42:P42"/>
    <mergeCell ref="K40:N40"/>
    <mergeCell ref="O40:P40"/>
    <mergeCell ref="B41:E41"/>
    <mergeCell ref="F41:H41"/>
    <mergeCell ref="K41:N41"/>
    <mergeCell ref="O41:P41"/>
    <mergeCell ref="B44:E44"/>
    <mergeCell ref="F56:H56"/>
    <mergeCell ref="K56:N56"/>
    <mergeCell ref="O56:P56"/>
    <mergeCell ref="B55:E55"/>
    <mergeCell ref="F55:H55"/>
    <mergeCell ref="K55:N55"/>
    <mergeCell ref="O55:P55"/>
    <mergeCell ref="B45:E45"/>
    <mergeCell ref="F45:H45"/>
    <mergeCell ref="K45:N45"/>
    <mergeCell ref="O45:P45"/>
    <mergeCell ref="B46:E46"/>
    <mergeCell ref="F46:H46"/>
    <mergeCell ref="B48:E48"/>
    <mergeCell ref="F48:H48"/>
    <mergeCell ref="K48:N48"/>
    <mergeCell ref="O48:P48"/>
    <mergeCell ref="K46:N46"/>
    <mergeCell ref="O46:P46"/>
    <mergeCell ref="B47:E47"/>
    <mergeCell ref="F47:H47"/>
    <mergeCell ref="K47:N47"/>
    <mergeCell ref="O47:P47"/>
    <mergeCell ref="B50:E50"/>
    <mergeCell ref="K59:N59"/>
    <mergeCell ref="O59:P59"/>
    <mergeCell ref="O61:P61"/>
    <mergeCell ref="B62:E62"/>
    <mergeCell ref="F62:H62"/>
    <mergeCell ref="K62:N62"/>
    <mergeCell ref="O62:P62"/>
    <mergeCell ref="B51:E51"/>
    <mergeCell ref="F51:H51"/>
    <mergeCell ref="K51:N51"/>
    <mergeCell ref="O51:P51"/>
    <mergeCell ref="B52:E52"/>
    <mergeCell ref="F52:H52"/>
    <mergeCell ref="B54:E54"/>
    <mergeCell ref="F54:H54"/>
    <mergeCell ref="K54:N54"/>
    <mergeCell ref="O54:P54"/>
    <mergeCell ref="K52:N52"/>
    <mergeCell ref="O52:P52"/>
    <mergeCell ref="B53:E53"/>
    <mergeCell ref="F53:H53"/>
    <mergeCell ref="K53:N53"/>
    <mergeCell ref="O53:P53"/>
    <mergeCell ref="B56:E56"/>
    <mergeCell ref="B67:E67"/>
    <mergeCell ref="F67:H67"/>
    <mergeCell ref="K67:N67"/>
    <mergeCell ref="O67:P67"/>
    <mergeCell ref="B57:E57"/>
    <mergeCell ref="F57:H57"/>
    <mergeCell ref="K57:N57"/>
    <mergeCell ref="O57:P57"/>
    <mergeCell ref="B58:E58"/>
    <mergeCell ref="K64:N64"/>
    <mergeCell ref="O64:P64"/>
    <mergeCell ref="A65:P65"/>
    <mergeCell ref="B60:E60"/>
    <mergeCell ref="F60:H60"/>
    <mergeCell ref="K60:N60"/>
    <mergeCell ref="O60:P60"/>
    <mergeCell ref="B61:E61"/>
    <mergeCell ref="F61:H61"/>
    <mergeCell ref="K61:N61"/>
    <mergeCell ref="F58:H58"/>
    <mergeCell ref="K58:N58"/>
    <mergeCell ref="O58:P58"/>
    <mergeCell ref="B59:E59"/>
    <mergeCell ref="F59:H59"/>
    <mergeCell ref="B63:E63"/>
    <mergeCell ref="F63:H63"/>
    <mergeCell ref="K63:N63"/>
    <mergeCell ref="O63:P63"/>
    <mergeCell ref="B64:E64"/>
    <mergeCell ref="F64:H64"/>
    <mergeCell ref="B66:E66"/>
    <mergeCell ref="F66:H66"/>
    <mergeCell ref="K66:N66"/>
    <mergeCell ref="O66:P66"/>
    <mergeCell ref="B74:E74"/>
    <mergeCell ref="F74:H74"/>
    <mergeCell ref="K74:N74"/>
    <mergeCell ref="O74:P74"/>
    <mergeCell ref="B73:E73"/>
    <mergeCell ref="F73:H73"/>
    <mergeCell ref="K73:N73"/>
    <mergeCell ref="O73:P73"/>
    <mergeCell ref="B68:E68"/>
    <mergeCell ref="F68:H68"/>
    <mergeCell ref="K68:N68"/>
    <mergeCell ref="O68:P68"/>
    <mergeCell ref="B80:E80"/>
    <mergeCell ref="F80:H80"/>
    <mergeCell ref="K80:N80"/>
    <mergeCell ref="O80:P80"/>
    <mergeCell ref="B79:E79"/>
    <mergeCell ref="F79:H79"/>
    <mergeCell ref="K79:N79"/>
    <mergeCell ref="O79:P79"/>
    <mergeCell ref="B69:E69"/>
    <mergeCell ref="F69:H69"/>
    <mergeCell ref="K69:N69"/>
    <mergeCell ref="O69:P69"/>
    <mergeCell ref="B70:E70"/>
    <mergeCell ref="F70:H70"/>
    <mergeCell ref="B72:E72"/>
    <mergeCell ref="F72:H72"/>
    <mergeCell ref="K72:N72"/>
    <mergeCell ref="O72:P72"/>
    <mergeCell ref="K70:N70"/>
    <mergeCell ref="O70:P70"/>
    <mergeCell ref="B71:E71"/>
    <mergeCell ref="F71:H71"/>
    <mergeCell ref="K71:N71"/>
    <mergeCell ref="O71:P71"/>
    <mergeCell ref="B86:E86"/>
    <mergeCell ref="F86:H86"/>
    <mergeCell ref="K86:N86"/>
    <mergeCell ref="O86:P86"/>
    <mergeCell ref="B85:E85"/>
    <mergeCell ref="F85:H85"/>
    <mergeCell ref="K85:N85"/>
    <mergeCell ref="O85:P85"/>
    <mergeCell ref="B75:E75"/>
    <mergeCell ref="F75:H75"/>
    <mergeCell ref="K75:N75"/>
    <mergeCell ref="O75:P75"/>
    <mergeCell ref="B76:E76"/>
    <mergeCell ref="F76:H76"/>
    <mergeCell ref="B78:E78"/>
    <mergeCell ref="F78:H78"/>
    <mergeCell ref="K78:N78"/>
    <mergeCell ref="O78:P78"/>
    <mergeCell ref="K76:N76"/>
    <mergeCell ref="O76:P76"/>
    <mergeCell ref="B77:E77"/>
    <mergeCell ref="F77:H77"/>
    <mergeCell ref="K77:N77"/>
    <mergeCell ref="O77:P77"/>
    <mergeCell ref="B92:E92"/>
    <mergeCell ref="F92:H92"/>
    <mergeCell ref="K92:N92"/>
    <mergeCell ref="O92:P92"/>
    <mergeCell ref="B91:E91"/>
    <mergeCell ref="F91:H91"/>
    <mergeCell ref="K91:N91"/>
    <mergeCell ref="O91:P91"/>
    <mergeCell ref="B81:E81"/>
    <mergeCell ref="F81:H81"/>
    <mergeCell ref="K81:N81"/>
    <mergeCell ref="O81:P81"/>
    <mergeCell ref="B82:E82"/>
    <mergeCell ref="F82:H82"/>
    <mergeCell ref="B84:E84"/>
    <mergeCell ref="F84:H84"/>
    <mergeCell ref="K84:N84"/>
    <mergeCell ref="O84:P84"/>
    <mergeCell ref="K82:N82"/>
    <mergeCell ref="O82:P82"/>
    <mergeCell ref="B83:E83"/>
    <mergeCell ref="F83:H83"/>
    <mergeCell ref="K83:N83"/>
    <mergeCell ref="O83:P83"/>
    <mergeCell ref="B98:E98"/>
    <mergeCell ref="F98:H98"/>
    <mergeCell ref="K98:N98"/>
    <mergeCell ref="O98:P98"/>
    <mergeCell ref="B97:E97"/>
    <mergeCell ref="F97:H97"/>
    <mergeCell ref="K97:N97"/>
    <mergeCell ref="O97:P97"/>
    <mergeCell ref="B87:E87"/>
    <mergeCell ref="F87:H87"/>
    <mergeCell ref="K87:N87"/>
    <mergeCell ref="O87:P87"/>
    <mergeCell ref="B88:E88"/>
    <mergeCell ref="F88:H88"/>
    <mergeCell ref="B90:E90"/>
    <mergeCell ref="F90:H90"/>
    <mergeCell ref="K90:N90"/>
    <mergeCell ref="O90:P90"/>
    <mergeCell ref="K88:N88"/>
    <mergeCell ref="O88:P88"/>
    <mergeCell ref="B89:E89"/>
    <mergeCell ref="F89:H89"/>
    <mergeCell ref="K89:N89"/>
    <mergeCell ref="O89:P89"/>
    <mergeCell ref="B104:E104"/>
    <mergeCell ref="F104:H104"/>
    <mergeCell ref="K104:N104"/>
    <mergeCell ref="O104:P104"/>
    <mergeCell ref="B103:E103"/>
    <mergeCell ref="F103:H103"/>
    <mergeCell ref="K103:N103"/>
    <mergeCell ref="O103:P103"/>
    <mergeCell ref="B93:E93"/>
    <mergeCell ref="F93:H93"/>
    <mergeCell ref="K93:N93"/>
    <mergeCell ref="O93:P93"/>
    <mergeCell ref="B94:E94"/>
    <mergeCell ref="F94:H94"/>
    <mergeCell ref="B96:E96"/>
    <mergeCell ref="F96:H96"/>
    <mergeCell ref="K96:N96"/>
    <mergeCell ref="O96:P96"/>
    <mergeCell ref="K94:N94"/>
    <mergeCell ref="O94:P94"/>
    <mergeCell ref="B95:E95"/>
    <mergeCell ref="F95:H95"/>
    <mergeCell ref="K95:N95"/>
    <mergeCell ref="O95:P95"/>
    <mergeCell ref="B110:E110"/>
    <mergeCell ref="F110:H110"/>
    <mergeCell ref="K110:N110"/>
    <mergeCell ref="O110:P110"/>
    <mergeCell ref="B109:E109"/>
    <mergeCell ref="F109:H109"/>
    <mergeCell ref="K109:N109"/>
    <mergeCell ref="O109:P109"/>
    <mergeCell ref="B99:E99"/>
    <mergeCell ref="F99:H99"/>
    <mergeCell ref="K99:N99"/>
    <mergeCell ref="O99:P99"/>
    <mergeCell ref="B100:E100"/>
    <mergeCell ref="F100:H100"/>
    <mergeCell ref="B102:E102"/>
    <mergeCell ref="F102:H102"/>
    <mergeCell ref="K102:N102"/>
    <mergeCell ref="O102:P102"/>
    <mergeCell ref="K100:N100"/>
    <mergeCell ref="O100:P100"/>
    <mergeCell ref="B101:E101"/>
    <mergeCell ref="F101:H101"/>
    <mergeCell ref="K101:N101"/>
    <mergeCell ref="O101:P101"/>
    <mergeCell ref="B116:E116"/>
    <mergeCell ref="F116:H116"/>
    <mergeCell ref="K116:N116"/>
    <mergeCell ref="O116:P116"/>
    <mergeCell ref="B115:E115"/>
    <mergeCell ref="F115:H115"/>
    <mergeCell ref="K115:N115"/>
    <mergeCell ref="O115:P115"/>
    <mergeCell ref="B105:E105"/>
    <mergeCell ref="F105:H105"/>
    <mergeCell ref="K105:N105"/>
    <mergeCell ref="O105:P105"/>
    <mergeCell ref="B106:E106"/>
    <mergeCell ref="F106:H106"/>
    <mergeCell ref="B108:E108"/>
    <mergeCell ref="F108:H108"/>
    <mergeCell ref="K108:N108"/>
    <mergeCell ref="O108:P108"/>
    <mergeCell ref="K106:N106"/>
    <mergeCell ref="O106:P106"/>
    <mergeCell ref="B107:E107"/>
    <mergeCell ref="F107:H107"/>
    <mergeCell ref="K107:N107"/>
    <mergeCell ref="O107:P107"/>
    <mergeCell ref="B122:E122"/>
    <mergeCell ref="F122:H122"/>
    <mergeCell ref="K122:N122"/>
    <mergeCell ref="O122:P122"/>
    <mergeCell ref="B121:E121"/>
    <mergeCell ref="F121:H121"/>
    <mergeCell ref="K121:N121"/>
    <mergeCell ref="O121:P121"/>
    <mergeCell ref="B111:E111"/>
    <mergeCell ref="F111:H111"/>
    <mergeCell ref="K111:N111"/>
    <mergeCell ref="O111:P111"/>
    <mergeCell ref="B112:E112"/>
    <mergeCell ref="F112:H112"/>
    <mergeCell ref="B114:E114"/>
    <mergeCell ref="F114:H114"/>
    <mergeCell ref="K114:N114"/>
    <mergeCell ref="O114:P114"/>
    <mergeCell ref="K112:N112"/>
    <mergeCell ref="O112:P112"/>
    <mergeCell ref="B113:E113"/>
    <mergeCell ref="F113:H113"/>
    <mergeCell ref="K113:N113"/>
    <mergeCell ref="O113:P113"/>
    <mergeCell ref="B117:E117"/>
    <mergeCell ref="F117:H117"/>
    <mergeCell ref="K117:N117"/>
    <mergeCell ref="O117:P117"/>
    <mergeCell ref="B118:E118"/>
    <mergeCell ref="F118:H118"/>
    <mergeCell ref="B120:E120"/>
    <mergeCell ref="F120:H120"/>
    <mergeCell ref="K120:N120"/>
    <mergeCell ref="O120:P120"/>
    <mergeCell ref="K118:N118"/>
    <mergeCell ref="O118:P118"/>
    <mergeCell ref="B119:E119"/>
    <mergeCell ref="F119:H119"/>
    <mergeCell ref="K119:N119"/>
    <mergeCell ref="O119:P119"/>
    <mergeCell ref="F131:H131"/>
    <mergeCell ref="K131:N131"/>
    <mergeCell ref="O131:P131"/>
    <mergeCell ref="A123:P123"/>
    <mergeCell ref="B124:E124"/>
    <mergeCell ref="F124:H124"/>
    <mergeCell ref="K124:N124"/>
    <mergeCell ref="O124:P124"/>
    <mergeCell ref="B125:E125"/>
    <mergeCell ref="F125:H125"/>
    <mergeCell ref="K125:N125"/>
    <mergeCell ref="O125:P125"/>
    <mergeCell ref="B126:E126"/>
    <mergeCell ref="F126:H126"/>
    <mergeCell ref="K126:N126"/>
    <mergeCell ref="O126:P126"/>
    <mergeCell ref="B127:E127"/>
    <mergeCell ref="F134:H134"/>
    <mergeCell ref="K134:N134"/>
    <mergeCell ref="O134:P134"/>
    <mergeCell ref="B129:E129"/>
    <mergeCell ref="F129:H129"/>
    <mergeCell ref="K129:N129"/>
    <mergeCell ref="O129:P129"/>
    <mergeCell ref="B130:E130"/>
    <mergeCell ref="F130:H130"/>
    <mergeCell ref="K130:N130"/>
    <mergeCell ref="F127:H127"/>
    <mergeCell ref="K127:N127"/>
    <mergeCell ref="O127:P127"/>
    <mergeCell ref="B128:E128"/>
    <mergeCell ref="F128:H128"/>
    <mergeCell ref="K128:N128"/>
    <mergeCell ref="O128:P128"/>
    <mergeCell ref="O130:P130"/>
    <mergeCell ref="B131:E131"/>
    <mergeCell ref="D142:P142"/>
    <mergeCell ref="B132:E132"/>
    <mergeCell ref="F132:H132"/>
    <mergeCell ref="K132:N132"/>
    <mergeCell ref="O132:P132"/>
    <mergeCell ref="B133:E133"/>
    <mergeCell ref="F133:H133"/>
    <mergeCell ref="K133:N133"/>
    <mergeCell ref="O133:P133"/>
    <mergeCell ref="B134:E134"/>
    <mergeCell ref="A136:E136"/>
    <mergeCell ref="F136:P136"/>
    <mergeCell ref="A138:C138"/>
    <mergeCell ref="D138:P138"/>
    <mergeCell ref="D139:P139"/>
    <mergeCell ref="A141:C141"/>
    <mergeCell ref="D141:P141"/>
  </mergeCells>
  <pageMargins left="0.4" right="0.4" top="0.75" bottom="0.75" header="0.3" footer="0.3"/>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76"/>
  <sheetViews>
    <sheetView showRuler="0" workbookViewId="0">
      <selection activeCell="F16" sqref="F16:H16"/>
    </sheetView>
  </sheetViews>
  <sheetFormatPr defaultRowHeight="15" x14ac:dyDescent="0.25"/>
  <cols>
    <col min="1" max="1" width="6.42578125" style="520" customWidth="1"/>
    <col min="2" max="50" width="8" style="520" customWidth="1"/>
    <col min="51" max="16384" width="9.140625" style="519"/>
  </cols>
  <sheetData>
    <row r="1" spans="1:16" ht="27.2" customHeight="1" x14ac:dyDescent="0.25">
      <c r="A1" s="696" t="s">
        <v>1341</v>
      </c>
      <c r="B1" s="696"/>
      <c r="C1" s="696"/>
      <c r="D1" s="696"/>
      <c r="E1" s="697" t="s">
        <v>370</v>
      </c>
      <c r="F1" s="697"/>
      <c r="G1" s="697"/>
      <c r="H1" s="697"/>
      <c r="I1" s="697"/>
      <c r="J1" s="697"/>
      <c r="K1" s="697"/>
      <c r="L1" s="697"/>
      <c r="M1" s="697"/>
      <c r="N1" s="697"/>
      <c r="O1" s="697"/>
      <c r="P1" s="697"/>
    </row>
    <row r="2" spans="1:16" ht="15" customHeight="1" x14ac:dyDescent="0.25"/>
    <row r="3" spans="1:16" ht="15" customHeight="1" x14ac:dyDescent="0.25">
      <c r="A3" s="688" t="s">
        <v>644</v>
      </c>
      <c r="B3" s="688"/>
      <c r="C3" s="688"/>
      <c r="D3" s="688"/>
      <c r="E3" s="688"/>
      <c r="F3" s="688"/>
      <c r="G3" s="688"/>
      <c r="H3" s="688"/>
      <c r="I3" s="688"/>
      <c r="J3" s="688"/>
      <c r="K3" s="688"/>
      <c r="L3" s="688"/>
      <c r="M3" s="688"/>
      <c r="N3" s="688"/>
      <c r="O3" s="688"/>
      <c r="P3" s="688"/>
    </row>
    <row r="4" spans="1:16" ht="15" customHeight="1" x14ac:dyDescent="0.25">
      <c r="A4" s="698" t="s">
        <v>1368</v>
      </c>
      <c r="B4" s="698"/>
      <c r="C4" s="698"/>
      <c r="D4" s="698"/>
      <c r="E4" s="698"/>
      <c r="F4" s="698"/>
      <c r="G4" s="698"/>
      <c r="H4" s="698"/>
      <c r="I4" s="698"/>
      <c r="J4" s="698"/>
      <c r="K4" s="698"/>
      <c r="L4" s="698"/>
      <c r="M4" s="698"/>
      <c r="N4" s="698"/>
      <c r="O4" s="698"/>
      <c r="P4" s="698"/>
    </row>
    <row r="5" spans="1:16" ht="15" customHeight="1" x14ac:dyDescent="0.25"/>
    <row r="6" spans="1:16" ht="15" customHeight="1" x14ac:dyDescent="0.25">
      <c r="A6" s="688" t="s">
        <v>643</v>
      </c>
      <c r="B6" s="688"/>
      <c r="C6" s="688"/>
      <c r="D6" s="688"/>
      <c r="E6" s="688"/>
      <c r="F6" s="688"/>
      <c r="G6" s="688"/>
      <c r="H6" s="688"/>
      <c r="I6" s="688"/>
      <c r="J6" s="688"/>
      <c r="K6" s="688"/>
      <c r="L6" s="688"/>
      <c r="M6" s="688"/>
      <c r="N6" s="688"/>
      <c r="O6" s="688"/>
      <c r="P6" s="688"/>
    </row>
    <row r="7" spans="1:16" ht="15" customHeight="1" x14ac:dyDescent="0.25">
      <c r="A7" s="682" t="s">
        <v>368</v>
      </c>
      <c r="B7" s="682"/>
      <c r="C7" s="682"/>
      <c r="D7" s="682"/>
      <c r="E7" s="682"/>
      <c r="F7" s="682"/>
      <c r="G7" s="682"/>
      <c r="H7" s="682"/>
      <c r="I7" s="682"/>
      <c r="J7" s="682"/>
      <c r="K7" s="682"/>
      <c r="L7" s="682"/>
      <c r="M7" s="682"/>
      <c r="N7" s="682"/>
      <c r="O7" s="682"/>
      <c r="P7" s="682"/>
    </row>
    <row r="8" spans="1:16" ht="15" customHeight="1" x14ac:dyDescent="0.25"/>
    <row r="9" spans="1:16" ht="30" customHeight="1" x14ac:dyDescent="0.25">
      <c r="A9" s="688" t="s">
        <v>1431</v>
      </c>
      <c r="B9" s="688"/>
      <c r="C9" s="688"/>
      <c r="D9" s="688"/>
      <c r="E9" s="688"/>
      <c r="F9" s="688"/>
      <c r="G9" s="688"/>
      <c r="H9" s="688"/>
      <c r="I9" s="688"/>
      <c r="J9" s="688"/>
      <c r="K9" s="688"/>
      <c r="L9" s="688"/>
      <c r="M9" s="688"/>
      <c r="N9" s="688"/>
      <c r="O9" s="688"/>
      <c r="P9" s="688"/>
    </row>
    <row r="10" spans="1:16" ht="15" customHeight="1" x14ac:dyDescent="0.25">
      <c r="A10" s="682" t="s">
        <v>367</v>
      </c>
      <c r="B10" s="682"/>
      <c r="C10" s="682"/>
      <c r="D10" s="682"/>
      <c r="E10" s="682"/>
      <c r="F10" s="682"/>
      <c r="G10" s="682"/>
      <c r="H10" s="682"/>
      <c r="I10" s="682"/>
      <c r="J10" s="682"/>
      <c r="K10" s="682"/>
      <c r="L10" s="682"/>
      <c r="M10" s="682"/>
      <c r="N10" s="682"/>
      <c r="O10" s="682"/>
      <c r="P10" s="682"/>
    </row>
    <row r="11" spans="1:16" ht="15" customHeight="1" x14ac:dyDescent="0.25"/>
    <row r="12" spans="1:16" ht="15" customHeight="1" x14ac:dyDescent="0.25">
      <c r="A12" s="685" t="s">
        <v>642</v>
      </c>
      <c r="B12" s="685"/>
      <c r="C12" s="685"/>
      <c r="D12" s="685"/>
      <c r="E12" s="685"/>
      <c r="F12" s="685"/>
      <c r="G12" s="685"/>
      <c r="H12" s="685"/>
      <c r="I12" s="685"/>
      <c r="J12" s="685"/>
      <c r="K12" s="685"/>
      <c r="L12" s="685"/>
      <c r="M12" s="685"/>
      <c r="N12" s="685"/>
      <c r="O12" s="685"/>
      <c r="P12" s="685"/>
    </row>
    <row r="13" spans="1:16" ht="15" customHeight="1" x14ac:dyDescent="0.25"/>
    <row r="14" spans="1:16" ht="15" customHeight="1" x14ac:dyDescent="0.25">
      <c r="A14" s="685" t="s">
        <v>229</v>
      </c>
      <c r="B14" s="685"/>
      <c r="C14" s="685"/>
      <c r="D14" s="685"/>
      <c r="E14" s="685"/>
      <c r="F14" s="685"/>
      <c r="G14" s="685"/>
      <c r="H14" s="685"/>
      <c r="I14" s="685"/>
      <c r="J14" s="685"/>
      <c r="K14" s="685"/>
      <c r="L14" s="685"/>
      <c r="M14" s="685"/>
      <c r="N14" s="685"/>
      <c r="O14" s="685"/>
      <c r="P14" s="685"/>
    </row>
    <row r="15" spans="1:16" ht="15" customHeight="1" x14ac:dyDescent="0.25"/>
    <row r="16" spans="1:16" ht="122.45" customHeight="1" x14ac:dyDescent="0.25">
      <c r="A16" s="526" t="s">
        <v>228</v>
      </c>
      <c r="B16" s="695" t="s">
        <v>90</v>
      </c>
      <c r="C16" s="695"/>
      <c r="D16" s="695"/>
      <c r="E16" s="695"/>
      <c r="F16" s="695" t="s">
        <v>296</v>
      </c>
      <c r="G16" s="695"/>
      <c r="H16" s="695"/>
      <c r="I16" s="526" t="s">
        <v>634</v>
      </c>
      <c r="J16" s="526" t="s">
        <v>175</v>
      </c>
      <c r="K16" s="695" t="s">
        <v>226</v>
      </c>
      <c r="L16" s="695"/>
      <c r="M16" s="695"/>
      <c r="N16" s="695"/>
      <c r="O16" s="695" t="s">
        <v>366</v>
      </c>
      <c r="P16" s="695"/>
    </row>
    <row r="17" spans="1:16" ht="15" customHeight="1" x14ac:dyDescent="0.25">
      <c r="A17" s="526">
        <v>1</v>
      </c>
      <c r="B17" s="695">
        <v>2</v>
      </c>
      <c r="C17" s="695"/>
      <c r="D17" s="695"/>
      <c r="E17" s="695"/>
      <c r="F17" s="695">
        <v>3</v>
      </c>
      <c r="G17" s="695"/>
      <c r="H17" s="695"/>
      <c r="I17" s="526">
        <v>4</v>
      </c>
      <c r="J17" s="526">
        <v>5</v>
      </c>
      <c r="K17" s="695">
        <v>6</v>
      </c>
      <c r="L17" s="695"/>
      <c r="M17" s="695"/>
      <c r="N17" s="695"/>
      <c r="O17" s="695">
        <v>7</v>
      </c>
      <c r="P17" s="695"/>
    </row>
    <row r="18" spans="1:16" ht="15" customHeight="1" x14ac:dyDescent="0.25">
      <c r="A18" s="521"/>
      <c r="B18" s="683" t="s">
        <v>365</v>
      </c>
      <c r="C18" s="683"/>
      <c r="D18" s="683"/>
      <c r="E18" s="683"/>
      <c r="F18" s="683"/>
      <c r="G18" s="683"/>
      <c r="H18" s="683"/>
      <c r="I18" s="521"/>
      <c r="J18" s="521"/>
      <c r="K18" s="683"/>
      <c r="L18" s="683"/>
      <c r="M18" s="683"/>
      <c r="N18" s="683"/>
      <c r="O18" s="683"/>
      <c r="P18" s="683"/>
    </row>
    <row r="19" spans="1:16" ht="54.4" customHeight="1" x14ac:dyDescent="0.25">
      <c r="A19" s="525" t="s">
        <v>2</v>
      </c>
      <c r="B19" s="691" t="s">
        <v>1367</v>
      </c>
      <c r="C19" s="692"/>
      <c r="D19" s="692"/>
      <c r="E19" s="692"/>
      <c r="F19" s="692" t="s">
        <v>1383</v>
      </c>
      <c r="G19" s="692"/>
      <c r="H19" s="692"/>
      <c r="I19" s="524" t="s">
        <v>1358</v>
      </c>
      <c r="J19" s="524" t="s">
        <v>1380</v>
      </c>
      <c r="K19" s="692" t="s">
        <v>1382</v>
      </c>
      <c r="L19" s="692"/>
      <c r="M19" s="692"/>
      <c r="N19" s="692"/>
      <c r="O19" s="693">
        <f>ROUND(47 * 3600 * 1.25, 2)</f>
        <v>211500</v>
      </c>
      <c r="P19" s="692"/>
    </row>
    <row r="20" spans="1:16" ht="15" customHeight="1" x14ac:dyDescent="0.25">
      <c r="A20" s="523"/>
      <c r="B20" s="690" t="s">
        <v>204</v>
      </c>
      <c r="C20" s="690"/>
      <c r="D20" s="690"/>
      <c r="E20" s="690"/>
      <c r="F20" s="690" t="s">
        <v>199</v>
      </c>
      <c r="G20" s="690"/>
      <c r="H20" s="690"/>
      <c r="I20" s="523"/>
      <c r="J20" s="523"/>
      <c r="K20" s="690" t="s">
        <v>199</v>
      </c>
      <c r="L20" s="690"/>
      <c r="M20" s="690"/>
      <c r="N20" s="690"/>
      <c r="O20" s="690"/>
      <c r="P20" s="690"/>
    </row>
    <row r="21" spans="1:16" ht="54.4" customHeight="1" x14ac:dyDescent="0.25">
      <c r="A21" s="522"/>
      <c r="B21" s="689" t="s">
        <v>572</v>
      </c>
      <c r="C21" s="689"/>
      <c r="D21" s="689"/>
      <c r="E21" s="689"/>
      <c r="F21" s="689" t="s">
        <v>571</v>
      </c>
      <c r="G21" s="689"/>
      <c r="H21" s="689"/>
      <c r="I21" s="522"/>
      <c r="J21" s="522"/>
      <c r="K21" s="689" t="s">
        <v>199</v>
      </c>
      <c r="L21" s="689"/>
      <c r="M21" s="689"/>
      <c r="N21" s="689"/>
      <c r="O21" s="689"/>
      <c r="P21" s="689"/>
    </row>
    <row r="22" spans="1:16" ht="204" customHeight="1" x14ac:dyDescent="0.25">
      <c r="A22" s="525" t="s">
        <v>3</v>
      </c>
      <c r="B22" s="691" t="s">
        <v>1366</v>
      </c>
      <c r="C22" s="692"/>
      <c r="D22" s="692"/>
      <c r="E22" s="692"/>
      <c r="F22" s="692" t="s">
        <v>1365</v>
      </c>
      <c r="G22" s="692"/>
      <c r="H22" s="692"/>
      <c r="I22" s="524" t="s">
        <v>1355</v>
      </c>
      <c r="J22" s="524" t="s">
        <v>940</v>
      </c>
      <c r="K22" s="692" t="s">
        <v>1364</v>
      </c>
      <c r="L22" s="692"/>
      <c r="M22" s="692"/>
      <c r="N22" s="692"/>
      <c r="O22" s="693">
        <f>ROUND(4389 * 36 * 1.25 * 0.65 * 1.05, 2)</f>
        <v>134797.16</v>
      </c>
      <c r="P22" s="692"/>
    </row>
    <row r="23" spans="1:16" ht="15" customHeight="1" x14ac:dyDescent="0.25">
      <c r="A23" s="523"/>
      <c r="B23" s="690" t="s">
        <v>204</v>
      </c>
      <c r="C23" s="690"/>
      <c r="D23" s="690"/>
      <c r="E23" s="690"/>
      <c r="F23" s="690" t="s">
        <v>199</v>
      </c>
      <c r="G23" s="690"/>
      <c r="H23" s="690"/>
      <c r="I23" s="523"/>
      <c r="J23" s="523"/>
      <c r="K23" s="690" t="s">
        <v>199</v>
      </c>
      <c r="L23" s="690"/>
      <c r="M23" s="690"/>
      <c r="N23" s="690"/>
      <c r="O23" s="690"/>
      <c r="P23" s="690"/>
    </row>
    <row r="24" spans="1:16" ht="54.4" customHeight="1" x14ac:dyDescent="0.25">
      <c r="A24" s="522"/>
      <c r="B24" s="689" t="s">
        <v>572</v>
      </c>
      <c r="C24" s="689"/>
      <c r="D24" s="689"/>
      <c r="E24" s="689"/>
      <c r="F24" s="689" t="s">
        <v>571</v>
      </c>
      <c r="G24" s="689"/>
      <c r="H24" s="689"/>
      <c r="I24" s="522"/>
      <c r="J24" s="522"/>
      <c r="K24" s="689" t="s">
        <v>199</v>
      </c>
      <c r="L24" s="689"/>
      <c r="M24" s="689"/>
      <c r="N24" s="689"/>
      <c r="O24" s="689"/>
      <c r="P24" s="689"/>
    </row>
    <row r="25" spans="1:16" ht="149.65" customHeight="1" x14ac:dyDescent="0.25">
      <c r="A25" s="522"/>
      <c r="B25" s="689" t="s">
        <v>1363</v>
      </c>
      <c r="C25" s="689"/>
      <c r="D25" s="689"/>
      <c r="E25" s="689"/>
      <c r="F25" s="689" t="s">
        <v>1362</v>
      </c>
      <c r="G25" s="689"/>
      <c r="H25" s="689"/>
      <c r="I25" s="522"/>
      <c r="J25" s="522"/>
      <c r="K25" s="689" t="s">
        <v>199</v>
      </c>
      <c r="L25" s="689"/>
      <c r="M25" s="689"/>
      <c r="N25" s="689"/>
      <c r="O25" s="689"/>
      <c r="P25" s="689"/>
    </row>
    <row r="26" spans="1:16" ht="163.15" customHeight="1" x14ac:dyDescent="0.25">
      <c r="A26" s="522"/>
      <c r="B26" s="689" t="s">
        <v>1361</v>
      </c>
      <c r="C26" s="689"/>
      <c r="D26" s="689"/>
      <c r="E26" s="689"/>
      <c r="F26" s="689" t="s">
        <v>1360</v>
      </c>
      <c r="G26" s="689"/>
      <c r="H26" s="689"/>
      <c r="I26" s="522"/>
      <c r="J26" s="522"/>
      <c r="K26" s="689" t="s">
        <v>199</v>
      </c>
      <c r="L26" s="689"/>
      <c r="M26" s="689"/>
      <c r="N26" s="689"/>
      <c r="O26" s="689"/>
      <c r="P26" s="689"/>
    </row>
    <row r="27" spans="1:16" ht="15" customHeight="1" x14ac:dyDescent="0.25">
      <c r="A27" s="521"/>
      <c r="B27" s="683" t="s">
        <v>356</v>
      </c>
      <c r="C27" s="683"/>
      <c r="D27" s="683"/>
      <c r="E27" s="683"/>
      <c r="F27" s="683"/>
      <c r="G27" s="683"/>
      <c r="H27" s="683"/>
      <c r="I27" s="521"/>
      <c r="J27" s="521"/>
      <c r="K27" s="683" t="s">
        <v>199</v>
      </c>
      <c r="L27" s="683"/>
      <c r="M27" s="683"/>
      <c r="N27" s="683"/>
      <c r="O27" s="684">
        <f>ROUND(SUM($O$19:$O$22),2)</f>
        <v>346297.16</v>
      </c>
      <c r="P27" s="683"/>
    </row>
    <row r="28" spans="1:16" ht="15" customHeight="1" x14ac:dyDescent="0.25">
      <c r="A28" s="521"/>
      <c r="B28" s="683" t="s">
        <v>355</v>
      </c>
      <c r="C28" s="683"/>
      <c r="D28" s="683"/>
      <c r="E28" s="683"/>
      <c r="F28" s="683"/>
      <c r="G28" s="683"/>
      <c r="H28" s="683"/>
      <c r="I28" s="521"/>
      <c r="J28" s="521"/>
      <c r="K28" s="683" t="s">
        <v>199</v>
      </c>
      <c r="L28" s="683"/>
      <c r="M28" s="683"/>
      <c r="N28" s="683"/>
      <c r="O28" s="684">
        <f>ROUND(($O$27),2)</f>
        <v>346297.16</v>
      </c>
      <c r="P28" s="683"/>
    </row>
    <row r="29" spans="1:16" ht="15" customHeight="1" x14ac:dyDescent="0.25">
      <c r="A29" s="521"/>
      <c r="B29" s="683" t="s">
        <v>627</v>
      </c>
      <c r="C29" s="683"/>
      <c r="D29" s="683"/>
      <c r="E29" s="683"/>
      <c r="F29" s="683"/>
      <c r="G29" s="683"/>
      <c r="H29" s="683"/>
      <c r="I29" s="521"/>
      <c r="J29" s="521"/>
      <c r="K29" s="683"/>
      <c r="L29" s="683"/>
      <c r="M29" s="683"/>
      <c r="N29" s="683"/>
      <c r="O29" s="683"/>
      <c r="P29" s="683"/>
    </row>
    <row r="30" spans="1:16" ht="15" customHeight="1" x14ac:dyDescent="0.25">
      <c r="A30" s="521"/>
      <c r="B30" s="683" t="s">
        <v>345</v>
      </c>
      <c r="C30" s="683"/>
      <c r="D30" s="683"/>
      <c r="E30" s="683"/>
      <c r="F30" s="683"/>
      <c r="G30" s="683"/>
      <c r="H30" s="683"/>
      <c r="I30" s="521"/>
      <c r="J30" s="521"/>
      <c r="K30" s="683" t="s">
        <v>199</v>
      </c>
      <c r="L30" s="683"/>
      <c r="M30" s="683"/>
      <c r="N30" s="683"/>
      <c r="O30" s="684">
        <v>0</v>
      </c>
      <c r="P30" s="683"/>
    </row>
    <row r="31" spans="1:16" ht="15" customHeight="1" x14ac:dyDescent="0.25">
      <c r="A31" s="521"/>
      <c r="B31" s="683" t="s">
        <v>344</v>
      </c>
      <c r="C31" s="683"/>
      <c r="D31" s="683"/>
      <c r="E31" s="683"/>
      <c r="F31" s="683"/>
      <c r="G31" s="683"/>
      <c r="H31" s="683"/>
      <c r="I31" s="521"/>
      <c r="J31" s="521"/>
      <c r="K31" s="683" t="s">
        <v>199</v>
      </c>
      <c r="L31" s="683"/>
      <c r="M31" s="683"/>
      <c r="N31" s="683"/>
      <c r="O31" s="684">
        <f>ROUND(($O$30),2)</f>
        <v>0</v>
      </c>
      <c r="P31" s="683"/>
    </row>
    <row r="32" spans="1:16" ht="15" customHeight="1" x14ac:dyDescent="0.25">
      <c r="A32" s="521"/>
      <c r="B32" s="683" t="s">
        <v>593</v>
      </c>
      <c r="C32" s="683"/>
      <c r="D32" s="683"/>
      <c r="E32" s="683"/>
      <c r="F32" s="683"/>
      <c r="G32" s="683"/>
      <c r="H32" s="683"/>
      <c r="I32" s="521"/>
      <c r="J32" s="521"/>
      <c r="K32" s="683"/>
      <c r="L32" s="683"/>
      <c r="M32" s="683"/>
      <c r="N32" s="683"/>
      <c r="O32" s="683"/>
      <c r="P32" s="683"/>
    </row>
    <row r="33" spans="1:16" ht="81.599999999999994" customHeight="1" x14ac:dyDescent="0.25">
      <c r="A33" s="525" t="s">
        <v>217</v>
      </c>
      <c r="B33" s="691" t="s">
        <v>1359</v>
      </c>
      <c r="C33" s="692"/>
      <c r="D33" s="692"/>
      <c r="E33" s="692"/>
      <c r="F33" s="692" t="s">
        <v>1381</v>
      </c>
      <c r="G33" s="692"/>
      <c r="H33" s="692"/>
      <c r="I33" s="524" t="s">
        <v>1358</v>
      </c>
      <c r="J33" s="524" t="s">
        <v>1380</v>
      </c>
      <c r="K33" s="692" t="s">
        <v>1379</v>
      </c>
      <c r="L33" s="692"/>
      <c r="M33" s="692"/>
      <c r="N33" s="692"/>
      <c r="O33" s="693">
        <f>ROUND(108 * 3600 * 1.25, 2)</f>
        <v>486000</v>
      </c>
      <c r="P33" s="692"/>
    </row>
    <row r="34" spans="1:16" ht="15" customHeight="1" x14ac:dyDescent="0.25">
      <c r="A34" s="523"/>
      <c r="B34" s="690" t="s">
        <v>204</v>
      </c>
      <c r="C34" s="690"/>
      <c r="D34" s="690"/>
      <c r="E34" s="690"/>
      <c r="F34" s="690" t="s">
        <v>199</v>
      </c>
      <c r="G34" s="690"/>
      <c r="H34" s="690"/>
      <c r="I34" s="523"/>
      <c r="J34" s="523"/>
      <c r="K34" s="690" t="s">
        <v>199</v>
      </c>
      <c r="L34" s="690"/>
      <c r="M34" s="690"/>
      <c r="N34" s="690"/>
      <c r="O34" s="690"/>
      <c r="P34" s="690"/>
    </row>
    <row r="35" spans="1:16" ht="54.4" customHeight="1" x14ac:dyDescent="0.25">
      <c r="A35" s="522"/>
      <c r="B35" s="689" t="s">
        <v>572</v>
      </c>
      <c r="C35" s="689"/>
      <c r="D35" s="689"/>
      <c r="E35" s="689"/>
      <c r="F35" s="689" t="s">
        <v>571</v>
      </c>
      <c r="G35" s="689"/>
      <c r="H35" s="689"/>
      <c r="I35" s="522"/>
      <c r="J35" s="522"/>
      <c r="K35" s="689" t="s">
        <v>199</v>
      </c>
      <c r="L35" s="689"/>
      <c r="M35" s="689"/>
      <c r="N35" s="689"/>
      <c r="O35" s="689"/>
      <c r="P35" s="689"/>
    </row>
    <row r="36" spans="1:16" ht="108.75" customHeight="1" x14ac:dyDescent="0.25">
      <c r="A36" s="525" t="s">
        <v>216</v>
      </c>
      <c r="B36" s="691" t="s">
        <v>1357</v>
      </c>
      <c r="C36" s="692"/>
      <c r="D36" s="692"/>
      <c r="E36" s="692"/>
      <c r="F36" s="692" t="s">
        <v>1356</v>
      </c>
      <c r="G36" s="692"/>
      <c r="H36" s="692"/>
      <c r="I36" s="524" t="s">
        <v>1355</v>
      </c>
      <c r="J36" s="524" t="s">
        <v>940</v>
      </c>
      <c r="K36" s="692" t="s">
        <v>1354</v>
      </c>
      <c r="L36" s="692"/>
      <c r="M36" s="692"/>
      <c r="N36" s="692"/>
      <c r="O36" s="693">
        <f>ROUND(2994 * 36 * 1.25 * 0.71, 2)</f>
        <v>95658.3</v>
      </c>
      <c r="P36" s="692"/>
    </row>
    <row r="37" spans="1:16" ht="15" customHeight="1" x14ac:dyDescent="0.25">
      <c r="A37" s="523"/>
      <c r="B37" s="690" t="s">
        <v>204</v>
      </c>
      <c r="C37" s="690"/>
      <c r="D37" s="690"/>
      <c r="E37" s="690"/>
      <c r="F37" s="690" t="s">
        <v>199</v>
      </c>
      <c r="G37" s="690"/>
      <c r="H37" s="690"/>
      <c r="I37" s="523"/>
      <c r="J37" s="523"/>
      <c r="K37" s="690" t="s">
        <v>199</v>
      </c>
      <c r="L37" s="690"/>
      <c r="M37" s="690"/>
      <c r="N37" s="690"/>
      <c r="O37" s="690"/>
      <c r="P37" s="690"/>
    </row>
    <row r="38" spans="1:16" ht="54.4" customHeight="1" x14ac:dyDescent="0.25">
      <c r="A38" s="522"/>
      <c r="B38" s="689" t="s">
        <v>572</v>
      </c>
      <c r="C38" s="689"/>
      <c r="D38" s="689"/>
      <c r="E38" s="689"/>
      <c r="F38" s="689" t="s">
        <v>571</v>
      </c>
      <c r="G38" s="689"/>
      <c r="H38" s="689"/>
      <c r="I38" s="522"/>
      <c r="J38" s="522"/>
      <c r="K38" s="689" t="s">
        <v>199</v>
      </c>
      <c r="L38" s="689"/>
      <c r="M38" s="689"/>
      <c r="N38" s="689"/>
      <c r="O38" s="689"/>
      <c r="P38" s="689"/>
    </row>
    <row r="39" spans="1:16" ht="176.85" customHeight="1" x14ac:dyDescent="0.25">
      <c r="A39" s="522"/>
      <c r="B39" s="689" t="s">
        <v>1353</v>
      </c>
      <c r="C39" s="689"/>
      <c r="D39" s="689"/>
      <c r="E39" s="689"/>
      <c r="F39" s="689" t="s">
        <v>1352</v>
      </c>
      <c r="G39" s="689"/>
      <c r="H39" s="689"/>
      <c r="I39" s="522"/>
      <c r="J39" s="522"/>
      <c r="K39" s="689" t="s">
        <v>199</v>
      </c>
      <c r="L39" s="689"/>
      <c r="M39" s="689"/>
      <c r="N39" s="689"/>
      <c r="O39" s="689"/>
      <c r="P39" s="689"/>
    </row>
    <row r="40" spans="1:16" ht="68.099999999999994" customHeight="1" x14ac:dyDescent="0.25">
      <c r="A40" s="525" t="s">
        <v>215</v>
      </c>
      <c r="B40" s="691" t="s">
        <v>1351</v>
      </c>
      <c r="C40" s="692"/>
      <c r="D40" s="692"/>
      <c r="E40" s="692"/>
      <c r="F40" s="692" t="s">
        <v>1350</v>
      </c>
      <c r="G40" s="692"/>
      <c r="H40" s="692"/>
      <c r="I40" s="524" t="s">
        <v>1349</v>
      </c>
      <c r="J40" s="524" t="s">
        <v>218</v>
      </c>
      <c r="K40" s="692" t="s">
        <v>1348</v>
      </c>
      <c r="L40" s="692"/>
      <c r="M40" s="692"/>
      <c r="N40" s="692"/>
      <c r="O40" s="693">
        <f>ROUND(996 * 3 * 1.25, 2)</f>
        <v>3735</v>
      </c>
      <c r="P40" s="692"/>
    </row>
    <row r="41" spans="1:16" ht="15" customHeight="1" x14ac:dyDescent="0.25">
      <c r="A41" s="523"/>
      <c r="B41" s="690" t="s">
        <v>204</v>
      </c>
      <c r="C41" s="690"/>
      <c r="D41" s="690"/>
      <c r="E41" s="690"/>
      <c r="F41" s="690" t="s">
        <v>199</v>
      </c>
      <c r="G41" s="690"/>
      <c r="H41" s="690"/>
      <c r="I41" s="523"/>
      <c r="J41" s="523"/>
      <c r="K41" s="690" t="s">
        <v>199</v>
      </c>
      <c r="L41" s="690"/>
      <c r="M41" s="690"/>
      <c r="N41" s="690"/>
      <c r="O41" s="690"/>
      <c r="P41" s="690"/>
    </row>
    <row r="42" spans="1:16" ht="54.4" customHeight="1" x14ac:dyDescent="0.25">
      <c r="A42" s="522"/>
      <c r="B42" s="689" t="s">
        <v>572</v>
      </c>
      <c r="C42" s="689"/>
      <c r="D42" s="689"/>
      <c r="E42" s="689"/>
      <c r="F42" s="689" t="s">
        <v>571</v>
      </c>
      <c r="G42" s="689"/>
      <c r="H42" s="689"/>
      <c r="I42" s="522"/>
      <c r="J42" s="522"/>
      <c r="K42" s="689" t="s">
        <v>199</v>
      </c>
      <c r="L42" s="689"/>
      <c r="M42" s="689"/>
      <c r="N42" s="689"/>
      <c r="O42" s="689"/>
      <c r="P42" s="689"/>
    </row>
    <row r="43" spans="1:16" ht="68.099999999999994" customHeight="1" x14ac:dyDescent="0.25">
      <c r="A43" s="525" t="s">
        <v>214</v>
      </c>
      <c r="B43" s="691" t="s">
        <v>1347</v>
      </c>
      <c r="C43" s="692"/>
      <c r="D43" s="692"/>
      <c r="E43" s="692"/>
      <c r="F43" s="692" t="s">
        <v>1346</v>
      </c>
      <c r="G43" s="692"/>
      <c r="H43" s="692"/>
      <c r="I43" s="524" t="s">
        <v>1345</v>
      </c>
      <c r="J43" s="524" t="s">
        <v>940</v>
      </c>
      <c r="K43" s="692" t="s">
        <v>1344</v>
      </c>
      <c r="L43" s="692"/>
      <c r="M43" s="692"/>
      <c r="N43" s="692"/>
      <c r="O43" s="693">
        <f>ROUND(659 * 36 * 1.25, 2)</f>
        <v>29655</v>
      </c>
      <c r="P43" s="692"/>
    </row>
    <row r="44" spans="1:16" ht="15" customHeight="1" x14ac:dyDescent="0.25">
      <c r="A44" s="523"/>
      <c r="B44" s="690" t="s">
        <v>204</v>
      </c>
      <c r="C44" s="690"/>
      <c r="D44" s="690"/>
      <c r="E44" s="690"/>
      <c r="F44" s="690" t="s">
        <v>199</v>
      </c>
      <c r="G44" s="690"/>
      <c r="H44" s="690"/>
      <c r="I44" s="523"/>
      <c r="J44" s="523"/>
      <c r="K44" s="690" t="s">
        <v>199</v>
      </c>
      <c r="L44" s="690"/>
      <c r="M44" s="690"/>
      <c r="N44" s="690"/>
      <c r="O44" s="690"/>
      <c r="P44" s="690"/>
    </row>
    <row r="45" spans="1:16" ht="54.4" customHeight="1" x14ac:dyDescent="0.25">
      <c r="A45" s="522"/>
      <c r="B45" s="689" t="s">
        <v>572</v>
      </c>
      <c r="C45" s="689"/>
      <c r="D45" s="689"/>
      <c r="E45" s="689"/>
      <c r="F45" s="689" t="s">
        <v>571</v>
      </c>
      <c r="G45" s="689"/>
      <c r="H45" s="689"/>
      <c r="I45" s="522"/>
      <c r="J45" s="522"/>
      <c r="K45" s="689" t="s">
        <v>199</v>
      </c>
      <c r="L45" s="689"/>
      <c r="M45" s="689"/>
      <c r="N45" s="689"/>
      <c r="O45" s="689"/>
      <c r="P45" s="689"/>
    </row>
    <row r="46" spans="1:16" ht="15" customHeight="1" x14ac:dyDescent="0.25">
      <c r="A46" s="521"/>
      <c r="B46" s="683" t="s">
        <v>335</v>
      </c>
      <c r="C46" s="683"/>
      <c r="D46" s="683"/>
      <c r="E46" s="683"/>
      <c r="F46" s="683"/>
      <c r="G46" s="683"/>
      <c r="H46" s="683"/>
      <c r="I46" s="521"/>
      <c r="J46" s="521"/>
      <c r="K46" s="683" t="s">
        <v>199</v>
      </c>
      <c r="L46" s="683"/>
      <c r="M46" s="683"/>
      <c r="N46" s="683"/>
      <c r="O46" s="684">
        <f>ROUND(SUM($O$33:$O$43),2)</f>
        <v>615048.30000000005</v>
      </c>
      <c r="P46" s="683"/>
    </row>
    <row r="47" spans="1:16" ht="15" customHeight="1" x14ac:dyDescent="0.25">
      <c r="A47" s="521"/>
      <c r="B47" s="683" t="s">
        <v>334</v>
      </c>
      <c r="C47" s="683"/>
      <c r="D47" s="683"/>
      <c r="E47" s="683"/>
      <c r="F47" s="683"/>
      <c r="G47" s="683"/>
      <c r="H47" s="683"/>
      <c r="I47" s="521"/>
      <c r="J47" s="521"/>
      <c r="K47" s="683" t="s">
        <v>199</v>
      </c>
      <c r="L47" s="683"/>
      <c r="M47" s="683"/>
      <c r="N47" s="683"/>
      <c r="O47" s="684">
        <f>ROUND(($O$46),2)</f>
        <v>615048.30000000005</v>
      </c>
      <c r="P47" s="683"/>
    </row>
    <row r="48" spans="1:16" ht="27.2" customHeight="1" x14ac:dyDescent="0.25">
      <c r="A48" s="521"/>
      <c r="B48" s="683" t="s">
        <v>581</v>
      </c>
      <c r="C48" s="683"/>
      <c r="D48" s="683"/>
      <c r="E48" s="683"/>
      <c r="F48" s="683"/>
      <c r="G48" s="683"/>
      <c r="H48" s="683"/>
      <c r="I48" s="521"/>
      <c r="J48" s="521"/>
      <c r="K48" s="683"/>
      <c r="L48" s="683"/>
      <c r="M48" s="683"/>
      <c r="N48" s="683"/>
      <c r="O48" s="683"/>
      <c r="P48" s="683"/>
    </row>
    <row r="49" spans="1:16" ht="81.599999999999994" customHeight="1" x14ac:dyDescent="0.25">
      <c r="A49" s="525" t="s">
        <v>211</v>
      </c>
      <c r="B49" s="691" t="s">
        <v>1291</v>
      </c>
      <c r="C49" s="692"/>
      <c r="D49" s="692"/>
      <c r="E49" s="692"/>
      <c r="F49" s="692" t="s">
        <v>1378</v>
      </c>
      <c r="G49" s="692"/>
      <c r="H49" s="692"/>
      <c r="I49" s="524" t="s">
        <v>199</v>
      </c>
      <c r="J49" s="524" t="s">
        <v>223</v>
      </c>
      <c r="K49" s="692" t="s">
        <v>1377</v>
      </c>
      <c r="L49" s="692"/>
      <c r="M49" s="692"/>
      <c r="N49" s="692"/>
      <c r="O49" s="693">
        <f>ROUND(277037.73 * 40 / 100 * 1.25, 2)</f>
        <v>138518.87</v>
      </c>
      <c r="P49" s="692"/>
    </row>
    <row r="50" spans="1:16" ht="15" customHeight="1" x14ac:dyDescent="0.25">
      <c r="A50" s="523"/>
      <c r="B50" s="690" t="s">
        <v>204</v>
      </c>
      <c r="C50" s="690"/>
      <c r="D50" s="690"/>
      <c r="E50" s="690"/>
      <c r="F50" s="690" t="s">
        <v>199</v>
      </c>
      <c r="G50" s="690"/>
      <c r="H50" s="690"/>
      <c r="I50" s="523"/>
      <c r="J50" s="523"/>
      <c r="K50" s="690" t="s">
        <v>199</v>
      </c>
      <c r="L50" s="690"/>
      <c r="M50" s="690"/>
      <c r="N50" s="690"/>
      <c r="O50" s="690"/>
      <c r="P50" s="690"/>
    </row>
    <row r="51" spans="1:16" ht="54.4" customHeight="1" x14ac:dyDescent="0.25">
      <c r="A51" s="522"/>
      <c r="B51" s="689" t="s">
        <v>572</v>
      </c>
      <c r="C51" s="689"/>
      <c r="D51" s="689"/>
      <c r="E51" s="689"/>
      <c r="F51" s="689" t="s">
        <v>571</v>
      </c>
      <c r="G51" s="689"/>
      <c r="H51" s="689"/>
      <c r="I51" s="522"/>
      <c r="J51" s="522"/>
      <c r="K51" s="689" t="s">
        <v>199</v>
      </c>
      <c r="L51" s="689"/>
      <c r="M51" s="689"/>
      <c r="N51" s="689"/>
      <c r="O51" s="689"/>
      <c r="P51" s="689"/>
    </row>
    <row r="52" spans="1:16" ht="163.15" customHeight="1" x14ac:dyDescent="0.25">
      <c r="A52" s="525" t="s">
        <v>210</v>
      </c>
      <c r="B52" s="691" t="s">
        <v>1343</v>
      </c>
      <c r="C52" s="692"/>
      <c r="D52" s="692"/>
      <c r="E52" s="692"/>
      <c r="F52" s="692" t="s">
        <v>1376</v>
      </c>
      <c r="G52" s="692"/>
      <c r="H52" s="692"/>
      <c r="I52" s="524" t="s">
        <v>199</v>
      </c>
      <c r="J52" s="524" t="s">
        <v>223</v>
      </c>
      <c r="K52" s="692" t="s">
        <v>1375</v>
      </c>
      <c r="L52" s="692"/>
      <c r="M52" s="692"/>
      <c r="N52" s="692"/>
      <c r="O52" s="693">
        <f>ROUND((277.03773 * ((85.8 + (42.9 - 85.8) / (500 - 250) * (277.03773 - 250)) / 100) * 1 * 1.25) * 1000, 2)</f>
        <v>281055.90000000002</v>
      </c>
      <c r="P52" s="692"/>
    </row>
    <row r="53" spans="1:16" x14ac:dyDescent="0.25">
      <c r="A53" s="523"/>
      <c r="B53" s="690" t="s">
        <v>204</v>
      </c>
      <c r="C53" s="690"/>
      <c r="D53" s="690"/>
      <c r="E53" s="690"/>
      <c r="F53" s="690" t="s">
        <v>199</v>
      </c>
      <c r="G53" s="690"/>
      <c r="H53" s="690"/>
      <c r="I53" s="523"/>
      <c r="J53" s="523"/>
      <c r="K53" s="690" t="s">
        <v>199</v>
      </c>
      <c r="L53" s="690"/>
      <c r="M53" s="690"/>
      <c r="N53" s="690"/>
      <c r="O53" s="690"/>
      <c r="P53" s="690"/>
    </row>
    <row r="54" spans="1:16" ht="54.4" customHeight="1" x14ac:dyDescent="0.25">
      <c r="A54" s="522"/>
      <c r="B54" s="689" t="s">
        <v>572</v>
      </c>
      <c r="C54" s="689"/>
      <c r="D54" s="689"/>
      <c r="E54" s="689"/>
      <c r="F54" s="689" t="s">
        <v>571</v>
      </c>
      <c r="G54" s="689"/>
      <c r="H54" s="689"/>
      <c r="I54" s="522"/>
      <c r="J54" s="522"/>
      <c r="K54" s="689" t="s">
        <v>199</v>
      </c>
      <c r="L54" s="689"/>
      <c r="M54" s="689"/>
      <c r="N54" s="689"/>
      <c r="O54" s="689"/>
      <c r="P54" s="689"/>
    </row>
    <row r="55" spans="1:16" ht="163.15" customHeight="1" x14ac:dyDescent="0.25">
      <c r="A55" s="525" t="s">
        <v>209</v>
      </c>
      <c r="B55" s="691" t="s">
        <v>1342</v>
      </c>
      <c r="C55" s="692"/>
      <c r="D55" s="692"/>
      <c r="E55" s="692"/>
      <c r="F55" s="692" t="s">
        <v>1374</v>
      </c>
      <c r="G55" s="692"/>
      <c r="H55" s="692"/>
      <c r="I55" s="524" t="s">
        <v>199</v>
      </c>
      <c r="J55" s="524" t="s">
        <v>223</v>
      </c>
      <c r="K55" s="692" t="s">
        <v>1373</v>
      </c>
      <c r="L55" s="692"/>
      <c r="M55" s="692"/>
      <c r="N55" s="692"/>
      <c r="O55" s="693">
        <f>ROUND((277.03773 * ((33.2 + (20.4 - 33.2) / (500 - 250) * (277.03773 - 250)) / 100) * 1 * 1.25) * 1000, 2)</f>
        <v>110176.76</v>
      </c>
      <c r="P55" s="692"/>
    </row>
    <row r="56" spans="1:16" x14ac:dyDescent="0.25">
      <c r="A56" s="523"/>
      <c r="B56" s="690" t="s">
        <v>204</v>
      </c>
      <c r="C56" s="690"/>
      <c r="D56" s="690"/>
      <c r="E56" s="690"/>
      <c r="F56" s="690" t="s">
        <v>199</v>
      </c>
      <c r="G56" s="690"/>
      <c r="H56" s="690"/>
      <c r="I56" s="523"/>
      <c r="J56" s="523"/>
      <c r="K56" s="690" t="s">
        <v>199</v>
      </c>
      <c r="L56" s="690"/>
      <c r="M56" s="690"/>
      <c r="N56" s="690"/>
      <c r="O56" s="690"/>
      <c r="P56" s="690"/>
    </row>
    <row r="57" spans="1:16" ht="54.4" customHeight="1" x14ac:dyDescent="0.25">
      <c r="A57" s="522"/>
      <c r="B57" s="689" t="s">
        <v>572</v>
      </c>
      <c r="C57" s="689"/>
      <c r="D57" s="689"/>
      <c r="E57" s="689"/>
      <c r="F57" s="689" t="s">
        <v>571</v>
      </c>
      <c r="G57" s="689"/>
      <c r="H57" s="689"/>
      <c r="I57" s="522"/>
      <c r="J57" s="522"/>
      <c r="K57" s="689" t="s">
        <v>199</v>
      </c>
      <c r="L57" s="689"/>
      <c r="M57" s="689"/>
      <c r="N57" s="689"/>
      <c r="O57" s="689"/>
      <c r="P57" s="689"/>
    </row>
    <row r="58" spans="1:16" x14ac:dyDescent="0.25">
      <c r="A58" s="694" t="s">
        <v>580</v>
      </c>
      <c r="B58" s="694"/>
      <c r="C58" s="694"/>
      <c r="D58" s="694"/>
      <c r="E58" s="694"/>
      <c r="F58" s="694"/>
      <c r="G58" s="694"/>
      <c r="H58" s="694"/>
      <c r="I58" s="694"/>
      <c r="J58" s="694"/>
      <c r="K58" s="694"/>
      <c r="L58" s="694"/>
      <c r="M58" s="694"/>
      <c r="N58" s="694"/>
      <c r="O58" s="694"/>
      <c r="P58" s="694"/>
    </row>
    <row r="59" spans="1:16" ht="108.75" customHeight="1" x14ac:dyDescent="0.25">
      <c r="A59" s="525" t="s">
        <v>208</v>
      </c>
      <c r="B59" s="691" t="s">
        <v>641</v>
      </c>
      <c r="C59" s="692"/>
      <c r="D59" s="692"/>
      <c r="E59" s="692"/>
      <c r="F59" s="692" t="s">
        <v>1372</v>
      </c>
      <c r="G59" s="692"/>
      <c r="H59" s="692"/>
      <c r="I59" s="524" t="s">
        <v>640</v>
      </c>
      <c r="J59" s="524" t="s">
        <v>223</v>
      </c>
      <c r="K59" s="692" t="s">
        <v>1371</v>
      </c>
      <c r="L59" s="692"/>
      <c r="M59" s="692"/>
      <c r="N59" s="692"/>
      <c r="O59" s="693">
        <v>66232.86</v>
      </c>
      <c r="P59" s="692"/>
    </row>
    <row r="60" spans="1:16" x14ac:dyDescent="0.25">
      <c r="A60" s="523"/>
      <c r="B60" s="690" t="s">
        <v>204</v>
      </c>
      <c r="C60" s="690"/>
      <c r="D60" s="690"/>
      <c r="E60" s="690"/>
      <c r="F60" s="690" t="s">
        <v>199</v>
      </c>
      <c r="G60" s="690"/>
      <c r="H60" s="690"/>
      <c r="I60" s="523"/>
      <c r="J60" s="523"/>
      <c r="K60" s="690" t="s">
        <v>199</v>
      </c>
      <c r="L60" s="690"/>
      <c r="M60" s="690"/>
      <c r="N60" s="690"/>
      <c r="O60" s="690"/>
      <c r="P60" s="690"/>
    </row>
    <row r="61" spans="1:16" ht="54.4" customHeight="1" x14ac:dyDescent="0.25">
      <c r="A61" s="522"/>
      <c r="B61" s="689" t="s">
        <v>572</v>
      </c>
      <c r="C61" s="689"/>
      <c r="D61" s="689"/>
      <c r="E61" s="689"/>
      <c r="F61" s="689" t="s">
        <v>571</v>
      </c>
      <c r="G61" s="689"/>
      <c r="H61" s="689"/>
      <c r="I61" s="522"/>
      <c r="J61" s="522"/>
      <c r="K61" s="689" t="s">
        <v>199</v>
      </c>
      <c r="L61" s="689"/>
      <c r="M61" s="689"/>
      <c r="N61" s="689"/>
      <c r="O61" s="689"/>
      <c r="P61" s="689"/>
    </row>
    <row r="62" spans="1:16" ht="108.75" customHeight="1" x14ac:dyDescent="0.25">
      <c r="A62" s="525" t="s">
        <v>1279</v>
      </c>
      <c r="B62" s="691" t="s">
        <v>639</v>
      </c>
      <c r="C62" s="692"/>
      <c r="D62" s="692"/>
      <c r="E62" s="692"/>
      <c r="F62" s="692" t="s">
        <v>1370</v>
      </c>
      <c r="G62" s="692"/>
      <c r="H62" s="692"/>
      <c r="I62" s="524" t="s">
        <v>638</v>
      </c>
      <c r="J62" s="524" t="s">
        <v>223</v>
      </c>
      <c r="K62" s="692" t="s">
        <v>1369</v>
      </c>
      <c r="L62" s="692"/>
      <c r="M62" s="692"/>
      <c r="N62" s="692"/>
      <c r="O62" s="693">
        <v>298444.83</v>
      </c>
      <c r="P62" s="692"/>
    </row>
    <row r="63" spans="1:16" x14ac:dyDescent="0.25">
      <c r="A63" s="523"/>
      <c r="B63" s="690" t="s">
        <v>204</v>
      </c>
      <c r="C63" s="690"/>
      <c r="D63" s="690"/>
      <c r="E63" s="690"/>
      <c r="F63" s="690" t="s">
        <v>199</v>
      </c>
      <c r="G63" s="690"/>
      <c r="H63" s="690"/>
      <c r="I63" s="523"/>
      <c r="J63" s="523"/>
      <c r="K63" s="690" t="s">
        <v>199</v>
      </c>
      <c r="L63" s="690"/>
      <c r="M63" s="690"/>
      <c r="N63" s="690"/>
      <c r="O63" s="690"/>
      <c r="P63" s="690"/>
    </row>
    <row r="64" spans="1:16" ht="54.4" customHeight="1" x14ac:dyDescent="0.25">
      <c r="A64" s="522"/>
      <c r="B64" s="689" t="s">
        <v>572</v>
      </c>
      <c r="C64" s="689"/>
      <c r="D64" s="689"/>
      <c r="E64" s="689"/>
      <c r="F64" s="689" t="s">
        <v>571</v>
      </c>
      <c r="G64" s="689"/>
      <c r="H64" s="689"/>
      <c r="I64" s="522"/>
      <c r="J64" s="522"/>
      <c r="K64" s="689" t="s">
        <v>199</v>
      </c>
      <c r="L64" s="689"/>
      <c r="M64" s="689"/>
      <c r="N64" s="689"/>
      <c r="O64" s="689"/>
      <c r="P64" s="689"/>
    </row>
    <row r="65" spans="1:16" ht="27.2" customHeight="1" x14ac:dyDescent="0.25">
      <c r="A65" s="521"/>
      <c r="B65" s="683" t="s">
        <v>574</v>
      </c>
      <c r="C65" s="683"/>
      <c r="D65" s="683"/>
      <c r="E65" s="683"/>
      <c r="F65" s="683"/>
      <c r="G65" s="683"/>
      <c r="H65" s="683"/>
      <c r="I65" s="521"/>
      <c r="J65" s="521"/>
      <c r="K65" s="683" t="s">
        <v>199</v>
      </c>
      <c r="L65" s="683"/>
      <c r="M65" s="683"/>
      <c r="N65" s="683"/>
      <c r="O65" s="684">
        <f>ROUND(SUM($O$49:$O$62),2)</f>
        <v>894429.22</v>
      </c>
      <c r="P65" s="683"/>
    </row>
    <row r="66" spans="1:16" ht="27.2" customHeight="1" x14ac:dyDescent="0.25">
      <c r="A66" s="521"/>
      <c r="B66" s="683" t="s">
        <v>573</v>
      </c>
      <c r="C66" s="683"/>
      <c r="D66" s="683"/>
      <c r="E66" s="683"/>
      <c r="F66" s="683"/>
      <c r="G66" s="683"/>
      <c r="H66" s="683"/>
      <c r="I66" s="521"/>
      <c r="J66" s="521"/>
      <c r="K66" s="683" t="s">
        <v>199</v>
      </c>
      <c r="L66" s="683"/>
      <c r="M66" s="683"/>
      <c r="N66" s="683"/>
      <c r="O66" s="684">
        <f>ROUND(($O$65),2)</f>
        <v>894429.22</v>
      </c>
      <c r="P66" s="683"/>
    </row>
    <row r="67" spans="1:16" x14ac:dyDescent="0.25">
      <c r="A67" s="521" t="s">
        <v>207</v>
      </c>
      <c r="B67" s="683" t="s">
        <v>202</v>
      </c>
      <c r="C67" s="683"/>
      <c r="D67" s="683"/>
      <c r="E67" s="683"/>
      <c r="F67" s="683"/>
      <c r="G67" s="683"/>
      <c r="H67" s="683"/>
      <c r="I67" s="521"/>
      <c r="J67" s="521"/>
      <c r="K67" s="683" t="s">
        <v>199</v>
      </c>
      <c r="L67" s="683"/>
      <c r="M67" s="683"/>
      <c r="N67" s="683"/>
      <c r="O67" s="684">
        <f>ROUND($O$28+$O$31+$O$47+$O$66,2)</f>
        <v>1855774.68</v>
      </c>
      <c r="P67" s="683"/>
    </row>
    <row r="68" spans="1:16" x14ac:dyDescent="0.25">
      <c r="A68" s="521" t="s">
        <v>203</v>
      </c>
      <c r="B68" s="683" t="s">
        <v>200</v>
      </c>
      <c r="C68" s="683"/>
      <c r="D68" s="683"/>
      <c r="E68" s="683"/>
      <c r="F68" s="683"/>
      <c r="G68" s="683"/>
      <c r="H68" s="683"/>
      <c r="I68" s="521"/>
      <c r="J68" s="521"/>
      <c r="K68" s="683" t="s">
        <v>199</v>
      </c>
      <c r="L68" s="683"/>
      <c r="M68" s="683"/>
      <c r="N68" s="683"/>
      <c r="O68" s="684">
        <f>ROUND(($O$67),2)</f>
        <v>1855774.68</v>
      </c>
      <c r="P68" s="683"/>
    </row>
    <row r="70" spans="1:16" ht="30" customHeight="1" x14ac:dyDescent="0.25">
      <c r="A70" s="685" t="s">
        <v>198</v>
      </c>
      <c r="B70" s="685"/>
      <c r="C70" s="685"/>
      <c r="D70" s="685"/>
      <c r="E70" s="685"/>
      <c r="F70" s="699" t="str">
        <f>[12]!СуммаПрописью(O68)</f>
        <v>Один миллион восемьсот пятьдесят пять тысяч семьсот семьдесят четыре рубля 68 копеек</v>
      </c>
      <c r="G70" s="699"/>
      <c r="H70" s="699"/>
      <c r="I70" s="699"/>
      <c r="J70" s="699"/>
      <c r="K70" s="699"/>
      <c r="L70" s="699"/>
      <c r="M70" s="699"/>
      <c r="N70" s="699"/>
      <c r="O70" s="699"/>
      <c r="P70" s="699"/>
    </row>
    <row r="72" spans="1:16" x14ac:dyDescent="0.25">
      <c r="A72" s="685" t="s">
        <v>333</v>
      </c>
      <c r="B72" s="685"/>
      <c r="C72" s="685"/>
      <c r="D72" s="687"/>
      <c r="E72" s="687"/>
      <c r="F72" s="687"/>
      <c r="G72" s="687"/>
      <c r="H72" s="687"/>
      <c r="I72" s="687"/>
      <c r="J72" s="687"/>
      <c r="K72" s="687"/>
      <c r="L72" s="687"/>
      <c r="M72" s="687"/>
      <c r="N72" s="687"/>
      <c r="O72" s="687"/>
      <c r="P72" s="687"/>
    </row>
    <row r="73" spans="1:16" x14ac:dyDescent="0.25">
      <c r="D73" s="682" t="s">
        <v>331</v>
      </c>
      <c r="E73" s="682"/>
      <c r="F73" s="682"/>
      <c r="G73" s="682"/>
      <c r="H73" s="682"/>
      <c r="I73" s="682"/>
      <c r="J73" s="682"/>
      <c r="K73" s="682"/>
      <c r="L73" s="682"/>
      <c r="M73" s="682"/>
      <c r="N73" s="682"/>
      <c r="O73" s="682"/>
      <c r="P73" s="682"/>
    </row>
    <row r="75" spans="1:16" x14ac:dyDescent="0.25">
      <c r="A75" s="685" t="s">
        <v>332</v>
      </c>
      <c r="B75" s="685"/>
      <c r="C75" s="685"/>
      <c r="D75" s="687"/>
      <c r="E75" s="687"/>
      <c r="F75" s="687"/>
      <c r="G75" s="687"/>
      <c r="H75" s="687"/>
      <c r="I75" s="687"/>
      <c r="J75" s="687"/>
      <c r="K75" s="687"/>
      <c r="L75" s="687"/>
      <c r="M75" s="687"/>
      <c r="N75" s="687"/>
      <c r="O75" s="687"/>
      <c r="P75" s="687"/>
    </row>
    <row r="76" spans="1:16" x14ac:dyDescent="0.25">
      <c r="D76" s="682" t="s">
        <v>331</v>
      </c>
      <c r="E76" s="682"/>
      <c r="F76" s="682"/>
      <c r="G76" s="682"/>
      <c r="H76" s="682"/>
      <c r="I76" s="682"/>
      <c r="J76" s="682"/>
      <c r="K76" s="682"/>
      <c r="L76" s="682"/>
      <c r="M76" s="682"/>
      <c r="N76" s="682"/>
      <c r="O76" s="682"/>
      <c r="P76" s="682"/>
    </row>
  </sheetData>
  <mergeCells count="227">
    <mergeCell ref="A1:D1"/>
    <mergeCell ref="E1:P1"/>
    <mergeCell ref="A3:P3"/>
    <mergeCell ref="A4:P4"/>
    <mergeCell ref="A6:P6"/>
    <mergeCell ref="A7:P7"/>
    <mergeCell ref="A9:P9"/>
    <mergeCell ref="B19:E19"/>
    <mergeCell ref="F19:H19"/>
    <mergeCell ref="K19:N19"/>
    <mergeCell ref="O19:P19"/>
    <mergeCell ref="A10:P10"/>
    <mergeCell ref="A12:P12"/>
    <mergeCell ref="K17:N17"/>
    <mergeCell ref="O16:P16"/>
    <mergeCell ref="O17:P17"/>
    <mergeCell ref="A14:P14"/>
    <mergeCell ref="B16:E16"/>
    <mergeCell ref="B17:E17"/>
    <mergeCell ref="F16:H16"/>
    <mergeCell ref="F17:H17"/>
    <mergeCell ref="K16:N16"/>
    <mergeCell ref="B18:E18"/>
    <mergeCell ref="F18:H18"/>
    <mergeCell ref="K18:N18"/>
    <mergeCell ref="O18:P18"/>
    <mergeCell ref="B26:E26"/>
    <mergeCell ref="F26:H26"/>
    <mergeCell ref="K26:N26"/>
    <mergeCell ref="O26:P26"/>
    <mergeCell ref="B25:E25"/>
    <mergeCell ref="F25:H25"/>
    <mergeCell ref="K25:N25"/>
    <mergeCell ref="O25:P25"/>
    <mergeCell ref="B20:E20"/>
    <mergeCell ref="F20:H20"/>
    <mergeCell ref="K20:N20"/>
    <mergeCell ref="O20:P20"/>
    <mergeCell ref="B32:E32"/>
    <mergeCell ref="F32:H32"/>
    <mergeCell ref="K32:N32"/>
    <mergeCell ref="O32:P32"/>
    <mergeCell ref="B31:E31"/>
    <mergeCell ref="F31:H31"/>
    <mergeCell ref="K31:N31"/>
    <mergeCell ref="O31:P31"/>
    <mergeCell ref="B21:E21"/>
    <mergeCell ref="F21:H21"/>
    <mergeCell ref="K21:N21"/>
    <mergeCell ref="O21:P21"/>
    <mergeCell ref="B22:E22"/>
    <mergeCell ref="F22:H22"/>
    <mergeCell ref="B24:E24"/>
    <mergeCell ref="F24:H24"/>
    <mergeCell ref="K24:N24"/>
    <mergeCell ref="O24:P24"/>
    <mergeCell ref="K22:N22"/>
    <mergeCell ref="O22:P22"/>
    <mergeCell ref="B23:E23"/>
    <mergeCell ref="F23:H23"/>
    <mergeCell ref="K23:N23"/>
    <mergeCell ref="O23:P23"/>
    <mergeCell ref="B38:E38"/>
    <mergeCell ref="F38:H38"/>
    <mergeCell ref="K38:N38"/>
    <mergeCell ref="O38:P38"/>
    <mergeCell ref="B37:E37"/>
    <mergeCell ref="F37:H37"/>
    <mergeCell ref="K37:N37"/>
    <mergeCell ref="O37:P37"/>
    <mergeCell ref="B27:E27"/>
    <mergeCell ref="F27:H27"/>
    <mergeCell ref="K27:N27"/>
    <mergeCell ref="O27:P27"/>
    <mergeCell ref="B28:E28"/>
    <mergeCell ref="F28:H28"/>
    <mergeCell ref="B30:E30"/>
    <mergeCell ref="F30:H30"/>
    <mergeCell ref="K30:N30"/>
    <mergeCell ref="O30:P30"/>
    <mergeCell ref="K28:N28"/>
    <mergeCell ref="O28:P28"/>
    <mergeCell ref="B29:E29"/>
    <mergeCell ref="F29:H29"/>
    <mergeCell ref="K29:N29"/>
    <mergeCell ref="O29:P29"/>
    <mergeCell ref="B44:E44"/>
    <mergeCell ref="F44:H44"/>
    <mergeCell ref="K44:N44"/>
    <mergeCell ref="O44:P44"/>
    <mergeCell ref="B43:E43"/>
    <mergeCell ref="F43:H43"/>
    <mergeCell ref="K43:N43"/>
    <mergeCell ref="O43:P43"/>
    <mergeCell ref="B33:E33"/>
    <mergeCell ref="F33:H33"/>
    <mergeCell ref="K33:N33"/>
    <mergeCell ref="O33:P33"/>
    <mergeCell ref="B34:E34"/>
    <mergeCell ref="F34:H34"/>
    <mergeCell ref="B36:E36"/>
    <mergeCell ref="F36:H36"/>
    <mergeCell ref="K36:N36"/>
    <mergeCell ref="O36:P36"/>
    <mergeCell ref="K34:N34"/>
    <mergeCell ref="O34:P34"/>
    <mergeCell ref="B35:E35"/>
    <mergeCell ref="F35:H35"/>
    <mergeCell ref="K35:N35"/>
    <mergeCell ref="O35:P35"/>
    <mergeCell ref="B50:E50"/>
    <mergeCell ref="F50:H50"/>
    <mergeCell ref="K50:N50"/>
    <mergeCell ref="O50:P50"/>
    <mergeCell ref="B49:E49"/>
    <mergeCell ref="F49:H49"/>
    <mergeCell ref="K49:N49"/>
    <mergeCell ref="O49:P49"/>
    <mergeCell ref="B39:E39"/>
    <mergeCell ref="F39:H39"/>
    <mergeCell ref="K39:N39"/>
    <mergeCell ref="O39:P39"/>
    <mergeCell ref="B40:E40"/>
    <mergeCell ref="F40:H40"/>
    <mergeCell ref="B42:E42"/>
    <mergeCell ref="F42:H42"/>
    <mergeCell ref="K42:N42"/>
    <mergeCell ref="O42:P42"/>
    <mergeCell ref="K40:N40"/>
    <mergeCell ref="O40:P40"/>
    <mergeCell ref="B41:E41"/>
    <mergeCell ref="F41:H41"/>
    <mergeCell ref="K41:N41"/>
    <mergeCell ref="O41:P41"/>
    <mergeCell ref="B56:E56"/>
    <mergeCell ref="F56:H56"/>
    <mergeCell ref="K56:N56"/>
    <mergeCell ref="O56:P56"/>
    <mergeCell ref="B55:E55"/>
    <mergeCell ref="F55:H55"/>
    <mergeCell ref="K55:N55"/>
    <mergeCell ref="O55:P55"/>
    <mergeCell ref="B45:E45"/>
    <mergeCell ref="F45:H45"/>
    <mergeCell ref="K45:N45"/>
    <mergeCell ref="O45:P45"/>
    <mergeCell ref="B46:E46"/>
    <mergeCell ref="F46:H46"/>
    <mergeCell ref="B48:E48"/>
    <mergeCell ref="F48:H48"/>
    <mergeCell ref="K48:N48"/>
    <mergeCell ref="O48:P48"/>
    <mergeCell ref="K46:N46"/>
    <mergeCell ref="O46:P46"/>
    <mergeCell ref="B47:E47"/>
    <mergeCell ref="F47:H47"/>
    <mergeCell ref="K47:N47"/>
    <mergeCell ref="O47:P47"/>
    <mergeCell ref="B51:E51"/>
    <mergeCell ref="F51:H51"/>
    <mergeCell ref="K51:N51"/>
    <mergeCell ref="O51:P51"/>
    <mergeCell ref="B52:E52"/>
    <mergeCell ref="F52:H52"/>
    <mergeCell ref="B54:E54"/>
    <mergeCell ref="F54:H54"/>
    <mergeCell ref="K54:N54"/>
    <mergeCell ref="O54:P54"/>
    <mergeCell ref="K52:N52"/>
    <mergeCell ref="O52:P52"/>
    <mergeCell ref="B53:E53"/>
    <mergeCell ref="F53:H53"/>
    <mergeCell ref="K53:N53"/>
    <mergeCell ref="O53:P53"/>
    <mergeCell ref="F65:H65"/>
    <mergeCell ref="K65:N65"/>
    <mergeCell ref="O65:P65"/>
    <mergeCell ref="B57:E57"/>
    <mergeCell ref="F57:H57"/>
    <mergeCell ref="K57:N57"/>
    <mergeCell ref="O57:P57"/>
    <mergeCell ref="A58:P58"/>
    <mergeCell ref="B59:E59"/>
    <mergeCell ref="F59:H59"/>
    <mergeCell ref="K59:N59"/>
    <mergeCell ref="O59:P59"/>
    <mergeCell ref="B60:E60"/>
    <mergeCell ref="F60:H60"/>
    <mergeCell ref="K60:N60"/>
    <mergeCell ref="O60:P60"/>
    <mergeCell ref="B61:E61"/>
    <mergeCell ref="F68:H68"/>
    <mergeCell ref="K68:N68"/>
    <mergeCell ref="O68:P68"/>
    <mergeCell ref="B63:E63"/>
    <mergeCell ref="F63:H63"/>
    <mergeCell ref="K63:N63"/>
    <mergeCell ref="O63:P63"/>
    <mergeCell ref="B64:E64"/>
    <mergeCell ref="F64:H64"/>
    <mergeCell ref="K64:N64"/>
    <mergeCell ref="F61:H61"/>
    <mergeCell ref="K61:N61"/>
    <mergeCell ref="O61:P61"/>
    <mergeCell ref="B62:E62"/>
    <mergeCell ref="F62:H62"/>
    <mergeCell ref="K62:N62"/>
    <mergeCell ref="O62:P62"/>
    <mergeCell ref="O64:P64"/>
    <mergeCell ref="B65:E65"/>
    <mergeCell ref="D76:P76"/>
    <mergeCell ref="B66:E66"/>
    <mergeCell ref="F66:H66"/>
    <mergeCell ref="K66:N66"/>
    <mergeCell ref="O66:P66"/>
    <mergeCell ref="B67:E67"/>
    <mergeCell ref="F67:H67"/>
    <mergeCell ref="K67:N67"/>
    <mergeCell ref="O67:P67"/>
    <mergeCell ref="B68:E68"/>
    <mergeCell ref="A70:E70"/>
    <mergeCell ref="F70:P70"/>
    <mergeCell ref="A72:C72"/>
    <mergeCell ref="D72:P72"/>
    <mergeCell ref="D73:P73"/>
    <mergeCell ref="A75:C75"/>
    <mergeCell ref="D75:P75"/>
  </mergeCells>
  <pageMargins left="0.4" right="0.4"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
  <sheetViews>
    <sheetView showRuler="0" workbookViewId="0">
      <selection activeCell="A14" sqref="A14:P14"/>
    </sheetView>
  </sheetViews>
  <sheetFormatPr defaultRowHeight="15" x14ac:dyDescent="0.25"/>
  <cols>
    <col min="1" max="50" width="8" style="285" customWidth="1"/>
    <col min="51" max="16384" width="9.140625" style="284"/>
  </cols>
  <sheetData>
    <row r="1" spans="1:16" ht="27.2" customHeight="1" x14ac:dyDescent="0.25">
      <c r="A1" s="702" t="s">
        <v>231</v>
      </c>
      <c r="B1" s="702"/>
      <c r="C1" s="702"/>
      <c r="D1" s="702"/>
      <c r="E1" s="703" t="s">
        <v>303</v>
      </c>
      <c r="F1" s="703"/>
      <c r="G1" s="703"/>
      <c r="H1" s="703"/>
      <c r="I1" s="703"/>
      <c r="J1" s="703"/>
      <c r="K1" s="703"/>
      <c r="L1" s="703"/>
      <c r="M1" s="703"/>
      <c r="N1" s="703"/>
      <c r="O1" s="703"/>
      <c r="P1" s="703"/>
    </row>
    <row r="2" spans="1:16" ht="15" customHeight="1" x14ac:dyDescent="0.25"/>
    <row r="3" spans="1:16" ht="15" customHeight="1" x14ac:dyDescent="0.25">
      <c r="A3" s="704" t="s">
        <v>302</v>
      </c>
      <c r="B3" s="704"/>
      <c r="C3" s="704"/>
      <c r="D3" s="704"/>
      <c r="E3" s="704"/>
      <c r="F3" s="704"/>
      <c r="G3" s="704"/>
      <c r="H3" s="704"/>
      <c r="I3" s="704"/>
      <c r="J3" s="704"/>
      <c r="K3" s="704"/>
      <c r="L3" s="704"/>
      <c r="M3" s="704"/>
      <c r="N3" s="704"/>
      <c r="O3" s="704"/>
      <c r="P3" s="704"/>
    </row>
    <row r="4" spans="1:16" ht="15" customHeight="1" x14ac:dyDescent="0.25">
      <c r="A4" s="705" t="s">
        <v>657</v>
      </c>
      <c r="B4" s="705"/>
      <c r="C4" s="705"/>
      <c r="D4" s="705"/>
      <c r="E4" s="705"/>
      <c r="F4" s="705"/>
      <c r="G4" s="705"/>
      <c r="H4" s="705"/>
      <c r="I4" s="705"/>
      <c r="J4" s="705"/>
      <c r="K4" s="705"/>
      <c r="L4" s="705"/>
      <c r="M4" s="705"/>
      <c r="N4" s="705"/>
      <c r="O4" s="705"/>
      <c r="P4" s="705"/>
    </row>
    <row r="5" spans="1:16" ht="15" customHeight="1" x14ac:dyDescent="0.25"/>
    <row r="6" spans="1:16" ht="40.9" customHeight="1" x14ac:dyDescent="0.25">
      <c r="A6" s="700" t="s">
        <v>230</v>
      </c>
      <c r="B6" s="700"/>
      <c r="C6" s="700"/>
      <c r="D6" s="700"/>
      <c r="E6" s="700"/>
      <c r="F6" s="701" t="s">
        <v>1431</v>
      </c>
      <c r="G6" s="701"/>
      <c r="H6" s="701"/>
      <c r="I6" s="701"/>
      <c r="J6" s="701"/>
      <c r="K6" s="701"/>
      <c r="L6" s="701"/>
      <c r="M6" s="701"/>
      <c r="N6" s="701"/>
      <c r="O6" s="701"/>
      <c r="P6" s="701"/>
    </row>
    <row r="7" spans="1:16" ht="15" customHeight="1" x14ac:dyDescent="0.25"/>
    <row r="8" spans="1:16" ht="15" customHeight="1" x14ac:dyDescent="0.25">
      <c r="A8" s="700" t="s">
        <v>301</v>
      </c>
      <c r="B8" s="700"/>
      <c r="C8" s="700"/>
      <c r="D8" s="700"/>
      <c r="E8" s="700"/>
      <c r="F8" s="701" t="s">
        <v>300</v>
      </c>
      <c r="G8" s="701"/>
      <c r="H8" s="701"/>
      <c r="I8" s="701"/>
      <c r="J8" s="701"/>
      <c r="K8" s="701"/>
      <c r="L8" s="701"/>
      <c r="M8" s="701"/>
      <c r="N8" s="701"/>
      <c r="O8" s="701"/>
      <c r="P8" s="701"/>
    </row>
    <row r="9" spans="1:16" ht="15" customHeight="1" x14ac:dyDescent="0.25"/>
    <row r="10" spans="1:16" ht="15" customHeight="1" x14ac:dyDescent="0.25">
      <c r="A10" s="700" t="s">
        <v>299</v>
      </c>
      <c r="B10" s="700"/>
      <c r="C10" s="700"/>
      <c r="D10" s="700"/>
      <c r="E10" s="700"/>
      <c r="F10" s="701"/>
      <c r="G10" s="701"/>
      <c r="H10" s="701"/>
      <c r="I10" s="701"/>
      <c r="J10" s="701"/>
      <c r="K10" s="701"/>
      <c r="L10" s="701"/>
      <c r="M10" s="701"/>
      <c r="N10" s="701"/>
      <c r="O10" s="701"/>
      <c r="P10" s="701"/>
    </row>
    <row r="11" spans="1:16" ht="15" customHeight="1" x14ac:dyDescent="0.25"/>
    <row r="12" spans="1:16" ht="15" customHeight="1" x14ac:dyDescent="0.25">
      <c r="A12" s="700" t="s">
        <v>298</v>
      </c>
      <c r="B12" s="700"/>
      <c r="C12" s="700"/>
      <c r="D12" s="700"/>
      <c r="E12" s="700"/>
      <c r="F12" s="701"/>
      <c r="G12" s="701"/>
      <c r="H12" s="701"/>
      <c r="I12" s="701"/>
      <c r="J12" s="701"/>
      <c r="K12" s="701"/>
      <c r="L12" s="701"/>
      <c r="M12" s="701"/>
      <c r="N12" s="701"/>
      <c r="O12" s="701"/>
      <c r="P12" s="701"/>
    </row>
    <row r="13" spans="1:16" ht="15" customHeight="1" x14ac:dyDescent="0.25"/>
    <row r="14" spans="1:16" ht="27.2" customHeight="1" x14ac:dyDescent="0.25">
      <c r="A14" s="700" t="s">
        <v>297</v>
      </c>
      <c r="B14" s="700"/>
      <c r="C14" s="700"/>
      <c r="D14" s="700"/>
      <c r="E14" s="700"/>
      <c r="F14" s="700"/>
      <c r="G14" s="700"/>
      <c r="H14" s="700"/>
      <c r="I14" s="700"/>
      <c r="J14" s="700"/>
      <c r="K14" s="700"/>
      <c r="L14" s="700"/>
      <c r="M14" s="700"/>
      <c r="N14" s="700"/>
      <c r="O14" s="700"/>
      <c r="P14" s="700"/>
    </row>
    <row r="15" spans="1:16" ht="15" customHeight="1" x14ac:dyDescent="0.25"/>
    <row r="16" spans="1:16" ht="15" customHeight="1" x14ac:dyDescent="0.25">
      <c r="A16" s="700" t="s">
        <v>229</v>
      </c>
      <c r="B16" s="700"/>
      <c r="C16" s="700"/>
      <c r="D16" s="700"/>
      <c r="E16" s="700"/>
      <c r="F16" s="700"/>
      <c r="G16" s="700"/>
      <c r="H16" s="700"/>
      <c r="I16" s="700"/>
      <c r="J16" s="700"/>
      <c r="K16" s="700"/>
      <c r="L16" s="700"/>
      <c r="M16" s="700"/>
      <c r="N16" s="700"/>
      <c r="O16" s="700"/>
      <c r="P16" s="700"/>
    </row>
    <row r="17" spans="1:16" ht="15" customHeight="1" x14ac:dyDescent="0.25"/>
    <row r="18" spans="1:16" ht="15" customHeight="1" x14ac:dyDescent="0.25">
      <c r="A18" s="290" t="s">
        <v>228</v>
      </c>
      <c r="B18" s="706" t="s">
        <v>90</v>
      </c>
      <c r="C18" s="706"/>
      <c r="D18" s="706"/>
      <c r="E18" s="706"/>
      <c r="F18" s="706" t="s">
        <v>296</v>
      </c>
      <c r="G18" s="706"/>
      <c r="H18" s="706"/>
      <c r="I18" s="706"/>
      <c r="J18" s="706" t="s">
        <v>226</v>
      </c>
      <c r="K18" s="706"/>
      <c r="L18" s="706"/>
      <c r="M18" s="706" t="s">
        <v>225</v>
      </c>
      <c r="N18" s="706"/>
      <c r="O18" s="706" t="s">
        <v>224</v>
      </c>
      <c r="P18" s="706"/>
    </row>
    <row r="19" spans="1:16" ht="15" customHeight="1" x14ac:dyDescent="0.25">
      <c r="A19" s="290">
        <v>1</v>
      </c>
      <c r="B19" s="706">
        <v>2</v>
      </c>
      <c r="C19" s="706"/>
      <c r="D19" s="706"/>
      <c r="E19" s="706"/>
      <c r="F19" s="706">
        <v>3</v>
      </c>
      <c r="G19" s="706"/>
      <c r="H19" s="706"/>
      <c r="I19" s="706"/>
      <c r="J19" s="706">
        <v>4</v>
      </c>
      <c r="K19" s="706"/>
      <c r="L19" s="706"/>
      <c r="M19" s="706">
        <v>5</v>
      </c>
      <c r="N19" s="706"/>
      <c r="O19" s="706">
        <v>6</v>
      </c>
      <c r="P19" s="706"/>
    </row>
    <row r="20" spans="1:16" ht="15" customHeight="1" x14ac:dyDescent="0.25">
      <c r="A20" s="286" t="s">
        <v>223</v>
      </c>
      <c r="B20" s="707" t="s">
        <v>206</v>
      </c>
      <c r="C20" s="707"/>
      <c r="D20" s="707"/>
      <c r="E20" s="707"/>
      <c r="F20" s="707" t="s">
        <v>295</v>
      </c>
      <c r="G20" s="707"/>
      <c r="H20" s="707"/>
      <c r="I20" s="707"/>
      <c r="J20" s="707"/>
      <c r="K20" s="707"/>
      <c r="L20" s="707"/>
      <c r="M20" s="707"/>
      <c r="N20" s="707"/>
      <c r="O20" s="707"/>
      <c r="P20" s="707"/>
    </row>
    <row r="21" spans="1:16" ht="54.4" customHeight="1" x14ac:dyDescent="0.25">
      <c r="A21" s="287" t="s">
        <v>2</v>
      </c>
      <c r="B21" s="708" t="s">
        <v>285</v>
      </c>
      <c r="C21" s="709"/>
      <c r="D21" s="709"/>
      <c r="E21" s="709"/>
      <c r="F21" s="709" t="s">
        <v>294</v>
      </c>
      <c r="G21" s="709"/>
      <c r="H21" s="709"/>
      <c r="I21" s="709"/>
      <c r="J21" s="709" t="s">
        <v>293</v>
      </c>
      <c r="K21" s="709"/>
      <c r="L21" s="709"/>
      <c r="M21" s="710">
        <f>ROUND(24 * 2, 2)</f>
        <v>48</v>
      </c>
      <c r="N21" s="709"/>
      <c r="O21" s="709" t="s">
        <v>292</v>
      </c>
      <c r="P21" s="709"/>
    </row>
    <row r="22" spans="1:16" ht="54.4" customHeight="1" x14ac:dyDescent="0.25">
      <c r="A22" s="287" t="s">
        <v>3</v>
      </c>
      <c r="B22" s="708" t="s">
        <v>291</v>
      </c>
      <c r="C22" s="709"/>
      <c r="D22" s="709"/>
      <c r="E22" s="709"/>
      <c r="F22" s="709" t="s">
        <v>290</v>
      </c>
      <c r="G22" s="709"/>
      <c r="H22" s="709"/>
      <c r="I22" s="709"/>
      <c r="J22" s="709" t="s">
        <v>289</v>
      </c>
      <c r="K22" s="709"/>
      <c r="L22" s="709"/>
      <c r="M22" s="710">
        <f>ROUND(7 * 15, 2)</f>
        <v>105</v>
      </c>
      <c r="N22" s="709"/>
      <c r="O22" s="709" t="s">
        <v>199</v>
      </c>
      <c r="P22" s="709"/>
    </row>
    <row r="23" spans="1:16" ht="15" customHeight="1" x14ac:dyDescent="0.25">
      <c r="A23" s="286" t="s">
        <v>24</v>
      </c>
      <c r="B23" s="707" t="s">
        <v>288</v>
      </c>
      <c r="C23" s="707"/>
      <c r="D23" s="707"/>
      <c r="E23" s="707"/>
      <c r="F23" s="707"/>
      <c r="G23" s="707"/>
      <c r="H23" s="707"/>
      <c r="I23" s="707"/>
      <c r="J23" s="707" t="s">
        <v>199</v>
      </c>
      <c r="K23" s="707"/>
      <c r="L23" s="707"/>
      <c r="M23" s="711">
        <f>ROUND(SUM($M$21:$M$22),2)</f>
        <v>153</v>
      </c>
      <c r="N23" s="707"/>
      <c r="O23" s="707"/>
      <c r="P23" s="707"/>
    </row>
    <row r="24" spans="1:16" ht="15" customHeight="1" x14ac:dyDescent="0.25">
      <c r="A24" s="286" t="s">
        <v>26</v>
      </c>
      <c r="B24" s="707" t="s">
        <v>287</v>
      </c>
      <c r="C24" s="707"/>
      <c r="D24" s="707"/>
      <c r="E24" s="707"/>
      <c r="F24" s="707"/>
      <c r="G24" s="707"/>
      <c r="H24" s="707"/>
      <c r="I24" s="707"/>
      <c r="J24" s="707" t="s">
        <v>199</v>
      </c>
      <c r="K24" s="707"/>
      <c r="L24" s="707"/>
      <c r="M24" s="711">
        <f>ROUND(($M$23),2)</f>
        <v>153</v>
      </c>
      <c r="N24" s="707"/>
      <c r="O24" s="707"/>
      <c r="P24" s="707"/>
    </row>
    <row r="25" spans="1:16" ht="15" customHeight="1" x14ac:dyDescent="0.25">
      <c r="A25" s="286" t="s">
        <v>222</v>
      </c>
      <c r="B25" s="707" t="s">
        <v>206</v>
      </c>
      <c r="C25" s="707"/>
      <c r="D25" s="707"/>
      <c r="E25" s="707"/>
      <c r="F25" s="707" t="s">
        <v>286</v>
      </c>
      <c r="G25" s="707"/>
      <c r="H25" s="707"/>
      <c r="I25" s="707"/>
      <c r="J25" s="707"/>
      <c r="K25" s="707"/>
      <c r="L25" s="707"/>
      <c r="M25" s="707"/>
      <c r="N25" s="707"/>
      <c r="O25" s="707"/>
      <c r="P25" s="707"/>
    </row>
    <row r="26" spans="1:16" ht="54.4" customHeight="1" x14ac:dyDescent="0.25">
      <c r="A26" s="287" t="s">
        <v>5</v>
      </c>
      <c r="B26" s="708" t="s">
        <v>285</v>
      </c>
      <c r="C26" s="709"/>
      <c r="D26" s="709"/>
      <c r="E26" s="709"/>
      <c r="F26" s="709" t="s">
        <v>284</v>
      </c>
      <c r="G26" s="709"/>
      <c r="H26" s="709"/>
      <c r="I26" s="709"/>
      <c r="J26" s="709" t="s">
        <v>283</v>
      </c>
      <c r="K26" s="709"/>
      <c r="L26" s="709"/>
      <c r="M26" s="710">
        <f>ROUND(8 * 2, 2)</f>
        <v>16</v>
      </c>
      <c r="N26" s="709"/>
      <c r="O26" s="709" t="s">
        <v>199</v>
      </c>
      <c r="P26" s="709"/>
    </row>
    <row r="27" spans="1:16" ht="68.099999999999994" customHeight="1" x14ac:dyDescent="0.25">
      <c r="A27" s="287" t="s">
        <v>6</v>
      </c>
      <c r="B27" s="708" t="s">
        <v>274</v>
      </c>
      <c r="C27" s="709"/>
      <c r="D27" s="709"/>
      <c r="E27" s="709"/>
      <c r="F27" s="709" t="s">
        <v>273</v>
      </c>
      <c r="G27" s="709"/>
      <c r="H27" s="709"/>
      <c r="I27" s="709"/>
      <c r="J27" s="709" t="s">
        <v>272</v>
      </c>
      <c r="K27" s="709"/>
      <c r="L27" s="709"/>
      <c r="M27" s="710">
        <f>ROUND(34 * 2, 2)</f>
        <v>68</v>
      </c>
      <c r="N27" s="709"/>
      <c r="O27" s="709" t="s">
        <v>282</v>
      </c>
      <c r="P27" s="709"/>
    </row>
    <row r="28" spans="1:16" ht="68.099999999999994" customHeight="1" x14ac:dyDescent="0.25">
      <c r="A28" s="287" t="s">
        <v>221</v>
      </c>
      <c r="B28" s="708" t="s">
        <v>274</v>
      </c>
      <c r="C28" s="709"/>
      <c r="D28" s="709"/>
      <c r="E28" s="709"/>
      <c r="F28" s="709" t="s">
        <v>273</v>
      </c>
      <c r="G28" s="709"/>
      <c r="H28" s="709"/>
      <c r="I28" s="709"/>
      <c r="J28" s="709" t="s">
        <v>272</v>
      </c>
      <c r="K28" s="709"/>
      <c r="L28" s="709"/>
      <c r="M28" s="710">
        <f>ROUND(34 * 2, 2)</f>
        <v>68</v>
      </c>
      <c r="N28" s="709"/>
      <c r="O28" s="709" t="s">
        <v>281</v>
      </c>
      <c r="P28" s="709"/>
    </row>
    <row r="29" spans="1:16" ht="68.099999999999994" customHeight="1" x14ac:dyDescent="0.25">
      <c r="A29" s="287" t="s">
        <v>220</v>
      </c>
      <c r="B29" s="708" t="s">
        <v>274</v>
      </c>
      <c r="C29" s="709"/>
      <c r="D29" s="709"/>
      <c r="E29" s="709"/>
      <c r="F29" s="709" t="s">
        <v>273</v>
      </c>
      <c r="G29" s="709"/>
      <c r="H29" s="709"/>
      <c r="I29" s="709"/>
      <c r="J29" s="709" t="s">
        <v>272</v>
      </c>
      <c r="K29" s="709"/>
      <c r="L29" s="709"/>
      <c r="M29" s="710">
        <f>ROUND(34 * 2, 2)</f>
        <v>68</v>
      </c>
      <c r="N29" s="709"/>
      <c r="O29" s="709" t="s">
        <v>280</v>
      </c>
      <c r="P29" s="709"/>
    </row>
    <row r="30" spans="1:16" ht="81.599999999999994" customHeight="1" x14ac:dyDescent="0.25">
      <c r="A30" s="287" t="s">
        <v>219</v>
      </c>
      <c r="B30" s="708" t="s">
        <v>279</v>
      </c>
      <c r="C30" s="709"/>
      <c r="D30" s="709"/>
      <c r="E30" s="709"/>
      <c r="F30" s="709" t="s">
        <v>278</v>
      </c>
      <c r="G30" s="709"/>
      <c r="H30" s="709"/>
      <c r="I30" s="709"/>
      <c r="J30" s="709" t="s">
        <v>277</v>
      </c>
      <c r="K30" s="709"/>
      <c r="L30" s="709"/>
      <c r="M30" s="710">
        <f>ROUND(7 * 2, 2)</f>
        <v>14</v>
      </c>
      <c r="N30" s="709"/>
      <c r="O30" s="709" t="s">
        <v>276</v>
      </c>
      <c r="P30" s="709"/>
    </row>
    <row r="31" spans="1:16" ht="68.099999999999994" customHeight="1" x14ac:dyDescent="0.25">
      <c r="A31" s="287" t="s">
        <v>275</v>
      </c>
      <c r="B31" s="708" t="s">
        <v>274</v>
      </c>
      <c r="C31" s="709"/>
      <c r="D31" s="709"/>
      <c r="E31" s="709"/>
      <c r="F31" s="709" t="s">
        <v>273</v>
      </c>
      <c r="G31" s="709"/>
      <c r="H31" s="709"/>
      <c r="I31" s="709"/>
      <c r="J31" s="709" t="s">
        <v>272</v>
      </c>
      <c r="K31" s="709"/>
      <c r="L31" s="709"/>
      <c r="M31" s="710">
        <f>ROUND(34 * 2, 2)</f>
        <v>68</v>
      </c>
      <c r="N31" s="709"/>
      <c r="O31" s="709" t="s">
        <v>271</v>
      </c>
      <c r="P31" s="709"/>
    </row>
    <row r="32" spans="1:16" ht="95.25" customHeight="1" x14ac:dyDescent="0.25">
      <c r="A32" s="287" t="s">
        <v>270</v>
      </c>
      <c r="B32" s="708" t="s">
        <v>269</v>
      </c>
      <c r="C32" s="709"/>
      <c r="D32" s="709"/>
      <c r="E32" s="709"/>
      <c r="F32" s="709" t="s">
        <v>268</v>
      </c>
      <c r="G32" s="709"/>
      <c r="H32" s="709"/>
      <c r="I32" s="709"/>
      <c r="J32" s="709" t="s">
        <v>267</v>
      </c>
      <c r="K32" s="709"/>
      <c r="L32" s="709"/>
      <c r="M32" s="710">
        <f>ROUND(108 * 1, 2)</f>
        <v>108</v>
      </c>
      <c r="N32" s="709"/>
      <c r="O32" s="709" t="s">
        <v>266</v>
      </c>
      <c r="P32" s="709"/>
    </row>
    <row r="33" spans="1:16" ht="54.4" customHeight="1" x14ac:dyDescent="0.25">
      <c r="A33" s="287" t="s">
        <v>265</v>
      </c>
      <c r="B33" s="708" t="s">
        <v>264</v>
      </c>
      <c r="C33" s="709"/>
      <c r="D33" s="709"/>
      <c r="E33" s="709"/>
      <c r="F33" s="709" t="s">
        <v>263</v>
      </c>
      <c r="G33" s="709"/>
      <c r="H33" s="709"/>
      <c r="I33" s="709"/>
      <c r="J33" s="709" t="s">
        <v>262</v>
      </c>
      <c r="K33" s="709"/>
      <c r="L33" s="709"/>
      <c r="M33" s="710">
        <f>ROUND(410 * 60 / 100 * 1.25, 2)</f>
        <v>307.5</v>
      </c>
      <c r="N33" s="709"/>
      <c r="O33" s="709" t="s">
        <v>199</v>
      </c>
      <c r="P33" s="709"/>
    </row>
    <row r="34" spans="1:16" ht="15" customHeight="1" x14ac:dyDescent="0.25">
      <c r="A34" s="289"/>
      <c r="B34" s="712" t="s">
        <v>204</v>
      </c>
      <c r="C34" s="712"/>
      <c r="D34" s="712"/>
      <c r="E34" s="712"/>
      <c r="F34" s="712" t="s">
        <v>199</v>
      </c>
      <c r="G34" s="712"/>
      <c r="H34" s="712"/>
      <c r="I34" s="712"/>
      <c r="J34" s="712" t="s">
        <v>199</v>
      </c>
      <c r="K34" s="712"/>
      <c r="L34" s="712"/>
      <c r="M34" s="712"/>
      <c r="N34" s="712"/>
      <c r="O34" s="712"/>
      <c r="P34" s="712"/>
    </row>
    <row r="35" spans="1:16" ht="54.4" customHeight="1" x14ac:dyDescent="0.25">
      <c r="A35" s="288"/>
      <c r="B35" s="713" t="s">
        <v>261</v>
      </c>
      <c r="C35" s="713"/>
      <c r="D35" s="713"/>
      <c r="E35" s="713"/>
      <c r="F35" s="713" t="s">
        <v>260</v>
      </c>
      <c r="G35" s="713"/>
      <c r="H35" s="713"/>
      <c r="I35" s="713"/>
      <c r="J35" s="713" t="s">
        <v>199</v>
      </c>
      <c r="K35" s="713"/>
      <c r="L35" s="713"/>
      <c r="M35" s="713"/>
      <c r="N35" s="713"/>
      <c r="O35" s="713"/>
      <c r="P35" s="713"/>
    </row>
    <row r="36" spans="1:16" ht="40.9" customHeight="1" x14ac:dyDescent="0.25">
      <c r="A36" s="287" t="s">
        <v>259</v>
      </c>
      <c r="B36" s="708" t="s">
        <v>258</v>
      </c>
      <c r="C36" s="709"/>
      <c r="D36" s="709"/>
      <c r="E36" s="709"/>
      <c r="F36" s="709" t="s">
        <v>257</v>
      </c>
      <c r="G36" s="709"/>
      <c r="H36" s="709"/>
      <c r="I36" s="709"/>
      <c r="J36" s="709" t="s">
        <v>256</v>
      </c>
      <c r="K36" s="709"/>
      <c r="L36" s="709"/>
      <c r="M36" s="710">
        <f>ROUND(450 * 1, 2)</f>
        <v>450</v>
      </c>
      <c r="N36" s="709"/>
      <c r="O36" s="709" t="s">
        <v>199</v>
      </c>
      <c r="P36" s="709"/>
    </row>
    <row r="37" spans="1:16" ht="15" customHeight="1" x14ac:dyDescent="0.25">
      <c r="A37" s="286" t="s">
        <v>255</v>
      </c>
      <c r="B37" s="707" t="s">
        <v>254</v>
      </c>
      <c r="C37" s="707"/>
      <c r="D37" s="707"/>
      <c r="E37" s="707"/>
      <c r="F37" s="707"/>
      <c r="G37" s="707"/>
      <c r="H37" s="707"/>
      <c r="I37" s="707"/>
      <c r="J37" s="707" t="s">
        <v>199</v>
      </c>
      <c r="K37" s="707"/>
      <c r="L37" s="707"/>
      <c r="M37" s="711">
        <f>ROUND(SUM($M$26:$M$36),2)</f>
        <v>1167.5</v>
      </c>
      <c r="N37" s="707"/>
      <c r="O37" s="707"/>
      <c r="P37" s="707"/>
    </row>
    <row r="38" spans="1:16" ht="15" customHeight="1" x14ac:dyDescent="0.25">
      <c r="A38" s="286" t="s">
        <v>253</v>
      </c>
      <c r="B38" s="707" t="s">
        <v>252</v>
      </c>
      <c r="C38" s="707"/>
      <c r="D38" s="707"/>
      <c r="E38" s="707"/>
      <c r="F38" s="707"/>
      <c r="G38" s="707"/>
      <c r="H38" s="707"/>
      <c r="I38" s="707"/>
      <c r="J38" s="707" t="s">
        <v>199</v>
      </c>
      <c r="K38" s="707"/>
      <c r="L38" s="707"/>
      <c r="M38" s="711">
        <f>ROUND(($M$37),2)</f>
        <v>1167.5</v>
      </c>
      <c r="N38" s="707"/>
      <c r="O38" s="707"/>
      <c r="P38" s="707"/>
    </row>
    <row r="39" spans="1:16" ht="15" customHeight="1" x14ac:dyDescent="0.25">
      <c r="A39" s="286" t="s">
        <v>218</v>
      </c>
      <c r="B39" s="707" t="s">
        <v>206</v>
      </c>
      <c r="C39" s="707"/>
      <c r="D39" s="707"/>
      <c r="E39" s="707"/>
      <c r="F39" s="707" t="s">
        <v>251</v>
      </c>
      <c r="G39" s="707"/>
      <c r="H39" s="707"/>
      <c r="I39" s="707"/>
      <c r="J39" s="707"/>
      <c r="K39" s="707"/>
      <c r="L39" s="707"/>
      <c r="M39" s="707"/>
      <c r="N39" s="707"/>
      <c r="O39" s="707"/>
      <c r="P39" s="707"/>
    </row>
    <row r="40" spans="1:16" ht="81.599999999999994" customHeight="1" x14ac:dyDescent="0.25">
      <c r="A40" s="286" t="s">
        <v>217</v>
      </c>
      <c r="B40" s="714" t="s">
        <v>656</v>
      </c>
      <c r="C40" s="714"/>
      <c r="D40" s="714"/>
      <c r="E40" s="714"/>
      <c r="F40" s="714" t="s">
        <v>250</v>
      </c>
      <c r="G40" s="714"/>
      <c r="H40" s="714"/>
      <c r="I40" s="714"/>
      <c r="J40" s="714" t="s">
        <v>655</v>
      </c>
      <c r="K40" s="714"/>
      <c r="L40" s="714"/>
      <c r="M40" s="715">
        <f>ROUND(($M$24) * 0.25,2)</f>
        <v>38.25</v>
      </c>
      <c r="N40" s="714"/>
      <c r="O40" s="714" t="s">
        <v>199</v>
      </c>
      <c r="P40" s="714"/>
    </row>
    <row r="41" spans="1:16" ht="68.099999999999994" customHeight="1" x14ac:dyDescent="0.25">
      <c r="A41" s="286" t="s">
        <v>216</v>
      </c>
      <c r="B41" s="714" t="s">
        <v>249</v>
      </c>
      <c r="C41" s="714"/>
      <c r="D41" s="714"/>
      <c r="E41" s="714"/>
      <c r="F41" s="714" t="s">
        <v>248</v>
      </c>
      <c r="G41" s="714"/>
      <c r="H41" s="714"/>
      <c r="I41" s="714"/>
      <c r="J41" s="714" t="s">
        <v>247</v>
      </c>
      <c r="K41" s="714"/>
      <c r="L41" s="714"/>
      <c r="M41" s="715">
        <f>ROUND(($M$24+$M$40) * (8.75/100),2)</f>
        <v>16.73</v>
      </c>
      <c r="N41" s="714"/>
      <c r="O41" s="714" t="s">
        <v>199</v>
      </c>
      <c r="P41" s="714"/>
    </row>
    <row r="42" spans="1:16" ht="68.099999999999994" customHeight="1" x14ac:dyDescent="0.25">
      <c r="A42" s="286" t="s">
        <v>215</v>
      </c>
      <c r="B42" s="714" t="s">
        <v>246</v>
      </c>
      <c r="C42" s="714"/>
      <c r="D42" s="714"/>
      <c r="E42" s="714"/>
      <c r="F42" s="714" t="s">
        <v>245</v>
      </c>
      <c r="G42" s="714"/>
      <c r="H42" s="714"/>
      <c r="I42" s="714"/>
      <c r="J42" s="714" t="s">
        <v>244</v>
      </c>
      <c r="K42" s="714"/>
      <c r="L42" s="714"/>
      <c r="M42" s="715">
        <f>ROUND(($M$24+SUM($M$40:$M$41)) * (36.4/100),2)</f>
        <v>75.7</v>
      </c>
      <c r="N42" s="714"/>
      <c r="O42" s="714" t="s">
        <v>199</v>
      </c>
      <c r="P42" s="714"/>
    </row>
    <row r="43" spans="1:16" ht="68.099999999999994" customHeight="1" x14ac:dyDescent="0.25">
      <c r="A43" s="286" t="s">
        <v>214</v>
      </c>
      <c r="B43" s="714" t="s">
        <v>243</v>
      </c>
      <c r="C43" s="714"/>
      <c r="D43" s="714"/>
      <c r="E43" s="714"/>
      <c r="F43" s="714" t="s">
        <v>242</v>
      </c>
      <c r="G43" s="714"/>
      <c r="H43" s="714"/>
      <c r="I43" s="714"/>
      <c r="J43" s="714" t="s">
        <v>241</v>
      </c>
      <c r="K43" s="714"/>
      <c r="L43" s="714"/>
      <c r="M43" s="715">
        <f>ROUND(($M$24+SUM($M$40:$M$41)) * (2.5 * 6/100),2)</f>
        <v>31.2</v>
      </c>
      <c r="N43" s="714"/>
      <c r="O43" s="714" t="s">
        <v>199</v>
      </c>
      <c r="P43" s="714"/>
    </row>
    <row r="44" spans="1:16" ht="15" customHeight="1" x14ac:dyDescent="0.25">
      <c r="A44" s="286" t="s">
        <v>213</v>
      </c>
      <c r="B44" s="707" t="s">
        <v>240</v>
      </c>
      <c r="C44" s="707"/>
      <c r="D44" s="707"/>
      <c r="E44" s="707"/>
      <c r="F44" s="707"/>
      <c r="G44" s="707"/>
      <c r="H44" s="707"/>
      <c r="I44" s="707"/>
      <c r="J44" s="707" t="s">
        <v>199</v>
      </c>
      <c r="K44" s="707"/>
      <c r="L44" s="707"/>
      <c r="M44" s="711">
        <f>ROUND((SUM($M$40:$M$43)),2)</f>
        <v>161.88</v>
      </c>
      <c r="N44" s="707"/>
      <c r="O44" s="707"/>
      <c r="P44" s="707"/>
    </row>
    <row r="45" spans="1:16" ht="15" customHeight="1" x14ac:dyDescent="0.25">
      <c r="A45" s="286" t="s">
        <v>212</v>
      </c>
      <c r="B45" s="707" t="s">
        <v>202</v>
      </c>
      <c r="C45" s="707"/>
      <c r="D45" s="707"/>
      <c r="E45" s="707"/>
      <c r="F45" s="707"/>
      <c r="G45" s="707"/>
      <c r="H45" s="707"/>
      <c r="I45" s="707"/>
      <c r="J45" s="707" t="s">
        <v>199</v>
      </c>
      <c r="K45" s="707"/>
      <c r="L45" s="707"/>
      <c r="M45" s="711">
        <f>ROUND($M$24+$M$38+$M$44,2)</f>
        <v>1482.38</v>
      </c>
      <c r="N45" s="707"/>
      <c r="O45" s="707"/>
      <c r="P45" s="707"/>
    </row>
    <row r="46" spans="1:16" ht="27.2" customHeight="1" x14ac:dyDescent="0.25">
      <c r="A46" s="286" t="s">
        <v>207</v>
      </c>
      <c r="B46" s="714" t="s">
        <v>239</v>
      </c>
      <c r="C46" s="714"/>
      <c r="D46" s="714"/>
      <c r="E46" s="714"/>
      <c r="F46" s="714" t="s">
        <v>199</v>
      </c>
      <c r="G46" s="714"/>
      <c r="H46" s="714"/>
      <c r="I46" s="714"/>
      <c r="J46" s="714" t="s">
        <v>238</v>
      </c>
      <c r="K46" s="714"/>
      <c r="L46" s="714"/>
      <c r="M46" s="715">
        <f>ROUND($M$45,2)</f>
        <v>1482.38</v>
      </c>
      <c r="N46" s="714"/>
      <c r="O46" s="714" t="s">
        <v>199</v>
      </c>
      <c r="P46" s="714"/>
    </row>
    <row r="47" spans="1:16" ht="40.9" customHeight="1" x14ac:dyDescent="0.25">
      <c r="A47" s="286" t="s">
        <v>203</v>
      </c>
      <c r="B47" s="714" t="s">
        <v>237</v>
      </c>
      <c r="C47" s="714"/>
      <c r="D47" s="714"/>
      <c r="E47" s="714"/>
      <c r="F47" s="714" t="s">
        <v>236</v>
      </c>
      <c r="G47" s="714"/>
      <c r="H47" s="714"/>
      <c r="I47" s="714"/>
      <c r="J47" s="714" t="s">
        <v>235</v>
      </c>
      <c r="K47" s="714"/>
      <c r="L47" s="714"/>
      <c r="M47" s="715">
        <f>ROUND(($M$46) * 80.58,2)</f>
        <v>119450.18</v>
      </c>
      <c r="N47" s="714"/>
      <c r="O47" s="714" t="s">
        <v>199</v>
      </c>
      <c r="P47" s="714"/>
    </row>
    <row r="48" spans="1:16" ht="15" customHeight="1" x14ac:dyDescent="0.25">
      <c r="A48" s="286" t="s">
        <v>201</v>
      </c>
      <c r="B48" s="707" t="s">
        <v>200</v>
      </c>
      <c r="C48" s="707"/>
      <c r="D48" s="707"/>
      <c r="E48" s="707"/>
      <c r="F48" s="707"/>
      <c r="G48" s="707"/>
      <c r="H48" s="707"/>
      <c r="I48" s="707"/>
      <c r="J48" s="707" t="s">
        <v>199</v>
      </c>
      <c r="K48" s="707"/>
      <c r="L48" s="707"/>
      <c r="M48" s="711">
        <f>ROUND(($M$47),2)</f>
        <v>119450.18</v>
      </c>
      <c r="N48" s="707"/>
      <c r="O48" s="707"/>
      <c r="P48" s="707"/>
    </row>
    <row r="49" spans="1:16" ht="15" customHeight="1" x14ac:dyDescent="0.25"/>
    <row r="50" spans="1:16" ht="30" customHeight="1" x14ac:dyDescent="0.25">
      <c r="A50" s="700" t="s">
        <v>198</v>
      </c>
      <c r="B50" s="700"/>
      <c r="C50" s="700"/>
      <c r="D50" s="700"/>
      <c r="E50" s="700"/>
      <c r="F50" s="716">
        <f>$M$48</f>
        <v>119450.18</v>
      </c>
      <c r="G50" s="716"/>
      <c r="H50" s="716"/>
      <c r="I50" s="716"/>
      <c r="J50" s="716"/>
      <c r="K50" s="716"/>
      <c r="L50" s="716"/>
      <c r="M50" s="716"/>
      <c r="N50" s="716"/>
      <c r="O50" s="716"/>
      <c r="P50" s="716"/>
    </row>
  </sheetData>
  <mergeCells count="171">
    <mergeCell ref="A50:E50"/>
    <mergeCell ref="F50:P50"/>
    <mergeCell ref="B46:E46"/>
    <mergeCell ref="F46:I46"/>
    <mergeCell ref="J46:L46"/>
    <mergeCell ref="M46:N46"/>
    <mergeCell ref="O46:P46"/>
    <mergeCell ref="B47:E47"/>
    <mergeCell ref="F47:I47"/>
    <mergeCell ref="J47:L47"/>
    <mergeCell ref="B45:E45"/>
    <mergeCell ref="F45:I45"/>
    <mergeCell ref="J45:L45"/>
    <mergeCell ref="M45:N45"/>
    <mergeCell ref="O45:P45"/>
    <mergeCell ref="B48:E48"/>
    <mergeCell ref="F48:I48"/>
    <mergeCell ref="J48:L48"/>
    <mergeCell ref="M48:N48"/>
    <mergeCell ref="O48:P48"/>
    <mergeCell ref="M47:N47"/>
    <mergeCell ref="O47:P47"/>
    <mergeCell ref="B43:E43"/>
    <mergeCell ref="F43:I43"/>
    <mergeCell ref="J43:L43"/>
    <mergeCell ref="M43:N43"/>
    <mergeCell ref="O43:P43"/>
    <mergeCell ref="B44:E44"/>
    <mergeCell ref="F44:I44"/>
    <mergeCell ref="J44:L44"/>
    <mergeCell ref="M44:N44"/>
    <mergeCell ref="O44:P44"/>
    <mergeCell ref="B41:E41"/>
    <mergeCell ref="F41:I41"/>
    <mergeCell ref="J41:L41"/>
    <mergeCell ref="M41:N41"/>
    <mergeCell ref="O41:P41"/>
    <mergeCell ref="B42:E42"/>
    <mergeCell ref="F42:I42"/>
    <mergeCell ref="J42:L42"/>
    <mergeCell ref="M42:N42"/>
    <mergeCell ref="O42:P42"/>
    <mergeCell ref="B39:E39"/>
    <mergeCell ref="F39:I39"/>
    <mergeCell ref="J39:L39"/>
    <mergeCell ref="M39:N39"/>
    <mergeCell ref="O39:P39"/>
    <mergeCell ref="B40:E40"/>
    <mergeCell ref="F40:I40"/>
    <mergeCell ref="J40:L40"/>
    <mergeCell ref="M40:N40"/>
    <mergeCell ref="O40:P40"/>
    <mergeCell ref="B37:E37"/>
    <mergeCell ref="F37:I37"/>
    <mergeCell ref="J37:L37"/>
    <mergeCell ref="M37:N37"/>
    <mergeCell ref="O37:P37"/>
    <mergeCell ref="B38:E38"/>
    <mergeCell ref="F38:I38"/>
    <mergeCell ref="J38:L38"/>
    <mergeCell ref="M38:N38"/>
    <mergeCell ref="O38:P38"/>
    <mergeCell ref="B35:E35"/>
    <mergeCell ref="F35:I35"/>
    <mergeCell ref="J35:L35"/>
    <mergeCell ref="M35:N35"/>
    <mergeCell ref="O35:P35"/>
    <mergeCell ref="B36:E36"/>
    <mergeCell ref="F36:I36"/>
    <mergeCell ref="J36:L36"/>
    <mergeCell ref="M36:N36"/>
    <mergeCell ref="O36:P36"/>
    <mergeCell ref="B33:E33"/>
    <mergeCell ref="F33:I33"/>
    <mergeCell ref="J33:L33"/>
    <mergeCell ref="M33:N33"/>
    <mergeCell ref="O33:P33"/>
    <mergeCell ref="B34:E34"/>
    <mergeCell ref="F34:I34"/>
    <mergeCell ref="J34:L34"/>
    <mergeCell ref="M34:N34"/>
    <mergeCell ref="O34:P34"/>
    <mergeCell ref="B31:E31"/>
    <mergeCell ref="F31:I31"/>
    <mergeCell ref="J31:L31"/>
    <mergeCell ref="M31:N31"/>
    <mergeCell ref="O31:P31"/>
    <mergeCell ref="B32:E32"/>
    <mergeCell ref="F32:I32"/>
    <mergeCell ref="J32:L32"/>
    <mergeCell ref="M32:N32"/>
    <mergeCell ref="O32:P32"/>
    <mergeCell ref="B29:E29"/>
    <mergeCell ref="F29:I29"/>
    <mergeCell ref="J29:L29"/>
    <mergeCell ref="M29:N29"/>
    <mergeCell ref="O29:P29"/>
    <mergeCell ref="B30:E30"/>
    <mergeCell ref="F30:I30"/>
    <mergeCell ref="J30:L30"/>
    <mergeCell ref="M30:N30"/>
    <mergeCell ref="O30:P30"/>
    <mergeCell ref="B27:E27"/>
    <mergeCell ref="F27:I27"/>
    <mergeCell ref="J27:L27"/>
    <mergeCell ref="M27:N27"/>
    <mergeCell ref="O27:P27"/>
    <mergeCell ref="B28:E28"/>
    <mergeCell ref="F28:I28"/>
    <mergeCell ref="J28:L28"/>
    <mergeCell ref="M28:N28"/>
    <mergeCell ref="O28:P28"/>
    <mergeCell ref="B25:E25"/>
    <mergeCell ref="F25:I25"/>
    <mergeCell ref="J25:L25"/>
    <mergeCell ref="M25:N25"/>
    <mergeCell ref="O25:P25"/>
    <mergeCell ref="B26:E26"/>
    <mergeCell ref="F26:I26"/>
    <mergeCell ref="J26:L26"/>
    <mergeCell ref="M26:N26"/>
    <mergeCell ref="O26:P26"/>
    <mergeCell ref="B23:E23"/>
    <mergeCell ref="F23:I23"/>
    <mergeCell ref="J23:L23"/>
    <mergeCell ref="M23:N23"/>
    <mergeCell ref="O23:P23"/>
    <mergeCell ref="B24:E24"/>
    <mergeCell ref="F24:I24"/>
    <mergeCell ref="J24:L24"/>
    <mergeCell ref="M24:N24"/>
    <mergeCell ref="O24:P24"/>
    <mergeCell ref="B21:E21"/>
    <mergeCell ref="F21:I21"/>
    <mergeCell ref="J21:L21"/>
    <mergeCell ref="M21:N21"/>
    <mergeCell ref="O21:P21"/>
    <mergeCell ref="B22:E22"/>
    <mergeCell ref="F22:I22"/>
    <mergeCell ref="J22:L22"/>
    <mergeCell ref="M22:N22"/>
    <mergeCell ref="O22:P22"/>
    <mergeCell ref="O18:P18"/>
    <mergeCell ref="O19:P19"/>
    <mergeCell ref="B20:E20"/>
    <mergeCell ref="F20:I20"/>
    <mergeCell ref="J20:L20"/>
    <mergeCell ref="M20:N20"/>
    <mergeCell ref="O20:P20"/>
    <mergeCell ref="A14:P14"/>
    <mergeCell ref="A16:P16"/>
    <mergeCell ref="B18:E18"/>
    <mergeCell ref="B19:E19"/>
    <mergeCell ref="F18:I18"/>
    <mergeCell ref="F19:I19"/>
    <mergeCell ref="J18:L18"/>
    <mergeCell ref="J19:L19"/>
    <mergeCell ref="M18:N18"/>
    <mergeCell ref="M19:N19"/>
    <mergeCell ref="A8:E8"/>
    <mergeCell ref="F8:P8"/>
    <mergeCell ref="A10:E10"/>
    <mergeCell ref="F10:P10"/>
    <mergeCell ref="A12:E12"/>
    <mergeCell ref="F12:P12"/>
    <mergeCell ref="A1:D1"/>
    <mergeCell ref="E1:P1"/>
    <mergeCell ref="A3:P3"/>
    <mergeCell ref="A4:P4"/>
    <mergeCell ref="A6:E6"/>
    <mergeCell ref="F6:P6"/>
  </mergeCells>
  <pageMargins left="0.4" right="0.4"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3</vt:i4>
      </vt:variant>
    </vt:vector>
  </HeadingPairs>
  <TitlesOfParts>
    <vt:vector size="25" baseType="lpstr">
      <vt:lpstr>Пояснительная</vt:lpstr>
      <vt:lpstr>Протокол</vt:lpstr>
      <vt:lpstr>НМЦ</vt:lpstr>
      <vt:lpstr>НМЦК</vt:lpstr>
      <vt:lpstr>Cводная смета ПИР</vt:lpstr>
      <vt:lpstr>ИГДИ</vt:lpstr>
      <vt:lpstr>ИГИ</vt:lpstr>
      <vt:lpstr>ИГФИ</vt:lpstr>
      <vt:lpstr>Сели-лавины</vt:lpstr>
      <vt:lpstr>ИГМИ</vt:lpstr>
      <vt:lpstr>Экология</vt:lpstr>
      <vt:lpstr>ВОП</vt:lpstr>
      <vt:lpstr>Программа ГТМ</vt:lpstr>
      <vt:lpstr>ПД</vt:lpstr>
      <vt:lpstr>РД</vt:lpstr>
      <vt:lpstr>ОВОС</vt:lpstr>
      <vt:lpstr>ОВБР</vt:lpstr>
      <vt:lpstr>КАЦ на НТС и СТУ</vt:lpstr>
      <vt:lpstr>Историко-культурная эксп</vt:lpstr>
      <vt:lpstr>Экспертиза ГЭЭ</vt:lpstr>
      <vt:lpstr>Экспертиза ГГЭ</vt:lpstr>
      <vt:lpstr>Прогнозные индексы</vt:lpstr>
      <vt:lpstr>'КАЦ на НТС и СТУ'!_Hlk191561154</vt:lpstr>
      <vt:lpstr>'КАЦ на НТС и СТУ'!_Hlk191561170</vt:lpstr>
      <vt:lpstr>Протокол!Область_печати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Джанумова Татьяна Григорьевна</dc:creator>
  <cp:lastModifiedBy>Токарев Игорь Александрович</cp:lastModifiedBy>
  <cp:lastPrinted>2026-07-09T14:00:09Z</cp:lastPrinted>
  <dcterms:created xsi:type="dcterms:W3CDTF">2023-03-21T15:49:14Z</dcterms:created>
  <dcterms:modified xsi:type="dcterms:W3CDTF">2026-07-17T14:17:31Z</dcterms:modified>
</cp:coreProperties>
</file>