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15" windowWidth="9630" windowHeight="4410" tabRatio="834" firstSheet="2" activeTab="7"/>
  </bookViews>
  <sheets>
    <sheet name="дендрология" sheetId="28" state="hidden" r:id="rId1"/>
    <sheet name="График работ" sheetId="52" r:id="rId2"/>
    <sheet name="Парковка УНЦС" sheetId="53" r:id="rId3"/>
    <sheet name="Сети ВК УНЦС" sheetId="54" r:id="rId4"/>
    <sheet name="Ориентировочная сумма КВЛ" sheetId="49" r:id="rId5"/>
    <sheet name="Пояснительная" sheetId="48" r:id="rId6"/>
    <sheet name="Протокол" sheetId="51" r:id="rId7"/>
    <sheet name="НМЦ" sheetId="47" r:id="rId8"/>
    <sheet name="НМЦК" sheetId="50" r:id="rId9"/>
    <sheet name="Cводная смета ПИР" sheetId="13" r:id="rId10"/>
    <sheet name="ПД " sheetId="45" r:id="rId11"/>
    <sheet name="Экспертиза ПД и ИЗ" sheetId="3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dck" localSheetId="3">[1]топография!#REF!</definedName>
    <definedName name="dck">[1]топография!#REF!</definedName>
    <definedName name="Itog" localSheetId="3">#REF!</definedName>
    <definedName name="Itog">#REF!</definedName>
    <definedName name="KPlan" localSheetId="3">#REF!</definedName>
    <definedName name="KPlan">#REF!</definedName>
    <definedName name="SM_STO" localSheetId="3">#REF!</definedName>
    <definedName name="SM_STO">#REF!</definedName>
    <definedName name="SM_STO1" localSheetId="3">#REF!</definedName>
    <definedName name="SM_STO1">#REF!</definedName>
    <definedName name="SM_STO2" localSheetId="3">#REF!</definedName>
    <definedName name="SM_STO2">#REF!</definedName>
    <definedName name="SM_STO3" localSheetId="3">#REF!</definedName>
    <definedName name="SM_STO3">#REF!</definedName>
    <definedName name="SUM_" localSheetId="3">#REF!</definedName>
    <definedName name="SUM_">#REF!</definedName>
    <definedName name="SUM_1" localSheetId="3">#REF!</definedName>
    <definedName name="SUM_1">#REF!</definedName>
    <definedName name="SUM_3" localSheetId="3">#REF!</definedName>
    <definedName name="SUM_3">#REF!</definedName>
    <definedName name="wrn.1." hidden="1">{#N/A,#N/A,FALSE,"Шаблон_Спец1"}</definedName>
    <definedName name="ZAK1" localSheetId="3">#REF!</definedName>
    <definedName name="ZAK1">#REF!</definedName>
    <definedName name="ZAK2" localSheetId="3">#REF!</definedName>
    <definedName name="ZAK2">#REF!</definedName>
    <definedName name="а36" localSheetId="3">#REF!</definedName>
    <definedName name="а36">#REF!</definedName>
    <definedName name="аа" localSheetId="3">[1]топография!#REF!</definedName>
    <definedName name="аа">[1]топография!#REF!</definedName>
    <definedName name="АКСТ">'[2]Лист опроса'!$B$22</definedName>
    <definedName name="аолрмб">[3]Вспомогательный!$D$77</definedName>
    <definedName name="вв" localSheetId="3">[1]топография!#REF!</definedName>
    <definedName name="вв">[1]топография!#REF!</definedName>
    <definedName name="д1" localSheetId="3">#REF!</definedName>
    <definedName name="д1">#REF!</definedName>
    <definedName name="д10" localSheetId="3">#REF!</definedName>
    <definedName name="д10">#REF!</definedName>
    <definedName name="д2" localSheetId="3">#REF!</definedName>
    <definedName name="д2">#REF!</definedName>
    <definedName name="д3" localSheetId="3">#REF!</definedName>
    <definedName name="д3">#REF!</definedName>
    <definedName name="д4" localSheetId="3">#REF!</definedName>
    <definedName name="д4">#REF!</definedName>
    <definedName name="д5" localSheetId="3">#REF!</definedName>
    <definedName name="д5">#REF!</definedName>
    <definedName name="д6" localSheetId="3">#REF!</definedName>
    <definedName name="д6">#REF!</definedName>
    <definedName name="д7" localSheetId="3">#REF!</definedName>
    <definedName name="д7">#REF!</definedName>
    <definedName name="д8" localSheetId="3">#REF!</definedName>
    <definedName name="д8">#REF!</definedName>
    <definedName name="д9" localSheetId="3">#REF!</definedName>
    <definedName name="д9">#REF!</definedName>
    <definedName name="дж">[3]Вспомогательный!$D$36</definedName>
    <definedName name="дж1">[3]Вспомогательный!$D$38</definedName>
    <definedName name="ДЛО" localSheetId="3">#REF!</definedName>
    <definedName name="ДЛО">#REF!</definedName>
    <definedName name="дп" localSheetId="3">#REF!</definedName>
    <definedName name="дп">#REF!</definedName>
    <definedName name="ДСК" localSheetId="3">[4]топография!#REF!</definedName>
    <definedName name="ДСК">[4]топография!#REF!</definedName>
    <definedName name="дэ" localSheetId="3">#REF!</definedName>
    <definedName name="дэ">#REF!</definedName>
    <definedName name="жж">[3]Вспомогательный!$D$80</definedName>
    <definedName name="ии" localSheetId="3">#REF!</definedName>
    <definedName name="ии">#REF!</definedName>
    <definedName name="инфл" localSheetId="3">#REF!</definedName>
    <definedName name="инфл">#REF!</definedName>
    <definedName name="ип" localSheetId="3">#REF!</definedName>
    <definedName name="ип">#REF!</definedName>
    <definedName name="к1" localSheetId="3">#REF!</definedName>
    <definedName name="к1">#REF!</definedName>
    <definedName name="к10" localSheetId="3">#REF!</definedName>
    <definedName name="к10">#REF!</definedName>
    <definedName name="к101" localSheetId="3">#REF!</definedName>
    <definedName name="к101">#REF!</definedName>
    <definedName name="К105" localSheetId="3">#REF!</definedName>
    <definedName name="К105">#REF!</definedName>
    <definedName name="к11" localSheetId="3">#REF!</definedName>
    <definedName name="к11">#REF!</definedName>
    <definedName name="к12" localSheetId="3">#REF!</definedName>
    <definedName name="к12">#REF!</definedName>
    <definedName name="к13" localSheetId="3">#REF!</definedName>
    <definedName name="к13">#REF!</definedName>
    <definedName name="к14" localSheetId="3">#REF!</definedName>
    <definedName name="к14">#REF!</definedName>
    <definedName name="к15" localSheetId="3">#REF!</definedName>
    <definedName name="к15">#REF!</definedName>
    <definedName name="к16" localSheetId="3">#REF!</definedName>
    <definedName name="к16">#REF!</definedName>
    <definedName name="к17" localSheetId="3">#REF!</definedName>
    <definedName name="к17">#REF!</definedName>
    <definedName name="к18" localSheetId="3">#REF!</definedName>
    <definedName name="к18">#REF!</definedName>
    <definedName name="к19" localSheetId="3">#REF!</definedName>
    <definedName name="к19">#REF!</definedName>
    <definedName name="к2" localSheetId="3">#REF!</definedName>
    <definedName name="к2">#REF!</definedName>
    <definedName name="к20" localSheetId="3">#REF!</definedName>
    <definedName name="к20">#REF!</definedName>
    <definedName name="к21" localSheetId="3">#REF!</definedName>
    <definedName name="к21">#REF!</definedName>
    <definedName name="к22" localSheetId="3">#REF!</definedName>
    <definedName name="к22">#REF!</definedName>
    <definedName name="к23" localSheetId="3">#REF!</definedName>
    <definedName name="к23">#REF!</definedName>
    <definedName name="к231" localSheetId="3">#REF!</definedName>
    <definedName name="к231">#REF!</definedName>
    <definedName name="к24" localSheetId="3">#REF!</definedName>
    <definedName name="к24">#REF!</definedName>
    <definedName name="к25" localSheetId="3">#REF!</definedName>
    <definedName name="к25">#REF!</definedName>
    <definedName name="к26" localSheetId="3">#REF!</definedName>
    <definedName name="к26">#REF!</definedName>
    <definedName name="к27" localSheetId="3">#REF!</definedName>
    <definedName name="к27">#REF!</definedName>
    <definedName name="к28" localSheetId="3">#REF!</definedName>
    <definedName name="к28">#REF!</definedName>
    <definedName name="к29" localSheetId="3">#REF!</definedName>
    <definedName name="к29">#REF!</definedName>
    <definedName name="к2п" localSheetId="3">#REF!</definedName>
    <definedName name="к2п">#REF!</definedName>
    <definedName name="к3" localSheetId="3">#REF!</definedName>
    <definedName name="к3">#REF!</definedName>
    <definedName name="к30" localSheetId="3">#REF!</definedName>
    <definedName name="к30">#REF!</definedName>
    <definedName name="к3п" localSheetId="3">#REF!</definedName>
    <definedName name="к3п">#REF!</definedName>
    <definedName name="к5" localSheetId="3">#REF!</definedName>
    <definedName name="к5">#REF!</definedName>
    <definedName name="к6" localSheetId="3">#REF!</definedName>
    <definedName name="к6">#REF!</definedName>
    <definedName name="к7" localSheetId="3">#REF!</definedName>
    <definedName name="к7">#REF!</definedName>
    <definedName name="к8" localSheetId="3">#REF!</definedName>
    <definedName name="к8">#REF!</definedName>
    <definedName name="к9" localSheetId="3">#REF!</definedName>
    <definedName name="к9">#REF!</definedName>
    <definedName name="ккее" localSheetId="3">#REF!</definedName>
    <definedName name="ккее">#REF!</definedName>
    <definedName name="конкурс" localSheetId="3">#REF!</definedName>
    <definedName name="конкурс">#REF!</definedName>
    <definedName name="кп" localSheetId="3">#REF!</definedName>
    <definedName name="кп">#REF!</definedName>
    <definedName name="Крек">'[2]Лист опроса'!$B$17</definedName>
    <definedName name="Крп">'[2]Лист опроса'!$B$19</definedName>
    <definedName name="курорты" localSheetId="3">#REF!</definedName>
    <definedName name="курорты">#REF!</definedName>
    <definedName name="Кэл">'[2]Лист опроса'!$B$20</definedName>
    <definedName name="лл">[3]Вспомогательный!$D$78</definedName>
    <definedName name="мж1">'[5]СметаСводная 1 оч'!$D$6</definedName>
    <definedName name="ндс" localSheetId="3">#REF!</definedName>
    <definedName name="ндс">#REF!</definedName>
    <definedName name="Нсапк">'[2]Лист опроса'!$B$34</definedName>
    <definedName name="Нсстр">'[2]Лист опроса'!$B$32</definedName>
    <definedName name="_xlnm.Print_Area" localSheetId="9">'Cводная смета ПИР'!$A$1:$G$30</definedName>
    <definedName name="_xlnm.Print_Area" localSheetId="1">'График работ'!#REF!</definedName>
    <definedName name="_xlnm.Print_Area" localSheetId="7">НМЦ!$A$1:$E$22</definedName>
    <definedName name="_xlnm.Print_Area" localSheetId="8">НМЦК!$A$1:$G$43</definedName>
    <definedName name="_xlnm.Print_Area" localSheetId="10">'ПД '!$A$1:$J$152</definedName>
    <definedName name="_xlnm.Print_Area" localSheetId="5">Пояснительная!$A$1:$C$20</definedName>
    <definedName name="_xlnm.Print_Area" localSheetId="6">Протокол!$A$1:$K$28</definedName>
    <definedName name="_xlnm.Print_Area" localSheetId="11">'Экспертиза ПД и ИЗ'!$A$1:$H$21</definedName>
    <definedName name="ООО_НИИПРИИ___Севзапинжтехнология" localSheetId="3">#REF!</definedName>
    <definedName name="ООО_НИИПРИИ___Севзапинжтехнология">#REF!</definedName>
    <definedName name="пионер" localSheetId="3">#REF!</definedName>
    <definedName name="пионер">#REF!</definedName>
    <definedName name="Пкр">'[2]Лист опроса'!$B$41</definedName>
    <definedName name="План">'[6]Смета 7'!$F$1</definedName>
    <definedName name="пппп" localSheetId="3">#REF!</definedName>
    <definedName name="пппп">#REF!</definedName>
    <definedName name="пробная" localSheetId="3">#REF!</definedName>
    <definedName name="пробная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3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т">'[2]Лист опроса'!$B$6</definedName>
    <definedName name="Расчёт1">'[7]Смета 7'!$F$1</definedName>
    <definedName name="рек" localSheetId="3">#REF!</definedName>
    <definedName name="рек">#REF!</definedName>
    <definedName name="рига">'[8]СметаСводная снег'!$E$7</definedName>
    <definedName name="С" hidden="1">{#N/A,#N/A,FALSE,"Шаблон_Спец1"}</definedName>
    <definedName name="с1" localSheetId="3">#REF!</definedName>
    <definedName name="с1">#REF!</definedName>
    <definedName name="с10" localSheetId="3">#REF!</definedName>
    <definedName name="с10">#REF!</definedName>
    <definedName name="с2" localSheetId="3">#REF!</definedName>
    <definedName name="с2">#REF!</definedName>
    <definedName name="с3" localSheetId="3">#REF!</definedName>
    <definedName name="с3">#REF!</definedName>
    <definedName name="с4" localSheetId="3">#REF!</definedName>
    <definedName name="с4">#REF!</definedName>
    <definedName name="с5" localSheetId="3">#REF!</definedName>
    <definedName name="с5">#REF!</definedName>
    <definedName name="с6" localSheetId="3">#REF!</definedName>
    <definedName name="с6">#REF!</definedName>
    <definedName name="с7" localSheetId="3">#REF!</definedName>
    <definedName name="с7">#REF!</definedName>
    <definedName name="с8" localSheetId="3">#REF!</definedName>
    <definedName name="с8">#REF!</definedName>
    <definedName name="с9" localSheetId="3">#REF!</definedName>
    <definedName name="с9">#REF!</definedName>
    <definedName name="СВсм">[3]Вспомогательный!$D$36</definedName>
    <definedName name="сев" localSheetId="3">#REF!</definedName>
    <definedName name="сев">#REF!</definedName>
    <definedName name="см_конк" localSheetId="3">#REF!</definedName>
    <definedName name="см_конк">#REF!</definedName>
    <definedName name="См6">'[9]Смета 7'!$F$1</definedName>
    <definedName name="Смета_2">'[7]Смета 7'!$F$1</definedName>
    <definedName name="Смета11">'[10]Смета 7'!$F$1</definedName>
    <definedName name="Смета21">'[11]Смета 7'!$F$1</definedName>
    <definedName name="Смета3">[3]Вспомогательный!$D$78</definedName>
    <definedName name="сп1" localSheetId="3">#REF!</definedName>
    <definedName name="сп1">#REF!</definedName>
    <definedName name="сп2" localSheetId="3">#REF!</definedName>
    <definedName name="сп2">#REF!</definedName>
    <definedName name="Станц10">'[2]Лист опроса'!$B$23</definedName>
    <definedName name="Стр10">'[2]Лист опроса'!$B$24</definedName>
    <definedName name="СтрАУ">'[2]Лист опроса'!$B$12</definedName>
    <definedName name="СтрДУ">'[2]Лист опроса'!$B$11</definedName>
    <definedName name="Стрелки">'[2]Лист опроса'!$B$10</definedName>
  </definedNames>
  <calcPr calcId="162913" fullPrecision="0"/>
</workbook>
</file>

<file path=xl/calcChain.xml><?xml version="1.0" encoding="utf-8"?>
<calcChain xmlns="http://schemas.openxmlformats.org/spreadsheetml/2006/main">
  <c r="J148" i="45" l="1"/>
  <c r="J40" i="45"/>
  <c r="J18" i="45"/>
  <c r="J14" i="45"/>
  <c r="J83" i="45"/>
  <c r="J78" i="45"/>
  <c r="J55" i="45"/>
  <c r="J147" i="45"/>
  <c r="K20" i="49"/>
  <c r="K18" i="49"/>
  <c r="D18" i="49"/>
  <c r="G38" i="53"/>
  <c r="G39" i="53" s="1"/>
  <c r="G45" i="53" s="1"/>
  <c r="G46" i="53" s="1"/>
  <c r="L7" i="49" s="1"/>
  <c r="M7" i="49" s="1"/>
  <c r="O149" i="45" l="1"/>
  <c r="J114" i="45" l="1"/>
  <c r="J96" i="45"/>
  <c r="J74" i="45"/>
  <c r="J22" i="45"/>
  <c r="B27" i="50" l="1"/>
  <c r="E16" i="50" l="1"/>
  <c r="D16" i="50"/>
  <c r="J35" i="45"/>
  <c r="F16" i="50" l="1"/>
  <c r="G16" i="50" l="1"/>
  <c r="H16" i="50"/>
  <c r="C15" i="47"/>
  <c r="G18" i="13"/>
  <c r="A3" i="47"/>
  <c r="E60" i="54" l="1"/>
  <c r="K13" i="49"/>
  <c r="G13" i="49"/>
  <c r="I13" i="49" s="1"/>
  <c r="J13" i="49" s="1"/>
  <c r="L13" i="49" s="1"/>
  <c r="M13" i="49" l="1"/>
  <c r="J5" i="53" l="1"/>
  <c r="K54" i="54"/>
  <c r="J52" i="54"/>
  <c r="I52" i="54"/>
  <c r="G27" i="53"/>
  <c r="G28" i="53" s="1"/>
  <c r="G34" i="53" s="1"/>
  <c r="G16" i="53"/>
  <c r="G17" i="53" s="1"/>
  <c r="E107" i="54"/>
  <c r="G104" i="54"/>
  <c r="G105" i="54" s="1"/>
  <c r="G112" i="54" s="1"/>
  <c r="G113" i="54" s="1"/>
  <c r="G35" i="53" l="1"/>
  <c r="L6" i="49" s="1"/>
  <c r="G23" i="53"/>
  <c r="L19" i="49"/>
  <c r="G5" i="53"/>
  <c r="G6" i="53" s="1"/>
  <c r="G12" i="53" s="1"/>
  <c r="G13" i="53" s="1"/>
  <c r="G93" i="54"/>
  <c r="G94" i="54" s="1"/>
  <c r="G100" i="54" s="1"/>
  <c r="W148" i="45"/>
  <c r="G24" i="53" l="1"/>
  <c r="L8" i="49" s="1"/>
  <c r="M8" i="49" s="1"/>
  <c r="G101" i="54"/>
  <c r="L16" i="49" s="1"/>
  <c r="J126" i="45"/>
  <c r="J151" i="45" s="1"/>
  <c r="J122" i="45"/>
  <c r="J118" i="45"/>
  <c r="J109" i="45"/>
  <c r="J100" i="45"/>
  <c r="J105" i="45"/>
  <c r="J92" i="45"/>
  <c r="J88" i="45"/>
  <c r="J60" i="45"/>
  <c r="J65" i="45"/>
  <c r="J69" i="45"/>
  <c r="J50" i="45"/>
  <c r="J45" i="45"/>
  <c r="J30" i="45"/>
  <c r="J26" i="45"/>
  <c r="J10" i="45" l="1"/>
  <c r="G82" i="54" l="1"/>
  <c r="G83" i="54" s="1"/>
  <c r="G89" i="54" s="1"/>
  <c r="G71" i="54"/>
  <c r="G77" i="54" s="1"/>
  <c r="G78" i="54" s="1"/>
  <c r="L14" i="49" s="1"/>
  <c r="M16" i="49" l="1"/>
  <c r="G90" i="54"/>
  <c r="M14" i="49"/>
  <c r="G62" i="54"/>
  <c r="G68" i="54" s="1"/>
  <c r="M6" i="49" l="1"/>
  <c r="G69" i="54"/>
  <c r="G52" i="54"/>
  <c r="G58" i="54" s="1"/>
  <c r="G59" i="54" s="1"/>
  <c r="G60" i="54" l="1"/>
  <c r="L12" i="49" s="1"/>
  <c r="M12" i="49" s="1"/>
  <c r="G43" i="54"/>
  <c r="G49" i="54" s="1"/>
  <c r="G50" i="54" s="1"/>
  <c r="G34" i="54"/>
  <c r="G40" i="54" s="1"/>
  <c r="G25" i="54"/>
  <c r="G31" i="54" s="1"/>
  <c r="G32" i="54" s="1"/>
  <c r="G41" i="54" l="1"/>
  <c r="L17" i="49" s="1"/>
  <c r="M17" i="49" s="1"/>
  <c r="L15" i="49"/>
  <c r="M15" i="49" s="1"/>
  <c r="L11" i="49"/>
  <c r="M11" i="49" s="1"/>
  <c r="G15" i="13" l="1"/>
  <c r="E36" i="50" l="1"/>
  <c r="E37" i="50"/>
  <c r="E39" i="50" s="1"/>
  <c r="B42" i="50" l="1"/>
  <c r="B32" i="50"/>
  <c r="B33" i="50" l="1"/>
  <c r="E40" i="50" s="1"/>
  <c r="G15" i="54"/>
  <c r="G22" i="54" s="1"/>
  <c r="G23" i="54" s="1"/>
  <c r="G5" i="54"/>
  <c r="E14" i="50" l="1"/>
  <c r="L10" i="49"/>
  <c r="M10" i="49" s="1"/>
  <c r="G4" i="54"/>
  <c r="G11" i="54" s="1"/>
  <c r="G12" i="54" s="1"/>
  <c r="L9" i="49" l="1"/>
  <c r="M9" i="49" s="1"/>
  <c r="L5" i="49"/>
  <c r="M5" i="49" s="1"/>
  <c r="E46" i="50"/>
  <c r="E47" i="50" s="1"/>
  <c r="E13" i="50"/>
  <c r="E15" i="50" l="1"/>
  <c r="G20" i="49" l="1"/>
  <c r="I20" i="49" s="1"/>
  <c r="J20" i="49" s="1"/>
  <c r="L20" i="49" s="1"/>
  <c r="M20" i="49" s="1"/>
  <c r="M19" i="49" l="1"/>
  <c r="G18" i="49" l="1"/>
  <c r="I18" i="49" l="1"/>
  <c r="J18" i="49" s="1"/>
  <c r="L18" i="49" l="1"/>
  <c r="M18" i="49" l="1"/>
  <c r="M21" i="49" s="1"/>
  <c r="L21" i="49"/>
  <c r="D74" i="13" l="1"/>
  <c r="D76" i="13" s="1"/>
  <c r="E76" i="13" s="1"/>
  <c r="E80" i="13" s="1"/>
  <c r="D71" i="13"/>
  <c r="E71" i="13" s="1"/>
  <c r="D68" i="13"/>
  <c r="E68" i="13" s="1"/>
  <c r="E74" i="13" l="1"/>
  <c r="E77" i="13"/>
  <c r="G17" i="13" l="1"/>
  <c r="G13" i="13"/>
  <c r="G16" i="13"/>
  <c r="G14" i="13" l="1"/>
  <c r="G19" i="13" s="1"/>
  <c r="B13" i="50" l="1"/>
  <c r="D13" i="50" s="1"/>
  <c r="F13" i="50" l="1"/>
  <c r="C13" i="47" s="1"/>
  <c r="G13" i="50" l="1"/>
  <c r="C5" i="13"/>
  <c r="C4" i="35"/>
  <c r="D12" i="35" l="1"/>
  <c r="D14" i="35" s="1"/>
  <c r="E55" i="13"/>
  <c r="D50" i="13" l="1"/>
  <c r="E50" i="13" s="1"/>
  <c r="D47" i="13"/>
  <c r="D44" i="13"/>
  <c r="E44" i="13" s="1"/>
  <c r="D52" i="13" l="1"/>
  <c r="E52" i="13" s="1"/>
  <c r="E53" i="13" s="1"/>
  <c r="E47" i="13"/>
  <c r="J139" i="45" l="1"/>
  <c r="J134" i="45"/>
  <c r="L150" i="45" l="1"/>
  <c r="J149" i="45" s="1"/>
  <c r="E56" i="13"/>
  <c r="L152" i="45" l="1"/>
  <c r="J150" i="45"/>
  <c r="J152" i="45" s="1"/>
  <c r="D15" i="47"/>
  <c r="E15" i="47" l="1"/>
  <c r="F21" i="13" l="1"/>
  <c r="G21" i="13" l="1"/>
  <c r="G22" i="13" s="1"/>
  <c r="B14" i="50" s="1"/>
  <c r="L15" i="28"/>
  <c r="L14" i="28"/>
  <c r="L13" i="28"/>
  <c r="L12" i="28"/>
  <c r="D14" i="50" l="1"/>
  <c r="E79" i="13"/>
  <c r="E81" i="13" s="1"/>
  <c r="E82" i="13" s="1"/>
  <c r="F82" i="13" s="1"/>
  <c r="L16" i="28"/>
  <c r="D18" i="28" s="1"/>
  <c r="L18" i="28" s="1"/>
  <c r="E83" i="13" l="1"/>
  <c r="F14" i="50"/>
  <c r="D16" i="35"/>
  <c r="D18" i="35" s="1"/>
  <c r="D17" i="28"/>
  <c r="L17" i="28" s="1"/>
  <c r="D27" i="28" s="1"/>
  <c r="L27" i="28" s="1"/>
  <c r="D19" i="28"/>
  <c r="L19" i="28" s="1"/>
  <c r="H14" i="50" l="1"/>
  <c r="C14" i="47"/>
  <c r="L21" i="28"/>
  <c r="G14" i="50"/>
  <c r="E57" i="13"/>
  <c r="E58" i="13" s="1"/>
  <c r="D13" i="47" s="1"/>
  <c r="D24" i="28"/>
  <c r="D23" i="28"/>
  <c r="L23" i="28" s="1"/>
  <c r="I14" i="50" l="1"/>
  <c r="E59" i="13"/>
  <c r="F58" i="13"/>
  <c r="L24" i="28"/>
  <c r="D14" i="47" l="1"/>
  <c r="D25" i="28"/>
  <c r="L25" i="28" s="1"/>
  <c r="D26" i="28"/>
  <c r="L26" i="28" s="1"/>
  <c r="D28" i="28" l="1"/>
  <c r="L28" i="28" s="1"/>
  <c r="L29" i="28" s="1"/>
  <c r="L30" i="28" s="1"/>
  <c r="L31" i="28" s="1"/>
  <c r="L32" i="28" s="1"/>
  <c r="L33" i="28" s="1"/>
  <c r="L34" i="28" s="1"/>
  <c r="D19" i="35" l="1"/>
  <c r="H20" i="35" l="1"/>
  <c r="H21" i="35" s="1"/>
  <c r="G24" i="13" s="1"/>
  <c r="G25" i="13" s="1"/>
  <c r="E13" i="47"/>
  <c r="G26" i="13" l="1"/>
  <c r="B15" i="50"/>
  <c r="B17" i="50" s="1"/>
  <c r="D15" i="50" l="1"/>
  <c r="D17" i="50" s="1"/>
  <c r="E14" i="47"/>
  <c r="B18" i="50" l="1"/>
  <c r="B19" i="50" s="1"/>
  <c r="B20" i="50" s="1"/>
  <c r="F15" i="50"/>
  <c r="F17" i="50" s="1"/>
  <c r="D18" i="50"/>
  <c r="D19" i="50" s="1"/>
  <c r="D20" i="50" s="1"/>
  <c r="H15" i="50" l="1"/>
  <c r="C16" i="47"/>
  <c r="C21" i="47"/>
  <c r="G15" i="50"/>
  <c r="G17" i="50" l="1"/>
  <c r="F18" i="50"/>
  <c r="D21" i="47"/>
  <c r="E21" i="47" s="1"/>
  <c r="C17" i="47"/>
  <c r="F19" i="50" l="1"/>
  <c r="F20" i="50" s="1"/>
  <c r="H20" i="50" s="1"/>
  <c r="C18" i="47"/>
  <c r="G18" i="50"/>
  <c r="D16" i="47"/>
  <c r="D17" i="47" s="1"/>
  <c r="G19" i="50" l="1"/>
  <c r="G20" i="50" s="1"/>
  <c r="E16" i="47"/>
  <c r="D18" i="47"/>
  <c r="E18" i="47" s="1"/>
  <c r="E17" i="47" l="1"/>
  <c r="B19" i="48" s="1"/>
  <c r="G6" i="51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sharedStrings.xml><?xml version="1.0" encoding="utf-8"?>
<sst xmlns="http://schemas.openxmlformats.org/spreadsheetml/2006/main" count="985" uniqueCount="606">
  <si>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</si>
  <si>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</si>
  <si>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</si>
  <si>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</si>
  <si>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</si>
  <si>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</si>
  <si>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</si>
  <si>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</si>
  <si>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</si>
  <si>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</si>
  <si>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</si>
  <si>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</si>
  <si>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</si>
  <si>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</si>
  <si>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</si>
  <si>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</si>
  <si>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</si>
  <si>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</si>
  <si>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</si>
  <si>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</si>
  <si>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</si>
  <si>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</si>
  <si>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</si>
  <si>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</si>
  <si>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</si>
  <si>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</si>
  <si>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</si>
  <si>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</si>
  <si>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</si>
  <si>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</si>
  <si>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</si>
  <si>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</si>
  <si>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</si>
  <si>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</si>
  <si>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</si>
  <si>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</si>
  <si>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</si>
  <si>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</si>
  <si>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</si>
  <si>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</si>
  <si>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</si>
  <si>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</si>
  <si>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</si>
  <si>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</si>
  <si>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</si>
  <si>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</si>
  <si>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</si>
  <si>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</si>
  <si>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</si>
  <si>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</si>
  <si>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</si>
  <si>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</si>
  <si>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</si>
  <si>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</si>
  <si>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</si>
  <si>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</si>
  <si>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</si>
  <si>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</si>
  <si>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</si>
  <si>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</si>
  <si>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</si>
  <si>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</si>
  <si>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</si>
  <si>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</si>
  <si>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</si>
  <si>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</si>
  <si>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</si>
  <si>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</si>
  <si>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</si>
  <si>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</si>
  <si>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</si>
  <si>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</si>
  <si>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</si>
  <si>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</si>
  <si>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</si>
  <si>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</si>
  <si>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</si>
  <si>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</si>
  <si>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</si>
  <si>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</si>
  <si>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</si>
  <si>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</si>
  <si>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</si>
  <si>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</si>
  <si>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</si>
  <si>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</si>
  <si>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</si>
  <si>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</si>
  <si>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</si>
  <si>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</si>
  <si>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</si>
  <si>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</si>
  <si>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</si>
  <si>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</si>
  <si>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>Форма 2П</t>
  </si>
  <si>
    <t>Вид проектных или изыскательских работ</t>
  </si>
  <si>
    <t>Разработка раздела "ИТМ ГОЧС"</t>
  </si>
  <si>
    <t xml:space="preserve">(Коб) Функциональное назначение объекта - Объекты жилищно-гражданского назначения = 1; </t>
  </si>
  <si>
    <t xml:space="preserve">(Кпр) Разработка мероприятий по приспособлению проектируемого объекта (его помещений, зданий или сооружений) для санитарной обработки людей, специальной обработки одежды и подвижного состава автотранспорта - Не учитывать = 1; </t>
  </si>
  <si>
    <t xml:space="preserve">  </t>
  </si>
  <si>
    <t>АО "КСК"</t>
  </si>
  <si>
    <t>Инженерно-технические мероприятия гражданской обороны. Мероприятия по предупреждению чрезвычайных ситуаций. Защитные сооружения гражданской обороны и другие специальные сооружения. 2006г Табл.№ 1 № поз 1</t>
  </si>
  <si>
    <t>Итого: ИЗ+ПД</t>
  </si>
  <si>
    <t>Примечание</t>
  </si>
  <si>
    <t>м</t>
  </si>
  <si>
    <t>раздел</t>
  </si>
  <si>
    <t>Стадия - "Проектная документация" = 100%;</t>
  </si>
  <si>
    <t>Сейсмичность 8 баллов, К=1,20- Методические указания по применению справочников базовых цен на проектные работы в строительстве, п. 3.7</t>
  </si>
  <si>
    <t>Итого в ценах 2001 г.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</si>
  <si>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</si>
  <si>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</si>
  <si>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</si>
  <si>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</si>
  <si>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 xml:space="preserve">Продолжительность работ в соответствие с Графиком -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</si>
  <si>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</si>
  <si>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</si>
  <si>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</si>
  <si>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</si>
  <si>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</si>
  <si>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</si>
  <si>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</si>
  <si>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</si>
  <si>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</si>
  <si>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</si>
  <si>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</si>
  <si>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</si>
  <si>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</si>
  <si>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</si>
  <si>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</si>
  <si>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</si>
  <si>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Заместитель директора Департамента развития инфраструктуры АО "КСК"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</si>
  <si>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</si>
  <si>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</si>
  <si>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</si>
  <si>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</si>
  <si>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 xml:space="preserve">РАСЧЕТ СТОИМОСТИ РАБОТ  С УЧЕТОМ ИНДЕКСА ДЕФЛЯТОРА </t>
  </si>
  <si>
    <t>п.м.</t>
  </si>
  <si>
    <t>(Ксл) Категория сложности проектируемого объекта - I категория сложности: 1</t>
  </si>
  <si>
    <t>(Кго) Категория объекта по ГО - Объекты, отнесенные к категории I  = 1</t>
  </si>
  <si>
    <t>(Кпф) Однотипность решений по предупреждению ЧС для различных источников ЧС с одинаковыми поражающими факторами - 2 источника ЧС с одинаковыми поражающими факторами = 0,9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</si>
  <si>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</si>
  <si>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</si>
  <si>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</si>
  <si>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((Кис) Количество источников возможных ЧС - 3 источников ЧС = 1</t>
  </si>
  <si>
    <t>30 500 *0,9</t>
  </si>
  <si>
    <t xml:space="preserve">РАСЧЕТ ИНДЕКСА-ДЕФЛЯТОРА ДЛЯ ИЗЫСКАНИЙ </t>
  </si>
  <si>
    <t xml:space="preserve">ИД1- индекс -дефлятор Минэкономразвития РФ на капвложения </t>
  </si>
  <si>
    <t>Т1 - Продолжительность периода  от момента формирования текущих цен  до начала выполнения работ, мес</t>
  </si>
  <si>
    <t>Рост цен                                  Р1= (ИД1-100)/100*Т1/12</t>
  </si>
  <si>
    <t>Индекс роста цен                                              ИРт1=(1+Р1)</t>
  </si>
  <si>
    <t xml:space="preserve">ИД2- индекс -дефлятор Минэкономразвития РФ на капвложения </t>
  </si>
  <si>
    <t>Т2 - Продолжительность периода  от начала выполнения работ до конца года, мес</t>
  </si>
  <si>
    <t>Рост цен                               Р2= (ИД2-100)/100*Т2/12</t>
  </si>
  <si>
    <t>Индекс роста цен                                     ИРт2=(1+Р2)</t>
  </si>
  <si>
    <t>2019  год</t>
  </si>
  <si>
    <t xml:space="preserve">ИД3- индекс -дефлятор Минэкономразвития РФ на капвложения </t>
  </si>
  <si>
    <t>Рост цен                               Р3= (ИД3-100)/100*Т3/12</t>
  </si>
  <si>
    <t>Индекс роста цен                                     ИРт3=(1+Р3)</t>
  </si>
  <si>
    <t>Итого индекс роста цен</t>
  </si>
  <si>
    <t>ИРТ1*ИРТ4</t>
  </si>
  <si>
    <t>РАСЧЕТ СТОИМОСТИ РАБОТ</t>
  </si>
  <si>
    <t>Стоимость работ</t>
  </si>
  <si>
    <t>Дефлятор</t>
  </si>
  <si>
    <t>Стоимость работ  с учетом дефлятора</t>
  </si>
  <si>
    <t>С учетом авансирования- 30%</t>
  </si>
  <si>
    <t xml:space="preserve"> Н(м)ЦД(1-1)А=СС1+(Н(м)ЦД1-1-СС1)*(1-А/100)                     </t>
  </si>
  <si>
    <t>Инфляционная составляющая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</si>
  <si>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</si>
  <si>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</si>
  <si>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на выполнение проектно-изыскательских работ по объекту</t>
  </si>
  <si>
    <t>НДС-20 %</t>
  </si>
  <si>
    <t>СБЦ  "Коммунальные инженерные сети и сооружения", Таб. 17, п.2 ( свыше 100 до 500 м)</t>
  </si>
  <si>
    <t>К=0,68 коэффициент относительной стоимости, для начисления усл. к-та (здания и сооруж-6%, технологические и конструктивные решения=52%, электр.-10%)</t>
  </si>
  <si>
    <t>К=0,4- стадия ПД</t>
  </si>
  <si>
    <t>Кабельные линии 0,4 кВ</t>
  </si>
  <si>
    <t>Протяженность- 200 м</t>
  </si>
  <si>
    <t>(7,763+0,042*200)*1000*(0,68*1,2+0,32)*0,4</t>
  </si>
  <si>
    <t>м2</t>
  </si>
  <si>
    <t>1.2</t>
  </si>
  <si>
    <t>Государственная экспертиза проектной документации и результатов инженерных изысканий</t>
  </si>
  <si>
    <t>2020  год</t>
  </si>
  <si>
    <t>Т3 - Продолжительность периода  от начала года до окончания работ, мес</t>
  </si>
  <si>
    <t>Рост цен за период выполнения работ</t>
  </si>
  <si>
    <t>ИРт4=(1+0,5*Р4)</t>
  </si>
  <si>
    <t>Р4= (Р2+Р3)</t>
  </si>
  <si>
    <t xml:space="preserve">К=0,36 коэффициент относительной стоимости для начисления сейсмичности (технологические - 18%, связь - 2 %, электрика- 16%) </t>
  </si>
  <si>
    <t>Волоконно-оптический кабель</t>
  </si>
  <si>
    <t>канал</t>
  </si>
  <si>
    <t>камера</t>
  </si>
  <si>
    <t>СОТС</t>
  </si>
  <si>
    <t>СБЦ " Системы противопожарной и охранной защиты",1999 г.</t>
  </si>
  <si>
    <t>объект</t>
  </si>
  <si>
    <t>К=1,2- Проектирование со скрытой прокладкой инженерных коммуникаций ( Т.ч. П.3.2) ценообразующий</t>
  </si>
  <si>
    <t>К=1,2- Защита обьекта двумя рубежами (Прим. к табл. 5 п.1) ценообразующий</t>
  </si>
  <si>
    <t>К=1,2- Сейсмичность 8 баллов ( п.2.6 ТЧ) - усложняющий</t>
  </si>
  <si>
    <t>1) К=0,97-коэффициент для начисления сейсмичности ( Технические решения-30%, автоматика и сигнализация - 67%)</t>
  </si>
  <si>
    <t>К=0,4 стадия ПД ( МУ 2010 т.1)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</si>
  <si>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</si>
  <si>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</si>
  <si>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</si>
  <si>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</si>
  <si>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</si>
  <si>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</si>
  <si>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</si>
  <si>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</si>
  <si>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</si>
  <si>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</si>
  <si>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2 месяца</t>
  </si>
  <si>
    <t>16 декабря 2019.  </t>
  </si>
  <si>
    <t>13 февраля 2020 г.</t>
  </si>
  <si>
    <t>РАСЧЕТ ИНДЕКСА-ДЕФЛЯТОРА ДЛЯ ПРОЕКТНОЙ ДОКУМЕНТАЦИИ</t>
  </si>
  <si>
    <t>(включая период прохождения экспертизы ПД)</t>
  </si>
  <si>
    <t>12 июня 2020 г.</t>
  </si>
  <si>
    <t>5,9 месяцев</t>
  </si>
  <si>
    <t>№</t>
  </si>
  <si>
    <t>Наименование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</si>
  <si>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</si>
  <si>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</si>
  <si>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</si>
  <si>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</si>
  <si>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</si>
  <si>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</si>
  <si>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</si>
  <si>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ИТОГО:</t>
  </si>
  <si>
    <t>II квартал 2016 г.</t>
  </si>
  <si>
    <t>Основной показатель</t>
  </si>
  <si>
    <t>Единица измерения основного показателя</t>
  </si>
  <si>
    <t>Стоимость единицы показателя, тыс. руб. без НДС</t>
  </si>
  <si>
    <t>п.м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</si>
  <si>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Лунная поляна (этапы 1, 2). Этап 2.  ЛС 05-02 Внутриплощадочные связи</t>
  </si>
  <si>
    <t>II квартал 2019 г.</t>
  </si>
  <si>
    <t>Наружное освещение</t>
  </si>
  <si>
    <t>Всесезонный туристско-рекреационный комплекс "Архыз", Карачаево-Черкесская республика. Магистральные сети инженерно-технического обеспечения и устройство автодороги, пос. Лунная поляна (этапы 1, 2). Этап 2.  ЛС 07-07 Наружное освещение автомобильной дороги</t>
  </si>
  <si>
    <t>Итого в ценах 1995 г.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</si>
  <si>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</si>
  <si>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</si>
  <si>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</si>
  <si>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</si>
  <si>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</si>
  <si>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</si>
  <si>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</si>
  <si>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</si>
  <si>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30%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</si>
  <si>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</si>
  <si>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</si>
  <si>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</si>
  <si>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</si>
  <si>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</si>
  <si>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</si>
  <si>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</si>
  <si>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</si>
  <si>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</si>
  <si>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мес.</t>
  </si>
  <si>
    <t>с учетом времени на прохождение госэкспертизы</t>
  </si>
  <si>
    <t>Начало работ</t>
  </si>
  <si>
    <t>Окончание работ</t>
  </si>
  <si>
    <t>2. Продолжительность разработки проектной документации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</si>
  <si>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</si>
  <si>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</si>
  <si>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</si>
  <si>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</si>
  <si>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</si>
  <si>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</si>
  <si>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</si>
  <si>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</si>
  <si>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</si>
  <si>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- резерв средств на непредвиденные работы и затраты;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</si>
  <si>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</si>
  <si>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</si>
  <si>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</si>
  <si>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</si>
  <si>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</si>
  <si>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</si>
  <si>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</si>
  <si>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</si>
  <si>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том числе непредвиденные расходы</t>
  </si>
  <si>
    <t>В расчете учтен резерв средств на непредвиденные затраты в размере 2%</t>
  </si>
  <si>
    <t>Налог на добавленную стоимость - 20 %</t>
  </si>
  <si>
    <t>2016г.</t>
  </si>
  <si>
    <t>2017г.</t>
  </si>
  <si>
    <t>1. Письмо Министерства экономического развития РФ от 20 июня 2016 г. N Д28и-1655 "О разъяснениях, связанных с применением постановления Правительства Российской Федерации от 14 марта 2016 г. N 191"</t>
  </si>
  <si>
    <t>2. Письмо Минэкономразвития России (Министерства экономического развития РФ) от 03 октября 2018 г. №28438-АТ/Д03и</t>
  </si>
  <si>
    <t>3.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</si>
  <si>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2018г.</t>
  </si>
  <si>
    <t>2019г.</t>
  </si>
  <si>
    <t>2020г.</t>
  </si>
  <si>
    <t>Сроки выполнения работ</t>
  </si>
  <si>
    <t>Дата начала</t>
  </si>
  <si>
    <t>Дата окончания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</si>
  <si>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</si>
  <si>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</si>
  <si>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</si>
  <si>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2021г.</t>
  </si>
  <si>
    <t>Наименование объекта строительства</t>
  </si>
  <si>
    <t>Обоснование</t>
  </si>
  <si>
    <t>Кол.</t>
  </si>
  <si>
    <t>Стоимость в  тыс. руб.</t>
  </si>
  <si>
    <t>1.</t>
  </si>
  <si>
    <t>Итого с учетом коэффициентов по общим указаниям сборника НЦС</t>
  </si>
  <si>
    <t xml:space="preserve">Регионально-климатический коэффициент </t>
  </si>
  <si>
    <t>Стоимость единицы изм. по состоянию на 01.01.2020 г., тыс. руб.*</t>
  </si>
  <si>
    <t>Поправочные коэффициенты</t>
  </si>
  <si>
    <t>Коэффициент на сейсмичность</t>
  </si>
  <si>
    <t>Зональный коэффициент</t>
  </si>
  <si>
    <t>Коэффициент перехода от базового района к уровню цен Карачаево-Черкесской Республики</t>
  </si>
  <si>
    <t>ТЧ сборника п.20
Таблица № 3</t>
  </si>
  <si>
    <t>ТЧ сборника п.21 
Таблица № 4
I температурная зона</t>
  </si>
  <si>
    <t>ТЧ сборника п.23</t>
  </si>
  <si>
    <t>Расчет по УНЦС</t>
  </si>
  <si>
    <t>1 км</t>
  </si>
  <si>
    <t>ТЧ сборника п.26
Таблица № 6</t>
  </si>
  <si>
    <t>ТЧ сборника п.29</t>
  </si>
  <si>
    <t>НЦС 81-02-14-2020
Таблица 14-07-005-07
Наружные инженерные сети канализации из полиэтиленовых труб, разработка сухого грунта в oтвал, без креплений (группа грунтов 4)
диаметром 400 мм 
глубиной 2 м (прим.)</t>
  </si>
  <si>
    <t>ТЧ сборника п.27 
Таблица № 7
I температурная зона</t>
  </si>
  <si>
    <t>(1,00295^6,7+1,00295^11)/2</t>
  </si>
  <si>
    <t>НЦС 81-02-14-2020
Таблица 14-07-005-01
Наружные инженерные сети канализации из полиэтиленовых труб, разработка сухого грунта в oтвал, без креплений (группа грунтов 4)
диаметром 160 мм 
глубиной 2 м (прим.)</t>
  </si>
  <si>
    <t>Сети ливневой канализации диам. 400мм + хоз.быт. Диам.160мм</t>
  </si>
  <si>
    <t>НЦС 81-02-14-2020
Таблица 14-06-005-05
Наружные инженерные сети водоснабжения из полиэтиленовых труб, разработка сухого грунта в oтвал, без креплений (группа грунтов 4)
диаметром 160 мм 
глубиной 2 м (прим.)</t>
  </si>
  <si>
    <t>Прокладка в 2 нити</t>
  </si>
  <si>
    <t>ТЧ сборника п.16
Таблица № 1</t>
  </si>
  <si>
    <t>Сети водоснабжения диам. 160мм</t>
  </si>
  <si>
    <t>Коэф.3 кв.2020</t>
  </si>
  <si>
    <t>Стоимость проектных работ в ценах 3 кв.2020</t>
  </si>
  <si>
    <t>Стоимость инж.изыск.в ценах 3 кв.2020</t>
  </si>
  <si>
    <t>Доля работ, выполняемых в 2020 году</t>
  </si>
  <si>
    <t>Доля работ, выполняемых в 2021 году</t>
  </si>
  <si>
    <t>Продолжительность работ в 2020 году</t>
  </si>
  <si>
    <t>Продолжительность работ в 2021 году</t>
  </si>
  <si>
    <t>Индекс Минэкономразвития РФ на 2021 г. (Письмо Минэкономразвития России от 1 октября 2019 г. 
№ 33198-ПБ/Д03и)</t>
  </si>
  <si>
    <t xml:space="preserve">Продолжительность выполнения инженерных изысканий и проектной документации </t>
  </si>
  <si>
    <t>м3/сутки</t>
  </si>
  <si>
    <t>шт</t>
  </si>
  <si>
    <t>Пересчет в уровень цен на декабрь 2021 г. по индексам Минэкономразвития РФ</t>
  </si>
  <si>
    <t>1,036*1,037</t>
  </si>
  <si>
    <t>К=1,1 - ценообразующий п.2.3.3 полиэтилен</t>
  </si>
  <si>
    <t>К=0,5 - Проектная документация</t>
  </si>
  <si>
    <t>К=0,42 - Проектная документация</t>
  </si>
  <si>
    <t>К=0,4 - Проектная документация</t>
  </si>
  <si>
    <t>СБЦП 81-2001-07 "Коммунальные инженерные сети и сооружения" (2012 г.)
Таб. 4, п.1 (От 100 до 1000 м)</t>
  </si>
  <si>
    <t>СБЦП 81-2001-02 "Объекты связи". 2010 г.
Табл. 20 п.7</t>
  </si>
  <si>
    <t>К=1,1 - Проектирование наружных установок промышленного телевизионного оборудования на территории объекта (ТЧ п.2.45)</t>
  </si>
  <si>
    <t>СБЦП 81-2001-02 "Объекты связи". 2010 г.
Табл. 2 п.2 (от 1 до 100)</t>
  </si>
  <si>
    <t>СБЦП 81-2001-17 "Объекты водоснабжения и канализации", 2015 г.</t>
  </si>
  <si>
    <t>К=0,6 - Проектная документация</t>
  </si>
  <si>
    <t>К=0,68 коэффициент относительной стоимости, для начисления сейсмичности (архитектурные решения - 5%, конструктивные решения - 18%, инженерное оборудование - 45%)</t>
  </si>
  <si>
    <t>СБЦП 81-2001-07 "Коммунальные инженерные сети и сооружения" (2012 г.)
Таб. 5, п.1 (От 100 до 500 м)</t>
  </si>
  <si>
    <t>СБЦП 81-2001-07 "Коммунальные инженерные сети и сооружения" (2012 г.)
Таб. 5, п.3 (От 100 до 1000 м)</t>
  </si>
  <si>
    <t>СПД СС
8 каналов</t>
  </si>
  <si>
    <t xml:space="preserve">КАПС 
24 элемента
</t>
  </si>
  <si>
    <t>СБЦП 81-2001-02 "Объекты связи". 2010 г.
Табл. 20 п.7 (прим.)</t>
  </si>
  <si>
    <t>СОТ. Сервер</t>
  </si>
  <si>
    <t>СБЦП 81-2001-02 "Объекты связи". 2010 г.
Табл. 20 п.10</t>
  </si>
  <si>
    <t>1 комплекс</t>
  </si>
  <si>
    <t>СБЦП 81-2001-02 "Объекты связи". 2010 г.
Табл. 24 п.1</t>
  </si>
  <si>
    <t>1 АРМ</t>
  </si>
  <si>
    <t>СКС
31 узел</t>
  </si>
  <si>
    <t>СБЦП 81-2001-02 "Объекты связи". 2010 г.
Табл. 24 п.10</t>
  </si>
  <si>
    <t>1 узел</t>
  </si>
  <si>
    <t>К=1,2 - оптический кабель (п.2.1.2)</t>
  </si>
  <si>
    <t>СБЦ  "Коммунальные инженерные сети и сооружения", Таб. 2, п.3 (свыше 250 до 1000 м)</t>
  </si>
  <si>
    <t>К=0,76 - коэффициент относительной стоимости, для начисления сейсмичности (здания и сооруж - 6%, технологические и конструктивные решения - 70%)</t>
  </si>
  <si>
    <t>СБЦП 81-2001-07 "Коммунальные инженерные сети и сооружения" (2012 г.)
Таб. 5, п.8 (От 100 до 1000 м)</t>
  </si>
  <si>
    <t>СКУД
4 элемента</t>
  </si>
  <si>
    <t xml:space="preserve">(36,61+4,57*4)*(0,36*1,2+0,64) *0,5*1000 </t>
  </si>
  <si>
    <t>табл. 5. п.10 (Свыше 7000 до 10000 м2)</t>
  </si>
  <si>
    <t>Площадь защищаемого объекта = 9640 м2</t>
  </si>
  <si>
    <t>4,561*1,2*1,2*1000
*(0,97*1,2+0,03)*0,4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</si>
  <si>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</si>
  <si>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</si>
  <si>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</si>
  <si>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>НЦС 81-02-18-2020</t>
  </si>
  <si>
    <t>НЦС 81-02-14-2020
Таблица 14-07-005-01
Наружные инженерные сети канализации из полиэтиленовых труб, разработка сухого грунта в oтвал, без креплений (группа грунтов 4)
диаметром 1000 мм 
глубиной 3 м (прим.)</t>
  </si>
  <si>
    <t>Сети водоотведения автомобильной дороги диам. 1000мм</t>
  </si>
  <si>
    <t>Благоустройство (Озеленение)</t>
  </si>
  <si>
    <t>НЦС 81-02-17-2020
Таблица 17-02-004-02
Озеленение территорий спортивных объектов с
площадью газонов 60% (прим.)</t>
  </si>
  <si>
    <t>100м2</t>
  </si>
  <si>
    <t>ТЧ сборника п.19
Таблица № 2</t>
  </si>
  <si>
    <t>ТЧ сборника п.20</t>
  </si>
  <si>
    <t>НЦС 81-02-16-2020
Таблица 16-06-002-02
Площадки из асфальтобетонной смеси 2-х слойные (прим.)</t>
  </si>
  <si>
    <t>ТЧ сборника п.25
Таблица № 7</t>
  </si>
  <si>
    <t>ТЧ сборника п.26
Таблица № 8</t>
  </si>
  <si>
    <t>ТЧ сборника п.28</t>
  </si>
  <si>
    <t>Проезд</t>
  </si>
  <si>
    <t>ТЧ сборника п.20
Таблица № 1</t>
  </si>
  <si>
    <t>ТЧ сборника п.21
Таблица № 2
I температурная зона</t>
  </si>
  <si>
    <t>м3/сут</t>
  </si>
  <si>
    <t>Подпорная стена</t>
  </si>
  <si>
    <t>НЦС 81-02-08-2020
Таблица 08-08-007-01
Уголковые сборно-монолитные высотой до 3м (прим.)</t>
  </si>
  <si>
    <t>1 пог.м</t>
  </si>
  <si>
    <t>ТЧ сборника п.31
Таблица № 9</t>
  </si>
  <si>
    <t>ТЧ сборника п.32
Таблица № 10
I температурная зона</t>
  </si>
  <si>
    <t>НЦС 81-02-08-2020
Таблица 08-05-001-01
Обычная автомобильная дорога, категория V, дорожная
одежда облегченного типа с асфальтобетонным покрытием</t>
  </si>
  <si>
    <t xml:space="preserve">Полоса разгона/торможения </t>
  </si>
  <si>
    <t>Конструкция въезда/выезда</t>
  </si>
  <si>
    <t>НЦС 81-02-07-2020</t>
  </si>
  <si>
    <t>Стоимость по НЦС (Мосты пешеходные с металлическими пролетными строениями длиной 19м) (прим.)</t>
  </si>
  <si>
    <t>ТЧ сборника п.23
Таблица № 6</t>
  </si>
  <si>
    <t>ТЧ сборника п.24 
Таблица № 7
I температурная зона</t>
  </si>
  <si>
    <t>07-04-007-01
07-04-007-02
(интерполяция)</t>
  </si>
  <si>
    <t>- затраты на инженерные изыскания: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</si>
  <si>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</si>
  <si>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</si>
  <si>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>Х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</si>
  <si>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Письма Минэкономразвития России от 1 октября 2019 г. 
№ 33198-ПБ/Д03и.</t>
  </si>
  <si>
    <t>ржд т10 п12.2</t>
  </si>
  <si>
    <t>туалеты п.20</t>
  </si>
  <si>
    <t>здание дежурного п.21</t>
  </si>
  <si>
    <t>Открытая плоскостная парковка на 800 машино/мест
20 000 м2</t>
  </si>
  <si>
    <t>кабель связи табл.38</t>
  </si>
  <si>
    <t>СБЦП "Железные дороги (2014)" 
Табл.10 п.12.2 Автостоянка свыше 0,5 до 2 га</t>
  </si>
  <si>
    <t xml:space="preserve">К= 1,3 - Усложняющий к-т на сейсмичность 9 баллов (МУ 2010 п.3.7) </t>
  </si>
  <si>
    <t>К=0,72 относительной стоимости для начисления коэф. сейсмичности (АР - 9%; КР-12%; Инж.оборудование-51%)</t>
  </si>
  <si>
    <t>(135+40*2)*(0,72*1,3+0,28)
*0,4*1000</t>
  </si>
  <si>
    <t>га</t>
  </si>
  <si>
    <t>СБЦП "Железные дороги (2014)" 
Табл.10 п.21 Здание дежурного по переезду</t>
  </si>
  <si>
    <t>здание</t>
  </si>
  <si>
    <t>СБЦП "Железные дороги (2014)" 
Табл.10 п.20 Теплые туалеты от 4 до 16 человек</t>
  </si>
  <si>
    <t>кабина</t>
  </si>
  <si>
    <t>Навес
120 м2</t>
  </si>
  <si>
    <t xml:space="preserve">СБЦ «Предприятия агропромышленного комплекса, торговли и общественного питания». 2009 г. 
Табл. № 48 № п. 45
Навес для хранения сельскохозяйственных машин площадью, м2 (от 160 до 800)
</t>
  </si>
  <si>
    <t>К=0,60 коэффициент относительной стоимости, для начисления усл. К-тов (АР - 2,5%; КР - 2,8%; Инж. Оборудование - 54,7%)</t>
  </si>
  <si>
    <t>К=0,4 - стадия ПД</t>
  </si>
  <si>
    <t>(28,73+0,024*(0,4*160+0,6*120))
*(0,6*1,3+0,4)*0,4*1000</t>
  </si>
  <si>
    <t>Сети водоотведения 
(хоз-бытовые)
 диам. от 160 до 300 мм
200м</t>
  </si>
  <si>
    <t>Сети водоснабжения полиэтилен 2 нитки
 диам. 160мм
150м</t>
  </si>
  <si>
    <t>К=1,1 - полиэтилен ТЧ п.2.3.3 ценообразующий
к=0,15 - за 2 линию ТЧ п.2.3.3</t>
  </si>
  <si>
    <t>(12+0,136*150)*1,1*(1+0,15)
*(0,76*1,3+0,24)*0,5*1000</t>
  </si>
  <si>
    <t>(33+0,128*200)*1,1*(0,76*1,3+0,24)
*0,5*1000</t>
  </si>
  <si>
    <t>Сети ливневой канализации
диам. до 400 мм
500м</t>
  </si>
  <si>
    <t xml:space="preserve">(55,04+0,213*500)*1,1
*(0,76*1,3+0,24)*0,5*1000
</t>
  </si>
  <si>
    <t>Очистные сооружения поверхностного стока производительностью 
720 л/с 
(62,21 тыс. м3/сутки)</t>
  </si>
  <si>
    <t>табл. 10 п.9 (свыше 50 до 100 тыс. м3/сут)</t>
  </si>
  <si>
    <t>Волоконно-оптический кабель в грунте
800м</t>
  </si>
  <si>
    <t xml:space="preserve">СБЦП 81-2001-07 "Коммунальные инженерные сети и сооружения" (2012 г.)
Таб. 1, п.44 (свыше 500 до 1000 м) </t>
  </si>
  <si>
    <t>(21+0,062*800)*(0,76*1,3+0,24)*1,2
*0,4*1000</t>
  </si>
  <si>
    <t xml:space="preserve">К= 1,3 - Усложняющий к-т на сейсмичность 9 баллов (МУ 2010 п.3.7) ; </t>
  </si>
  <si>
    <t>(21+0,062*750)*(0,76*1,3+0,24)*1,2
*0,4*1000</t>
  </si>
  <si>
    <t>Воздушная линия электропередачи 0,4 кВ
350 м</t>
  </si>
  <si>
    <t>1 объект</t>
  </si>
  <si>
    <t>СБЦП 81-2001-07 "Коммунальные инженерные сети и сооружения" (2012 г.)
Таб. 18, п.1 (до 1 км)</t>
  </si>
  <si>
    <t>К=0,3 - Проектная документация</t>
  </si>
  <si>
    <t>6,15*(0,76*1,3+0,24)*0,3*1000</t>
  </si>
  <si>
    <t>Сети водоотведения автомобильной дороги
диам. до 1350 мм
80м</t>
  </si>
  <si>
    <t xml:space="preserve">(97,4+0,41*100)*1,1
*(0,76*1,3+0,24)*0,5*1000
</t>
  </si>
  <si>
    <t>Сети освещения
950 м</t>
  </si>
  <si>
    <t>(25,97+0,063*950)
*(0,76*1,3+0,24)*1000*0,4</t>
  </si>
  <si>
    <t>Всего 32 канала (в т.ч. Каналы КАПС -24 (как отдельная система)). 
Итого 32-24=8 каналов</t>
  </si>
  <si>
    <t>(25,98 + 4,623 *8)*1000* (0,36*1,3+0,64) * 0,42</t>
  </si>
  <si>
    <t>СОТ. Видеонаблюдение наружное
30 камер</t>
  </si>
  <si>
    <t>(36,61+4,57*(0,4*12+0,6*24))*1,1
* 1000 * (0,36*1,3+0,64) *0,5</t>
  </si>
  <si>
    <t>85,45*(0,36*1,3+0,64)*0,5*1000</t>
  </si>
  <si>
    <t>(34,20+0,79*31)*(0,36*1,3+0,64)
*0,5*1000</t>
  </si>
  <si>
    <t>Съезд с автодороги
4 шт.</t>
  </si>
  <si>
    <t>СБЦ "Автомобильные дороги общего пользования", 2007
табл.3 п.1
Категория сложности проектирования - 3 (горная местность)
Ксейсм= 1,24 (п.3.12 СБЦ)
К1=0,35 коэффициент относительной стоимости, для начисления сейсмичности (земляное полотно - 23%, водопропускные трубы и водоотвод - 3%, дорожная одежда - 9%)
К2=0,35 примыкание к дороге без устройства переходно-скоростных полос  (п.2 примечаний к табл.3);
к=0,2 - повторно применяемая проектная документация МУ 2009 п.3.2,
К=0,29 - Проектная документация</t>
  </si>
  <si>
    <t>334,88*(0,35*1,24+0,65)*0,35
*(1+0,2*3)*1000*0,29</t>
  </si>
  <si>
    <t>Остановочный павильон</t>
  </si>
  <si>
    <t>Остановочный павильон
2 шт</t>
  </si>
  <si>
    <t>м2 площади</t>
  </si>
  <si>
    <t>СБЦП-2001-03 "Объекты жилищно-гражданского строительства"
табл.23 п.8 (Рыночноые павильоны) (прим.)
К= 1,3 - Усложняющий к-т на сейсмичность 9 баллов (МУ 2010 п.3.7)
к=0,55 - коэффициент относительной стоимости разработки РД (АР-14%; КР - 15%; ЭС-7%; ПЗ-2%; СПОЗУ-4%; ПОС-6%; Сметы-7%)
К1=0,36 - коэффициент относительной стоимости, для начисления сейсмичности (АР-14%; КР - 15%; ЭС-7%)
к=0,2 - повторно применяемая проектная документация МУ 2009 п.3.2;
К=0,4 - Проектная документация</t>
  </si>
  <si>
    <t>(89,55+0,08*4)
*(0,34*1,3+0,19)*(1+0,2)*0,4*1000</t>
  </si>
  <si>
    <t>Остановочный павильон
ориентировочно 4м2
2 шт</t>
  </si>
  <si>
    <t>334,88*(0,29*1,24+0,0621)*0,75
*(1+0,2)*1000*0,29</t>
  </si>
  <si>
    <t>СБЦ "Автомобильные дороги общего пользования", 2007
табл.3 п.1
Категория сложности проектирования - 3 (горная местность)
Ксейсм= 1,24 (п.3.12 СБЦ)
К1=0,3521 коэффициент относительной стоимости разработки ПД (План примыкания - 11%; дорожная одежда - 9%; организация и безопасность движения - 9%, ПОС - 4,87%; смета-1,34%)
К2=0,75 примыкание к дороге (п.2 примечаний к табл.3);
к=0,2 - повторно применяемая проектная документация МУ 2009 п.3.2,
К=0,29 - Проектная документация</t>
  </si>
  <si>
    <t>НЦС 81-02-08-2020</t>
  </si>
  <si>
    <t>1 шт</t>
  </si>
  <si>
    <t>Стоимость по НЦС (устройство остановочного кармана)</t>
  </si>
  <si>
    <t>ТЧ п.29
Устройство остановочного кармана</t>
  </si>
  <si>
    <t>Коэффициент перехода от базового района к уровню цен Кабардино-Балкарская Республика</t>
  </si>
  <si>
    <t>ТЧ сборника п.32 
Таблица № 10 
(к разделу 7)
I температурная зона</t>
  </si>
  <si>
    <t>Стоимость по НЦС (Площадка отдыха)</t>
  </si>
  <si>
    <t>18-07-001-03</t>
  </si>
  <si>
    <t>Сети хоз бытовой канализации 200 м</t>
  </si>
  <si>
    <t>Сети ливневой канализации: ориентировочно 500 м</t>
  </si>
  <si>
    <t>Сети водоснабжения
150м</t>
  </si>
  <si>
    <t>Сети водоотведения автомобильной дороги 80 м</t>
  </si>
  <si>
    <t>500 + 200</t>
  </si>
  <si>
    <t>2022г.</t>
  </si>
  <si>
    <t>НЦС 81-02-11-2020</t>
  </si>
  <si>
    <t>1км</t>
  </si>
  <si>
    <t>Воздушная линия 0,4кВ</t>
  </si>
  <si>
    <t>Стоимость по НЦС 
(Провод самонесущий изолированный для воздушных
линий элекгропередачи с алюминиевыми жилами,
3 токопроводящих жилы сечением 120 мм2, 1 жила
несущм сечением 95 мм2)</t>
  </si>
  <si>
    <t>12-02-005-05</t>
  </si>
  <si>
    <t>Услложняюиефакторы (Горный район и скальные грунты)</t>
  </si>
  <si>
    <t>ТЧ сборника п.25
Таблица №1 п.4; п.6
(1+0,17+0,04)</t>
  </si>
  <si>
    <t>ТЧ сборника п.26
Таблица № 2</t>
  </si>
  <si>
    <t>ТЧ сборника п.27
Таблица № 3
I температурная зона</t>
  </si>
  <si>
    <t>Благоустройство (озеленение)</t>
  </si>
  <si>
    <t>Проезд
(2проезда по 100м2)</t>
  </si>
  <si>
    <t>Полоса разгона/торможения
(2 шт по 150м)</t>
  </si>
  <si>
    <t>КПП</t>
  </si>
  <si>
    <t>Навес</t>
  </si>
  <si>
    <t>Стоимость по НЦС (Навес для хранения топливозаправщиков)</t>
  </si>
  <si>
    <t>18-28-001-02</t>
  </si>
  <si>
    <t>Навес 120м2</t>
  </si>
  <si>
    <t>18-28-001-03</t>
  </si>
  <si>
    <t>18-31-001-02</t>
  </si>
  <si>
    <t>м3</t>
  </si>
  <si>
    <t>Стоимость по НЦС (Контрольно-пропускной пункт (КПП) лля
автомобильного транспорта)</t>
  </si>
  <si>
    <t>шт/м3</t>
  </si>
  <si>
    <t>Очистные сооружения 62208 м3/сут</t>
  </si>
  <si>
    <t>НЦС 81-02-19-2020
Таблица 19-04-006-03
19-04-006-04
(интерполяция)
Очистные сооружения биологической очистки городских сточных вод, производительностью 56000 м3/сут</t>
  </si>
  <si>
    <t>Очистные сооружения</t>
  </si>
  <si>
    <t>"Пассажирская подвесная канатная дорога кресельного типа SL8 с отцепляемым зажимом, многофункциональный центр, горнолыжные трассы MV3, MV4, MV5 и система искусственного снегообразования трасс п. "Лунная поляна", ВТРК "Архыз"</t>
  </si>
  <si>
    <t>л/с</t>
  </si>
  <si>
    <t>коэф. трудоемкости (заводской готовности)</t>
  </si>
  <si>
    <t>Всесезонный туристско-рекреационный комплекс «Эльбрус», Кабардино-Балкарская Республика. 
Открытая плоскостная парковка на 800 машино/мест</t>
  </si>
  <si>
    <t>Всесезонный туристско-рекреационный комплекс «Эльбрус», Кабардино-Балкарская Республика.  Открытая плоскостная парковка на 800 машино/мест</t>
  </si>
  <si>
    <t>Кабардино-Балкарская Республика, всесезонный туристско-рекреационный комплекс «Эльбрус»</t>
  </si>
  <si>
    <t xml:space="preserve">Расчет начальной (максимальной) цены контракта при осуществлении закупок работ 
по инженерным изысканиям и по подготовке проектной документации </t>
  </si>
  <si>
    <t>Всесезонный туристско-рекреационный комплекс «Эльбрус», 
Кабардино-Балкарская Республика. 
Открытая плоскостная парковка на 800 машино/мест</t>
  </si>
  <si>
    <t>1.5</t>
  </si>
  <si>
    <t>Смета № 6-из</t>
  </si>
  <si>
    <t>1.6</t>
  </si>
  <si>
    <t xml:space="preserve">более 3 млн </t>
  </si>
  <si>
    <t>Индекс пересчета в текущие цены 2020 г</t>
  </si>
  <si>
    <t>Водомерный узел</t>
  </si>
  <si>
    <t>СБЦ  "Коммунальные инженерные сети и сооружения", Таб. 4, п.13</t>
  </si>
  <si>
    <t xml:space="preserve">К= 0,4 - встроенный в здание (п. 2.3.3.  ТЧ) </t>
  </si>
  <si>
    <t>К=0,76 коэффициент относительной стоимости, для начисления сейсмичности (здания и сооруж-6%, технологические и конструктивные решения=70%)</t>
  </si>
  <si>
    <t>К=0,5 Проектная документация</t>
  </si>
  <si>
    <t>СБЦ  "Коммунальные инженерные сети и сооружения", Таб. 4, п.18 (До 300 м)</t>
  </si>
  <si>
    <t>до 300мм</t>
  </si>
  <si>
    <t>ежемесячный индекс прогноз на 2020 год</t>
  </si>
  <si>
    <t>ежемесячный индекс прогноз на 2021 год</t>
  </si>
  <si>
    <t>Итого индекс прогнозной инфляции</t>
  </si>
  <si>
    <t>77,5*0,4*(0,76*1,3+0,24)
*0,5*1000</t>
  </si>
  <si>
    <t>30000*(1+0,2*2)*(0,76*1,3+0,24)*0,5</t>
  </si>
  <si>
    <t>Затраты на экологтческую экспертизу</t>
  </si>
  <si>
    <t>Экологическая экспертиза</t>
  </si>
  <si>
    <t>Исследования на сели и лавины</t>
  </si>
  <si>
    <t>исследования на сели и лавины</t>
  </si>
  <si>
    <t>геофизические исследования</t>
  </si>
  <si>
    <t>- затраты на экологическую экспертизу;</t>
  </si>
  <si>
    <t>- затраты на проектные работы стадии "Проектная документация";</t>
  </si>
  <si>
    <t>- затраты на оплату услуг Государственной экспертизы;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</si>
  <si>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</si>
  <si>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</si>
  <si>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Наименование работ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</si>
  <si>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</si>
  <si>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</si>
  <si>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</si>
  <si>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</si>
  <si>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</si>
  <si>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</si>
  <si>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</si>
  <si>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</si>
  <si>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</si>
  <si>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</si>
  <si>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</si>
  <si>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</si>
  <si>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</si>
  <si>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Разработка проектной, в том числе сметной, документации</t>
  </si>
  <si>
    <t>Х+15</t>
  </si>
  <si>
    <t>Экологическая экспертиза, в том числе общественные слушания</t>
  </si>
  <si>
    <t>Государственная экспертиза</t>
  </si>
  <si>
    <t>Х+90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</si>
  <si>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утвержденного Приказом акционерного общества "Курорты Северного Кавказа" от 11.10.2019 г. № Пр-19-150; Заданием на проектирование объекта капитального строительства.</t>
  </si>
  <si>
    <t>Календарный план 
выполнения проектно-изыскательских работ по объекту:
«Открытая плоскостная парковка на 800 м/мест»</t>
  </si>
  <si>
    <t>Х+70</t>
  </si>
  <si>
    <t>Х+55</t>
  </si>
  <si>
    <t>Х+115</t>
  </si>
  <si>
    <t>Х+130</t>
  </si>
  <si>
    <t>4,3 месяца</t>
  </si>
  <si>
    <t>3. Продолжительность проектирования 4,3 месяца (в том числе с учетом получения положительного заключения государственной экспертизы).</t>
  </si>
  <si>
    <t>Расчетная стоимость строительства «Открытая плоскостная парковка на 800 м/мест»</t>
  </si>
  <si>
    <t>Предполагаемая (предельная) стоимость строительства объекта: «Открытая плоскостная парковка на 800 м/мест»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</si>
  <si>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</si>
  <si>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</si>
  <si>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 xml:space="preserve">Административно-хозяйственный блок </t>
  </si>
  <si>
    <t>Административно-хозяйственный блок 
(блочно-модульное здание)</t>
  </si>
  <si>
    <t>К=0,72 относительной стоимости для начисления коэф. сейсмичности (АР - 9%; КР-12%; Инж.оборудование-51%)
к=0,35 - заводской готовности (прим. МУ 2010 п.3.2 типовая документация)</t>
  </si>
  <si>
    <t>110*(0,72*1,3+0,28)
*0,35*0,4*1000</t>
  </si>
  <si>
    <t>КПП с помещениями для обслуживающего персонала (блочно-модульное здание)</t>
  </si>
  <si>
    <t>Туалет 8 кабин
(блочно-модульное здание)</t>
  </si>
  <si>
    <t>(33+5,5*8)*(0,72*1,3+0,28)
*0,35*0,4*1000</t>
  </si>
  <si>
    <t>Кабельная канализация связи
850м</t>
  </si>
  <si>
    <t xml:space="preserve">СБЦП 81-2001-07 "Коммунальные инженерные сети и сооружения" (2012 г.)
Таб. 1, п.4 (свыше 500 до 1000 м) </t>
  </si>
  <si>
    <t xml:space="preserve">СБЦП 81-2001-07 "Коммунальные инженерные сети и сооружения" (2012 г.)
Таб. 1, п.39 (свыше 250 до 1000 м) </t>
  </si>
  <si>
    <t>Кабельная канализация связи
(Прокладка первого кабеля в проектируемой канализации при длине участка прокладки)
850м</t>
  </si>
  <si>
    <t>(23+0,078*850)*(0,76*1,3+0,24)
*0,4*1000</t>
  </si>
  <si>
    <t>(23+0,032*850)*(0,76*1,3+0,24)*1,2
*0,4*1000</t>
  </si>
  <si>
    <t>СПД СБ
11 каналов</t>
  </si>
  <si>
    <t>(25,98 + 4,623 *11)*1000* (0,36*1,3+0,64) * 0,42</t>
  </si>
  <si>
    <t>Всего 41 канал (в т.ч. Каналы СОТ -30 (как отдельная система)). 
Итого 41-30=11 каналов</t>
  </si>
  <si>
    <t>Сети связи и безопасности в грунте
750м</t>
  </si>
  <si>
    <t>СБЦП 81-2001-07 "Коммунальные инженерные сети и сооружения" (2012 г.)
Таб. 1, п.44 (свыше 500 до 1000 м) 
(с учетом СБЦП 81-2001-02 "Объекты связи". 2010 г. ТЧ п.2.45. не учтено проектирование кабельных линий для передачи видеоинформации от наружных камер)</t>
  </si>
  <si>
    <t>2,4*3*(0,36*1,3+0,64)*0,5*1000</t>
  </si>
  <si>
    <t>АРМ 
3 шт.</t>
  </si>
  <si>
    <t>Итого в ценах 
IV квартала  2020 г.</t>
  </si>
  <si>
    <t>Оценка воздействия объекта капитального строительства на окружающую среду (ОВОС)</t>
  </si>
  <si>
    <t xml:space="preserve">СБЦП 81-2001-03 "Объекты жилищно-гражданского строительства". 2010 г. 
Цена определяется в размере 4% от общей стоимости проектирования - ТЧ п.1.6 </t>
  </si>
  <si>
    <t>Пересчет в цены IV квартала 2020 г. по письму Минстроя РФ от 02.11.2020 N 44016-ИФ/09 
К = 4,47 (к уровню цен по состоянию на 01.01.2001)
К = 34,25 (к уровню цен по состоянию на 01.01.1995)</t>
  </si>
  <si>
    <t>Применены индексы на IV квартал 2020 года по письму Минстроя РФ от 02.11.2020 N 44016-ИФ/09</t>
  </si>
  <si>
    <t>Стоимость работ в ценах на дату формирования начальной (максимальной) цены контракта - ноябрь 2020 г.</t>
  </si>
  <si>
    <t>Стоимость работ в ценах  сметной документации
IV квартал 2020 г.</t>
  </si>
  <si>
    <r>
      <t xml:space="preserve">Индекс-дефлятор на 2020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IV квартал 2020 года согласно письму Минстроя РФ от 02.11.2020 N 44016-ИФ/09</t>
    </r>
  </si>
  <si>
    <r>
      <t xml:space="preserve">Индекс-дефлятор на 2021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IV квартал 2020 года согласно письму Минстроя РФ от 02.11.2020 N 44016-ИФ/09</t>
    </r>
  </si>
  <si>
    <t>Индекс пересчета в текущие цены на IV квартал 2020 г. принят согласно Письму Минстроя России 
от 02.11.2020 N 44016-ИФ/09</t>
  </si>
  <si>
    <t>Индекс пересчета в уровень цен 
декабрь 2021г.</t>
  </si>
  <si>
    <t>Кабельная линия 0,4 кВ воздушная</t>
  </si>
  <si>
    <t xml:space="preserve"> 1/45</t>
  </si>
  <si>
    <t>(3426,18+20,77*62,21)*0,15
*(0,68*1,2+0,32)*0,6*1000</t>
  </si>
  <si>
    <t>К= 1,3 - Усложняющий к-т на сейсмичность 9 баллов (МУ 2010 п.3.7) ;
к=0,15 - заводской готовности (прим. МУ 2010 п.3.2 типовая документация)</t>
  </si>
  <si>
    <t>к=0,2 -повторно применяемая документация МУ 2010 п.3.2</t>
  </si>
  <si>
    <t>Гидрант
3 шт.</t>
  </si>
  <si>
    <t>(Двадцать миллионов девятьсот девяносто тысяч двести тридцать два рубля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</si>
</sst>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#,##0_ ;\-#,##0\ "/>
    <numFmt numFmtId="169" formatCode="0.0%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_(* #,##0.00_);_(* \(#,##0.00\);_(* &quot;-&quot;??_);_(@_)"/>
    <numFmt numFmtId="175" formatCode="#,##0.000"/>
    <numFmt numFmtId="176" formatCode="0.000"/>
    <numFmt numFmtId="177" formatCode="0.0"/>
    <numFmt numFmtId="178" formatCode="0.00000"/>
    <numFmt numFmtId="179" formatCode="#,##0.00000"/>
    <numFmt numFmtId="180" formatCode="0.000000"/>
  </numFmts>
  <fonts count="1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3.5"/>
      <color rgb="FF000000"/>
      <name val="Arial"/>
      <family val="2"/>
      <charset val="204"/>
    </font>
    <font>
      <i/>
      <u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927">
    <xf numFmtId="0" fontId="0" fillId="0" borderId="0"/>
    <xf numFmtId="0" fontId="24" fillId="0" borderId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7" fillId="3" borderId="0">
      <alignment horizontal="left" vertical="center"/>
    </xf>
    <xf numFmtId="0" fontId="27" fillId="3" borderId="0">
      <alignment horizontal="center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right" vertical="center"/>
    </xf>
    <xf numFmtId="0" fontId="27" fillId="3" borderId="0">
      <alignment horizontal="center" vertical="center"/>
    </xf>
    <xf numFmtId="165" fontId="24" fillId="0" borderId="0" applyFont="0" applyFill="0" applyBorder="0" applyAlignment="0" applyProtection="0"/>
    <xf numFmtId="0" fontId="24" fillId="0" borderId="0"/>
    <xf numFmtId="0" fontId="24" fillId="0" borderId="0"/>
    <xf numFmtId="165" fontId="30" fillId="0" borderId="0" applyFont="0" applyFill="0" applyBorder="0" applyAlignment="0" applyProtection="0"/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31" fillId="4" borderId="0">
      <alignment horizontal="right" vertical="center"/>
    </xf>
    <xf numFmtId="0" fontId="27" fillId="3" borderId="0">
      <alignment horizontal="right" vertical="center"/>
    </xf>
    <xf numFmtId="0" fontId="27" fillId="3" borderId="0">
      <alignment horizontal="right" vertical="center"/>
    </xf>
    <xf numFmtId="0" fontId="27" fillId="3" borderId="0">
      <alignment horizontal="right" vertical="center"/>
    </xf>
    <xf numFmtId="0" fontId="27" fillId="5" borderId="0">
      <alignment horizontal="center" vertical="center"/>
    </xf>
    <xf numFmtId="0" fontId="31" fillId="4" borderId="0">
      <alignment horizontal="left" vertical="center"/>
    </xf>
    <xf numFmtId="0" fontId="31" fillId="0" borderId="0">
      <alignment horizontal="left" vertical="top"/>
    </xf>
    <xf numFmtId="0" fontId="27" fillId="5" borderId="0">
      <alignment horizontal="center" vertical="center"/>
    </xf>
    <xf numFmtId="0" fontId="31" fillId="4" borderId="0">
      <alignment horizontal="center" vertical="center"/>
    </xf>
    <xf numFmtId="0" fontId="31" fillId="0" borderId="0">
      <alignment horizontal="center" vertical="center"/>
    </xf>
    <xf numFmtId="0" fontId="32" fillId="4" borderId="0">
      <alignment horizontal="left" vertical="center"/>
    </xf>
    <xf numFmtId="0" fontId="31" fillId="0" borderId="0">
      <alignment horizontal="center" vertical="center"/>
    </xf>
    <xf numFmtId="0" fontId="31" fillId="4" borderId="0">
      <alignment horizontal="center" vertical="center"/>
    </xf>
    <xf numFmtId="0" fontId="31" fillId="4" borderId="0">
      <alignment horizontal="left" vertical="center"/>
    </xf>
    <xf numFmtId="0" fontId="31" fillId="4" borderId="0">
      <alignment horizontal="right" vertical="center"/>
    </xf>
    <xf numFmtId="0" fontId="31" fillId="4" borderId="0">
      <alignment horizontal="center" vertical="center"/>
    </xf>
    <xf numFmtId="0" fontId="31" fillId="4" borderId="0">
      <alignment horizontal="left" vertical="top"/>
    </xf>
    <xf numFmtId="0" fontId="31" fillId="4" borderId="0">
      <alignment horizontal="right" vertical="center"/>
    </xf>
    <xf numFmtId="0" fontId="31" fillId="4" borderId="0">
      <alignment horizontal="right" vertical="top"/>
    </xf>
    <xf numFmtId="0" fontId="31" fillId="4" borderId="0">
      <alignment horizontal="center" vertical="center"/>
    </xf>
    <xf numFmtId="0" fontId="27" fillId="3" borderId="0">
      <alignment horizontal="center" vertical="center"/>
    </xf>
    <xf numFmtId="0" fontId="27" fillId="3" borderId="0">
      <alignment horizontal="center" vertical="center"/>
    </xf>
    <xf numFmtId="0" fontId="27" fillId="3" borderId="0">
      <alignment horizontal="center" vertical="center"/>
    </xf>
    <xf numFmtId="0" fontId="33" fillId="4" borderId="0">
      <alignment horizontal="left" vertical="top"/>
    </xf>
    <xf numFmtId="0" fontId="31" fillId="4" borderId="0">
      <alignment horizontal="left" vertical="center"/>
    </xf>
    <xf numFmtId="0" fontId="33" fillId="4" borderId="0">
      <alignment horizontal="left" vertical="top"/>
    </xf>
    <xf numFmtId="0" fontId="33" fillId="4" borderId="0">
      <alignment horizontal="center" vertical="center"/>
    </xf>
    <xf numFmtId="0" fontId="34" fillId="4" borderId="0">
      <alignment horizontal="center" vertical="center"/>
    </xf>
    <xf numFmtId="0" fontId="34" fillId="0" borderId="0">
      <alignment horizontal="center" vertical="center"/>
    </xf>
    <xf numFmtId="0" fontId="31" fillId="4" borderId="0">
      <alignment horizontal="center" vertical="center"/>
    </xf>
    <xf numFmtId="0" fontId="31" fillId="0" borderId="0">
      <alignment horizontal="center" vertical="top"/>
    </xf>
    <xf numFmtId="0" fontId="31" fillId="4" borderId="0">
      <alignment horizontal="center" vertical="center"/>
    </xf>
    <xf numFmtId="0" fontId="35" fillId="0" borderId="0">
      <alignment horizontal="left" vertical="top"/>
    </xf>
    <xf numFmtId="0" fontId="31" fillId="4" borderId="0">
      <alignment horizontal="center" vertical="center"/>
    </xf>
    <xf numFmtId="0" fontId="31" fillId="0" borderId="0">
      <alignment horizontal="left" vertical="top"/>
    </xf>
    <xf numFmtId="0" fontId="31" fillId="4" borderId="0">
      <alignment horizontal="left" vertical="center"/>
    </xf>
    <xf numFmtId="0" fontId="35" fillId="0" borderId="0">
      <alignment horizontal="left" vertical="center"/>
    </xf>
    <xf numFmtId="0" fontId="27" fillId="5" borderId="0">
      <alignment horizontal="left" vertical="center"/>
    </xf>
    <xf numFmtId="0" fontId="31" fillId="4" borderId="0">
      <alignment horizontal="left" vertical="center"/>
    </xf>
    <xf numFmtId="0" fontId="35" fillId="0" borderId="0">
      <alignment horizontal="left" vertical="top"/>
    </xf>
    <xf numFmtId="0" fontId="27" fillId="5" borderId="0">
      <alignment horizontal="left" vertical="center"/>
    </xf>
    <xf numFmtId="0" fontId="3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30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25" fillId="0" borderId="0"/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left" vertical="center"/>
    </xf>
    <xf numFmtId="0" fontId="27" fillId="3" borderId="0">
      <alignment horizontal="right" vertical="center"/>
    </xf>
    <xf numFmtId="0" fontId="27" fillId="3" borderId="0">
      <alignment horizontal="right" vertical="center"/>
    </xf>
    <xf numFmtId="0" fontId="27" fillId="3" borderId="0">
      <alignment horizontal="right" vertical="center"/>
    </xf>
    <xf numFmtId="0" fontId="27" fillId="5" borderId="0">
      <alignment horizontal="center" vertical="center"/>
    </xf>
    <xf numFmtId="0" fontId="27" fillId="3" borderId="0">
      <alignment horizontal="center" vertical="center"/>
    </xf>
    <xf numFmtId="0" fontId="27" fillId="3" borderId="0">
      <alignment horizontal="center" vertical="center"/>
    </xf>
    <xf numFmtId="0" fontId="27" fillId="5" borderId="0">
      <alignment horizontal="left" vertical="center"/>
    </xf>
    <xf numFmtId="0" fontId="30" fillId="0" borderId="0"/>
    <xf numFmtId="0" fontId="29" fillId="0" borderId="0"/>
    <xf numFmtId="9" fontId="30" fillId="0" borderId="0" applyFont="0" applyFill="0" applyBorder="0" applyAlignment="0" applyProtection="0"/>
    <xf numFmtId="0" fontId="23" fillId="0" borderId="0"/>
    <xf numFmtId="0" fontId="37" fillId="0" borderId="0">
      <alignment horizontal="right" vertical="center"/>
    </xf>
    <xf numFmtId="0" fontId="38" fillId="0" borderId="0">
      <alignment horizontal="left" vertical="center"/>
    </xf>
    <xf numFmtId="0" fontId="39" fillId="0" borderId="0">
      <alignment horizontal="left" vertical="center"/>
    </xf>
    <xf numFmtId="0" fontId="39" fillId="0" borderId="0">
      <alignment horizontal="left" vertical="top"/>
    </xf>
    <xf numFmtId="0" fontId="40" fillId="0" borderId="0">
      <alignment horizontal="center" vertical="center"/>
    </xf>
    <xf numFmtId="0" fontId="39" fillId="0" borderId="0">
      <alignment horizontal="center" vertical="top"/>
    </xf>
    <xf numFmtId="0" fontId="37" fillId="0" borderId="0">
      <alignment horizontal="left" vertical="top"/>
    </xf>
    <xf numFmtId="0" fontId="37" fillId="0" borderId="0">
      <alignment horizontal="left" vertical="center"/>
    </xf>
    <xf numFmtId="0" fontId="39" fillId="0" borderId="4">
      <alignment horizontal="center" vertical="center"/>
    </xf>
    <xf numFmtId="0" fontId="37" fillId="0" borderId="4">
      <alignment horizontal="center" vertical="center"/>
    </xf>
    <xf numFmtId="0" fontId="39" fillId="0" borderId="4">
      <alignment horizontal="left" vertical="center"/>
    </xf>
    <xf numFmtId="0" fontId="39" fillId="0" borderId="4">
      <alignment horizontal="right" vertical="center"/>
    </xf>
    <xf numFmtId="0" fontId="39" fillId="0" borderId="4">
      <alignment horizontal="left" vertical="top"/>
    </xf>
    <xf numFmtId="164" fontId="24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2" fillId="0" borderId="0"/>
    <xf numFmtId="0" fontId="39" fillId="0" borderId="0">
      <alignment horizontal="left" vertical="top"/>
    </xf>
    <xf numFmtId="0" fontId="39" fillId="0" borderId="4">
      <alignment horizontal="right" vertical="top"/>
    </xf>
    <xf numFmtId="0" fontId="39" fillId="0" borderId="4">
      <alignment horizontal="left" vertical="top"/>
    </xf>
    <xf numFmtId="0" fontId="39" fillId="0" borderId="10">
      <alignment horizontal="left" vertical="top"/>
    </xf>
    <xf numFmtId="0" fontId="39" fillId="0" borderId="2">
      <alignment horizontal="left" vertical="top"/>
    </xf>
    <xf numFmtId="0" fontId="37" fillId="0" borderId="0">
      <alignment horizontal="left" vertical="top"/>
    </xf>
    <xf numFmtId="0" fontId="39" fillId="0" borderId="0">
      <alignment horizontal="center" vertical="top"/>
    </xf>
    <xf numFmtId="0" fontId="40" fillId="0" borderId="0">
      <alignment horizontal="center" vertical="center"/>
    </xf>
    <xf numFmtId="0" fontId="21" fillId="0" borderId="0"/>
    <xf numFmtId="0" fontId="24" fillId="0" borderId="0"/>
    <xf numFmtId="0" fontId="31" fillId="4" borderId="0">
      <alignment horizontal="left" vertical="center"/>
    </xf>
    <xf numFmtId="0" fontId="30" fillId="3" borderId="0">
      <alignment horizontal="center" vertical="center"/>
    </xf>
    <xf numFmtId="0" fontId="36" fillId="0" borderId="0"/>
    <xf numFmtId="0" fontId="36" fillId="0" borderId="0"/>
    <xf numFmtId="0" fontId="31" fillId="4" borderId="0">
      <alignment horizontal="left" vertical="center"/>
    </xf>
    <xf numFmtId="0" fontId="21" fillId="0" borderId="0"/>
    <xf numFmtId="0" fontId="25" fillId="0" borderId="0"/>
    <xf numFmtId="0" fontId="51" fillId="0" borderId="0"/>
    <xf numFmtId="164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0" fontId="18" fillId="0" borderId="0"/>
    <xf numFmtId="0" fontId="37" fillId="0" borderId="0">
      <alignment horizontal="right" vertical="center"/>
    </xf>
    <xf numFmtId="0" fontId="37" fillId="0" borderId="0">
      <alignment horizontal="right" vertical="center"/>
    </xf>
    <xf numFmtId="0" fontId="17" fillId="0" borderId="0"/>
    <xf numFmtId="0" fontId="16" fillId="0" borderId="0"/>
    <xf numFmtId="0" fontId="15" fillId="0" borderId="0"/>
    <xf numFmtId="0" fontId="40" fillId="0" borderId="0">
      <alignment horizontal="center" vertical="center"/>
    </xf>
    <xf numFmtId="0" fontId="39" fillId="0" borderId="0">
      <alignment horizontal="center" vertical="top"/>
    </xf>
    <xf numFmtId="0" fontId="37" fillId="0" borderId="0">
      <alignment horizontal="left" vertical="top"/>
    </xf>
    <xf numFmtId="0" fontId="39" fillId="0" borderId="0">
      <alignment horizontal="left" vertical="top"/>
    </xf>
    <xf numFmtId="0" fontId="39" fillId="0" borderId="4">
      <alignment horizontal="center" vertical="center"/>
    </xf>
    <xf numFmtId="0" fontId="37" fillId="0" borderId="4">
      <alignment horizontal="center" vertical="center"/>
    </xf>
    <xf numFmtId="0" fontId="39" fillId="0" borderId="4">
      <alignment horizontal="left" vertical="center"/>
    </xf>
    <xf numFmtId="0" fontId="39" fillId="0" borderId="2">
      <alignment horizontal="left" vertical="top"/>
    </xf>
    <xf numFmtId="0" fontId="39" fillId="0" borderId="4">
      <alignment horizontal="right" vertical="center"/>
    </xf>
    <xf numFmtId="0" fontId="39" fillId="0" borderId="4">
      <alignment horizontal="right" vertical="top"/>
    </xf>
    <xf numFmtId="0" fontId="39" fillId="0" borderId="0">
      <alignment horizontal="left" vertical="center"/>
    </xf>
    <xf numFmtId="0" fontId="13" fillId="0" borderId="0"/>
    <xf numFmtId="0" fontId="12" fillId="0" borderId="0"/>
    <xf numFmtId="0" fontId="11" fillId="0" borderId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/>
    <xf numFmtId="165" fontId="36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1" fillId="0" borderId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1" fillId="0" borderId="0"/>
    <xf numFmtId="0" fontId="37" fillId="0" borderId="0">
      <alignment horizontal="right" vertical="center"/>
    </xf>
    <xf numFmtId="0" fontId="37" fillId="0" borderId="0">
      <alignment horizontal="right" vertical="center"/>
    </xf>
    <xf numFmtId="0" fontId="39" fillId="0" borderId="4">
      <alignment horizontal="right" vertical="top"/>
    </xf>
    <xf numFmtId="0" fontId="39" fillId="0" borderId="4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1" fillId="0" borderId="0"/>
    <xf numFmtId="165" fontId="3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169" fontId="24" fillId="0" borderId="0" applyFont="0" applyFill="0" applyBorder="0" applyAlignment="0" applyProtection="0"/>
    <xf numFmtId="0" fontId="29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6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4" borderId="0" applyNumberFormat="0" applyBorder="0" applyAlignment="0" applyProtection="0"/>
    <xf numFmtId="0" fontId="62" fillId="8" borderId="0" applyNumberFormat="0" applyBorder="0" applyAlignment="0" applyProtection="0"/>
    <xf numFmtId="0" fontId="63" fillId="25" borderId="17" applyNumberFormat="0" applyAlignment="0" applyProtection="0"/>
    <xf numFmtId="0" fontId="64" fillId="26" borderId="18" applyNumberFormat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0" fillId="12" borderId="17" applyNumberFormat="0" applyAlignment="0" applyProtection="0"/>
    <xf numFmtId="0" fontId="71" fillId="0" borderId="22" applyNumberFormat="0" applyFill="0" applyAlignment="0" applyProtection="0"/>
    <xf numFmtId="0" fontId="72" fillId="27" borderId="0" applyNumberFormat="0" applyBorder="0" applyAlignment="0" applyProtection="0"/>
    <xf numFmtId="0" fontId="73" fillId="0" borderId="0" applyNumberFormat="0" applyFill="0" applyBorder="0" applyAlignment="0" applyProtection="0"/>
    <xf numFmtId="0" fontId="24" fillId="28" borderId="23" applyNumberFormat="0" applyFont="0" applyAlignment="0" applyProtection="0"/>
    <xf numFmtId="0" fontId="74" fillId="25" borderId="24" applyNumberFormat="0" applyAlignment="0" applyProtection="0"/>
    <xf numFmtId="0" fontId="31" fillId="4" borderId="0">
      <alignment horizontal="left" vertical="center"/>
    </xf>
    <xf numFmtId="0" fontId="31" fillId="0" borderId="0">
      <alignment horizontal="center" vertical="center"/>
    </xf>
    <xf numFmtId="0" fontId="35" fillId="0" borderId="0">
      <alignment horizontal="center" vertical="center"/>
    </xf>
    <xf numFmtId="0" fontId="31" fillId="0" borderId="0">
      <alignment horizontal="left" vertical="center"/>
    </xf>
    <xf numFmtId="0" fontId="31" fillId="0" borderId="0">
      <alignment horizontal="right" vertical="center"/>
    </xf>
    <xf numFmtId="0" fontId="31" fillId="0" borderId="0">
      <alignment horizontal="center" vertical="center"/>
    </xf>
    <xf numFmtId="0" fontId="31" fillId="0" borderId="0">
      <alignment horizontal="left" vertical="top"/>
    </xf>
    <xf numFmtId="0" fontId="31" fillId="0" borderId="0">
      <alignment horizontal="right" vertical="center"/>
    </xf>
    <xf numFmtId="0" fontId="31" fillId="0" borderId="0">
      <alignment horizontal="left" vertical="center"/>
    </xf>
    <xf numFmtId="0" fontId="27" fillId="3" borderId="0">
      <alignment horizontal="center" vertical="center"/>
    </xf>
    <xf numFmtId="0" fontId="31" fillId="0" borderId="0">
      <alignment horizontal="right" vertical="top"/>
    </xf>
    <xf numFmtId="0" fontId="31" fillId="0" borderId="0">
      <alignment horizontal="left" vertical="top"/>
    </xf>
    <xf numFmtId="0" fontId="75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77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8" fillId="12" borderId="17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79" fillId="25" borderId="24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0" fontId="80" fillId="25" borderId="17" applyNumberFormat="0" applyAlignment="0" applyProtection="0"/>
    <xf numFmtId="170" fontId="24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4" fillId="0" borderId="25" applyNumberFormat="0" applyFill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85" fillId="26" borderId="18" applyNumberFormat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86" fillId="27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7" fillId="8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0" fontId="24" fillId="28" borderId="23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89" fillId="0" borderId="22" applyNumberFormat="0" applyFill="0" applyAlignment="0" applyProtection="0"/>
    <xf numFmtId="0" fontId="90" fillId="0" borderId="0"/>
    <xf numFmtId="0" fontId="7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9" fontId="29" fillId="0" borderId="0" applyFont="0" applyFill="0" applyBorder="0" applyAlignment="0" applyProtection="0"/>
    <xf numFmtId="0" fontId="7" fillId="0" borderId="0"/>
    <xf numFmtId="0" fontId="4" fillId="0" borderId="0"/>
    <xf numFmtId="0" fontId="29" fillId="0" borderId="0"/>
    <xf numFmtId="0" fontId="25" fillId="0" borderId="0"/>
    <xf numFmtId="171" fontId="24" fillId="0" borderId="0" applyFont="0" applyFill="0" applyBorder="0" applyAlignment="0" applyProtection="0"/>
  </cellStyleXfs>
  <cellXfs count="728">
    <xf numFmtId="0" fontId="0" fillId="0" borderId="0" xfId="0"/>
    <xf numFmtId="0" fontId="28" fillId="2" borderId="0" xfId="63" applyFont="1" applyFill="1"/>
    <xf numFmtId="0" fontId="28" fillId="2" borderId="0" xfId="63" applyFont="1" applyFill="1" applyAlignment="1">
      <alignment vertical="center"/>
    </xf>
    <xf numFmtId="0" fontId="28" fillId="2" borderId="4" xfId="1" applyFont="1" applyFill="1" applyBorder="1" applyAlignment="1">
      <alignment horizontal="left" vertical="center" wrapText="1" shrinkToFit="1"/>
    </xf>
    <xf numFmtId="0" fontId="42" fillId="2" borderId="4" xfId="1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center" vertical="center" wrapText="1"/>
    </xf>
    <xf numFmtId="0" fontId="24" fillId="0" borderId="0" xfId="1" applyFont="1" applyFill="1"/>
    <xf numFmtId="0" fontId="46" fillId="2" borderId="4" xfId="1" applyFont="1" applyFill="1" applyBorder="1" applyAlignment="1">
      <alignment horizontal="left" vertical="center" wrapText="1"/>
    </xf>
    <xf numFmtId="0" fontId="42" fillId="0" borderId="0" xfId="1" applyFont="1"/>
    <xf numFmtId="0" fontId="43" fillId="3" borderId="0" xfId="1" applyFont="1" applyFill="1"/>
    <xf numFmtId="164" fontId="24" fillId="0" borderId="0" xfId="1" applyNumberFormat="1" applyFont="1"/>
    <xf numFmtId="0" fontId="24" fillId="0" borderId="0" xfId="1" applyFont="1" applyAlignment="1">
      <alignment horizontal="center" vertical="center"/>
    </xf>
    <xf numFmtId="9" fontId="42" fillId="2" borderId="11" xfId="1" applyNumberFormat="1" applyFont="1" applyFill="1" applyBorder="1" applyAlignment="1">
      <alignment horizontal="center" vertical="center" wrapText="1"/>
    </xf>
    <xf numFmtId="4" fontId="44" fillId="2" borderId="4" xfId="1" applyNumberFormat="1" applyFont="1" applyFill="1" applyBorder="1" applyAlignment="1">
      <alignment horizontal="center" vertical="center" wrapText="1"/>
    </xf>
    <xf numFmtId="0" fontId="24" fillId="0" borderId="0" xfId="1" applyFont="1"/>
    <xf numFmtId="0" fontId="26" fillId="2" borderId="0" xfId="63" applyFont="1" applyFill="1" applyAlignment="1">
      <alignment horizontal="left" vertical="center" wrapText="1"/>
    </xf>
    <xf numFmtId="0" fontId="42" fillId="0" borderId="0" xfId="1" applyFont="1" applyFill="1" applyAlignment="1">
      <alignment horizontal="center" vertical="center"/>
    </xf>
    <xf numFmtId="0" fontId="42" fillId="0" borderId="0" xfId="1" applyFont="1" applyFill="1"/>
    <xf numFmtId="0" fontId="41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left" vertical="top"/>
    </xf>
    <xf numFmtId="0" fontId="44" fillId="0" borderId="0" xfId="1" applyFont="1" applyBorder="1" applyAlignment="1">
      <alignment horizontal="left" vertical="top"/>
    </xf>
    <xf numFmtId="0" fontId="42" fillId="0" borderId="0" xfId="1" applyFont="1" applyBorder="1" applyAlignment="1"/>
    <xf numFmtId="0" fontId="42" fillId="0" borderId="0" xfId="1" applyFont="1" applyBorder="1" applyAlignment="1">
      <alignment horizontal="center" vertical="center"/>
    </xf>
    <xf numFmtId="0" fontId="24" fillId="0" borderId="0" xfId="1" applyFont="1" applyBorder="1" applyAlignment="1"/>
    <xf numFmtId="0" fontId="41" fillId="0" borderId="4" xfId="1" applyFont="1" applyBorder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wrapText="1"/>
    </xf>
    <xf numFmtId="0" fontId="42" fillId="3" borderId="4" xfId="1" applyFont="1" applyFill="1" applyBorder="1" applyAlignment="1">
      <alignment horizontal="left" vertical="center" wrapText="1"/>
    </xf>
    <xf numFmtId="0" fontId="42" fillId="3" borderId="4" xfId="1" applyFont="1" applyFill="1" applyBorder="1" applyAlignment="1">
      <alignment horizontal="center" vertical="center" wrapText="1"/>
    </xf>
    <xf numFmtId="0" fontId="28" fillId="3" borderId="4" xfId="1" applyFont="1" applyFill="1" applyBorder="1" applyAlignment="1">
      <alignment horizontal="center" vertical="center" wrapText="1"/>
    </xf>
    <xf numFmtId="2" fontId="28" fillId="3" borderId="4" xfId="1" applyNumberFormat="1" applyFont="1" applyFill="1" applyBorder="1" applyAlignment="1">
      <alignment horizontal="right" vertical="center"/>
    </xf>
    <xf numFmtId="0" fontId="25" fillId="3" borderId="4" xfId="1" applyFont="1" applyFill="1" applyBorder="1" applyAlignment="1">
      <alignment horizontal="center" vertical="center" wrapText="1"/>
    </xf>
    <xf numFmtId="0" fontId="46" fillId="3" borderId="4" xfId="1" applyFont="1" applyFill="1" applyBorder="1" applyAlignment="1">
      <alignment horizontal="left" vertical="center" wrapText="1"/>
    </xf>
    <xf numFmtId="0" fontId="46" fillId="3" borderId="4" xfId="1" applyFont="1" applyFill="1" applyBorder="1" applyAlignment="1">
      <alignment horizontal="center" vertical="center" wrapText="1"/>
    </xf>
    <xf numFmtId="4" fontId="46" fillId="3" borderId="4" xfId="1" applyNumberFormat="1" applyFont="1" applyFill="1" applyBorder="1" applyAlignment="1">
      <alignment horizontal="right" vertical="center" wrapText="1"/>
    </xf>
    <xf numFmtId="0" fontId="47" fillId="3" borderId="4" xfId="1" applyFont="1" applyFill="1" applyBorder="1" applyAlignment="1">
      <alignment horizontal="center" vertical="center" wrapText="1"/>
    </xf>
    <xf numFmtId="4" fontId="44" fillId="2" borderId="4" xfId="63" applyNumberFormat="1" applyFont="1" applyFill="1" applyBorder="1" applyAlignment="1">
      <alignment horizontal="center" vertical="center" wrapText="1"/>
    </xf>
    <xf numFmtId="0" fontId="46" fillId="2" borderId="4" xfId="63" applyFont="1" applyFill="1" applyBorder="1" applyAlignment="1">
      <alignment horizontal="left" vertical="center" wrapText="1"/>
    </xf>
    <xf numFmtId="0" fontId="42" fillId="2" borderId="4" xfId="63" applyFont="1" applyFill="1" applyBorder="1" applyAlignment="1">
      <alignment horizontal="center" vertical="center" wrapText="1"/>
    </xf>
    <xf numFmtId="9" fontId="42" fillId="2" borderId="4" xfId="63" applyNumberFormat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left" vertical="center" wrapText="1"/>
    </xf>
    <xf numFmtId="0" fontId="26" fillId="0" borderId="4" xfId="1" applyFont="1" applyFill="1" applyBorder="1" applyAlignment="1">
      <alignment horizontal="left" vertical="center" wrapText="1"/>
    </xf>
    <xf numFmtId="4" fontId="28" fillId="0" borderId="4" xfId="1" applyNumberFormat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10" fontId="28" fillId="0" borderId="11" xfId="1" applyNumberFormat="1" applyFont="1" applyFill="1" applyBorder="1" applyAlignment="1">
      <alignment horizontal="center" vertical="center" wrapText="1"/>
    </xf>
    <xf numFmtId="10" fontId="28" fillId="0" borderId="0" xfId="1" applyNumberFormat="1" applyFont="1" applyFill="1" applyBorder="1" applyAlignment="1">
      <alignment horizontal="center" vertical="center" wrapText="1"/>
    </xf>
    <xf numFmtId="0" fontId="28" fillId="0" borderId="11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4" fillId="0" borderId="4" xfId="1" applyFont="1" applyFill="1" applyBorder="1"/>
    <xf numFmtId="0" fontId="46" fillId="0" borderId="4" xfId="1" applyFont="1" applyFill="1" applyBorder="1" applyAlignment="1">
      <alignment horizontal="left" vertical="center" wrapText="1"/>
    </xf>
    <xf numFmtId="0" fontId="46" fillId="0" borderId="4" xfId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28" fillId="3" borderId="4" xfId="1" applyFont="1" applyFill="1" applyBorder="1" applyAlignment="1">
      <alignment horizontal="left" vertical="center" wrapText="1"/>
    </xf>
    <xf numFmtId="2" fontId="28" fillId="3" borderId="4" xfId="1" applyNumberFormat="1" applyFont="1" applyFill="1" applyBorder="1" applyAlignment="1">
      <alignment horizontal="center" vertical="center" wrapText="1"/>
    </xf>
    <xf numFmtId="2" fontId="28" fillId="3" borderId="4" xfId="1" applyNumberFormat="1" applyFont="1" applyFill="1" applyBorder="1" applyAlignment="1">
      <alignment horizontal="left" vertical="center"/>
    </xf>
    <xf numFmtId="9" fontId="28" fillId="3" borderId="4" xfId="1" applyNumberFormat="1" applyFont="1" applyFill="1" applyBorder="1" applyAlignment="1">
      <alignment horizontal="center" vertical="center"/>
    </xf>
    <xf numFmtId="166" fontId="28" fillId="3" borderId="4" xfId="1" applyNumberFormat="1" applyFont="1" applyFill="1" applyBorder="1" applyAlignment="1">
      <alignment horizontal="center" vertical="center"/>
    </xf>
    <xf numFmtId="2" fontId="24" fillId="3" borderId="4" xfId="1" applyNumberFormat="1" applyFont="1" applyFill="1" applyBorder="1" applyAlignment="1">
      <alignment horizontal="center"/>
    </xf>
    <xf numFmtId="9" fontId="28" fillId="3" borderId="4" xfId="1" applyNumberFormat="1" applyFont="1" applyFill="1" applyBorder="1" applyAlignment="1">
      <alignment horizontal="left" vertical="center" wrapText="1"/>
    </xf>
    <xf numFmtId="4" fontId="28" fillId="3" borderId="4" xfId="1" applyNumberFormat="1" applyFont="1" applyFill="1" applyBorder="1" applyAlignment="1">
      <alignment horizontal="right" vertical="center" wrapText="1"/>
    </xf>
    <xf numFmtId="10" fontId="28" fillId="3" borderId="4" xfId="1" applyNumberFormat="1" applyFont="1" applyFill="1" applyBorder="1" applyAlignment="1">
      <alignment horizontal="center" vertical="center"/>
    </xf>
    <xf numFmtId="2" fontId="28" fillId="3" borderId="4" xfId="1" applyNumberFormat="1" applyFont="1" applyFill="1" applyBorder="1" applyAlignment="1">
      <alignment horizontal="left" vertical="center" wrapText="1"/>
    </xf>
    <xf numFmtId="0" fontId="26" fillId="3" borderId="4" xfId="1" applyFont="1" applyFill="1" applyBorder="1" applyAlignment="1">
      <alignment horizontal="left" vertical="center" wrapText="1"/>
    </xf>
    <xf numFmtId="2" fontId="26" fillId="3" borderId="4" xfId="1" applyNumberFormat="1" applyFont="1" applyFill="1" applyBorder="1" applyAlignment="1">
      <alignment horizontal="center" vertical="center" wrapText="1"/>
    </xf>
    <xf numFmtId="2" fontId="26" fillId="3" borderId="4" xfId="1" applyNumberFormat="1" applyFont="1" applyFill="1" applyBorder="1" applyAlignment="1">
      <alignment horizontal="left" vertical="center"/>
    </xf>
    <xf numFmtId="9" fontId="26" fillId="3" borderId="4" xfId="1" applyNumberFormat="1" applyFont="1" applyFill="1" applyBorder="1" applyAlignment="1">
      <alignment horizontal="center" vertical="center"/>
    </xf>
    <xf numFmtId="166" fontId="26" fillId="3" borderId="4" xfId="1" applyNumberFormat="1" applyFont="1" applyFill="1" applyBorder="1" applyAlignment="1">
      <alignment horizontal="center" vertical="center"/>
    </xf>
    <xf numFmtId="2" fontId="43" fillId="3" borderId="4" xfId="1" applyNumberFormat="1" applyFont="1" applyFill="1" applyBorder="1" applyAlignment="1">
      <alignment horizontal="center"/>
    </xf>
    <xf numFmtId="9" fontId="26" fillId="3" borderId="4" xfId="1" applyNumberFormat="1" applyFont="1" applyFill="1" applyBorder="1" applyAlignment="1">
      <alignment horizontal="left" vertical="center" wrapText="1"/>
    </xf>
    <xf numFmtId="4" fontId="26" fillId="3" borderId="4" xfId="1" applyNumberFormat="1" applyFont="1" applyFill="1" applyBorder="1" applyAlignment="1">
      <alignment horizontal="right" vertical="center" wrapText="1"/>
    </xf>
    <xf numFmtId="0" fontId="25" fillId="0" borderId="4" xfId="1" applyFont="1" applyBorder="1" applyAlignment="1">
      <alignment horizontal="center" vertical="center"/>
    </xf>
    <xf numFmtId="0" fontId="41" fillId="3" borderId="4" xfId="1" applyFont="1" applyFill="1" applyBorder="1" applyAlignment="1">
      <alignment horizontal="left" vertical="center" wrapText="1"/>
    </xf>
    <xf numFmtId="9" fontId="28" fillId="3" borderId="4" xfId="1" applyNumberFormat="1" applyFont="1" applyFill="1" applyBorder="1" applyAlignment="1">
      <alignment horizontal="center" vertical="center" wrapText="1"/>
    </xf>
    <xf numFmtId="2" fontId="28" fillId="3" borderId="4" xfId="1" applyNumberFormat="1" applyFont="1" applyFill="1" applyBorder="1" applyAlignment="1">
      <alignment horizontal="center" vertical="center"/>
    </xf>
    <xf numFmtId="0" fontId="24" fillId="0" borderId="0" xfId="1" applyFont="1" applyFill="1" applyBorder="1"/>
    <xf numFmtId="0" fontId="41" fillId="0" borderId="4" xfId="1" applyFont="1" applyBorder="1" applyAlignment="1">
      <alignment horizontal="left" vertical="center" wrapText="1"/>
    </xf>
    <xf numFmtId="0" fontId="42" fillId="0" borderId="4" xfId="1" applyFont="1" applyBorder="1"/>
    <xf numFmtId="164" fontId="41" fillId="0" borderId="4" xfId="3" applyFont="1" applyBorder="1" applyAlignment="1"/>
    <xf numFmtId="0" fontId="24" fillId="0" borderId="4" xfId="1" applyFont="1" applyBorder="1"/>
    <xf numFmtId="167" fontId="41" fillId="0" borderId="5" xfId="1" applyNumberFormat="1" applyFont="1" applyBorder="1" applyAlignment="1"/>
    <xf numFmtId="4" fontId="26" fillId="3" borderId="5" xfId="1" applyNumberFormat="1" applyFont="1" applyFill="1" applyBorder="1" applyAlignment="1">
      <alignment horizontal="right" vertical="center" wrapText="1"/>
    </xf>
    <xf numFmtId="0" fontId="24" fillId="0" borderId="4" xfId="1" applyFont="1" applyBorder="1" applyAlignment="1"/>
    <xf numFmtId="167" fontId="41" fillId="0" borderId="4" xfId="1" applyNumberFormat="1" applyFont="1" applyBorder="1" applyAlignment="1"/>
    <xf numFmtId="0" fontId="24" fillId="0" borderId="0" xfId="1" applyFont="1" applyBorder="1"/>
    <xf numFmtId="9" fontId="26" fillId="0" borderId="0" xfId="1" applyNumberFormat="1" applyFont="1" applyBorder="1" applyAlignment="1">
      <alignment horizontal="left"/>
    </xf>
    <xf numFmtId="4" fontId="26" fillId="3" borderId="0" xfId="1" applyNumberFormat="1" applyFont="1" applyFill="1" applyBorder="1" applyAlignment="1">
      <alignment horizontal="center" vertical="center" wrapText="1"/>
    </xf>
    <xf numFmtId="9" fontId="28" fillId="0" borderId="0" xfId="1" applyNumberFormat="1" applyFont="1" applyBorder="1" applyAlignment="1">
      <alignment horizontal="left"/>
    </xf>
    <xf numFmtId="0" fontId="49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42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6" fillId="2" borderId="4" xfId="63" applyFont="1" applyFill="1" applyBorder="1" applyAlignment="1">
      <alignment horizontal="center"/>
    </xf>
    <xf numFmtId="0" fontId="28" fillId="2" borderId="4" xfId="63" applyFont="1" applyFill="1" applyBorder="1"/>
    <xf numFmtId="0" fontId="14" fillId="0" borderId="4" xfId="0" applyFont="1" applyBorder="1" applyAlignment="1">
      <alignment vertical="center"/>
    </xf>
    <xf numFmtId="0" fontId="12" fillId="0" borderId="0" xfId="147" applyAlignment="1">
      <alignment wrapText="1"/>
    </xf>
    <xf numFmtId="0" fontId="55" fillId="0" borderId="0" xfId="147" applyFont="1" applyAlignment="1">
      <alignment wrapText="1"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justify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12" fillId="0" borderId="0" xfId="147" applyAlignment="1">
      <alignment wrapText="1"/>
    </xf>
    <xf numFmtId="0" fontId="28" fillId="2" borderId="0" xfId="63" applyFont="1" applyFill="1"/>
    <xf numFmtId="0" fontId="56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26" fillId="2" borderId="0" xfId="63" applyNumberFormat="1" applyFont="1" applyFill="1" applyBorder="1" applyAlignment="1">
      <alignment horizontal="right" vertical="center" wrapText="1"/>
    </xf>
    <xf numFmtId="3" fontId="26" fillId="0" borderId="0" xfId="63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>
      <alignment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/>
    <xf numFmtId="4" fontId="52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0" fontId="12" fillId="0" borderId="0" xfId="147" applyAlignment="1">
      <alignment wrapText="1"/>
    </xf>
    <xf numFmtId="4" fontId="93" fillId="2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5" fontId="0" fillId="0" borderId="4" xfId="0" applyNumberFormat="1" applyBorder="1" applyAlignment="1">
      <alignment horizontal="center"/>
    </xf>
    <xf numFmtId="0" fontId="95" fillId="0" borderId="0" xfId="0" applyFont="1" applyFill="1" applyBorder="1" applyAlignment="1">
      <alignment horizontal="right"/>
    </xf>
    <xf numFmtId="4" fontId="95" fillId="0" borderId="0" xfId="0" applyNumberFormat="1" applyFont="1" applyBorder="1" applyAlignment="1">
      <alignment horizontal="center"/>
    </xf>
    <xf numFmtId="2" fontId="0" fillId="0" borderId="0" xfId="0" applyNumberFormat="1"/>
    <xf numFmtId="0" fontId="26" fillId="0" borderId="4" xfId="0" applyFont="1" applyBorder="1" applyAlignment="1">
      <alignment horizontal="center"/>
    </xf>
    <xf numFmtId="0" fontId="50" fillId="0" borderId="4" xfId="0" applyFont="1" applyFill="1" applyBorder="1" applyAlignment="1">
      <alignment horizontal="right"/>
    </xf>
    <xf numFmtId="4" fontId="50" fillId="0" borderId="4" xfId="0" applyNumberFormat="1" applyFont="1" applyBorder="1" applyAlignment="1">
      <alignment horizontal="center"/>
    </xf>
    <xf numFmtId="0" fontId="96" fillId="0" borderId="0" xfId="0" applyFont="1" applyAlignment="1">
      <alignment vertical="center"/>
    </xf>
    <xf numFmtId="0" fontId="93" fillId="0" borderId="4" xfId="0" applyFont="1" applyBorder="1" applyAlignment="1">
      <alignment vertical="center" wrapText="1"/>
    </xf>
    <xf numFmtId="0" fontId="93" fillId="0" borderId="4" xfId="0" applyFont="1" applyBorder="1" applyAlignment="1">
      <alignment horizontal="center" vertical="center" wrapText="1"/>
    </xf>
    <xf numFmtId="0" fontId="93" fillId="0" borderId="4" xfId="0" applyFont="1" applyBorder="1" applyAlignment="1">
      <alignment horizontal="center" vertical="center"/>
    </xf>
    <xf numFmtId="0" fontId="93" fillId="0" borderId="4" xfId="0" applyFont="1" applyBorder="1" applyAlignment="1">
      <alignment horizontal="center"/>
    </xf>
    <xf numFmtId="175" fontId="93" fillId="0" borderId="4" xfId="0" applyNumberFormat="1" applyFont="1" applyBorder="1" applyAlignment="1">
      <alignment horizontal="center"/>
    </xf>
    <xf numFmtId="0" fontId="93" fillId="0" borderId="4" xfId="0" applyFont="1" applyBorder="1"/>
    <xf numFmtId="3" fontId="93" fillId="0" borderId="4" xfId="0" applyNumberFormat="1" applyFont="1" applyBorder="1" applyAlignment="1">
      <alignment horizontal="center"/>
    </xf>
    <xf numFmtId="0" fontId="50" fillId="0" borderId="4" xfId="0" applyFont="1" applyBorder="1" applyAlignment="1">
      <alignment vertical="center" wrapText="1"/>
    </xf>
    <xf numFmtId="3" fontId="50" fillId="0" borderId="4" xfId="0" applyNumberFormat="1" applyFont="1" applyBorder="1" applyAlignment="1">
      <alignment horizontal="center"/>
    </xf>
    <xf numFmtId="0" fontId="93" fillId="0" borderId="0" xfId="0" applyFont="1"/>
    <xf numFmtId="0" fontId="93" fillId="2" borderId="4" xfId="0" applyFont="1" applyFill="1" applyBorder="1" applyAlignment="1">
      <alignment vertical="center"/>
    </xf>
    <xf numFmtId="0" fontId="93" fillId="2" borderId="4" xfId="0" applyFont="1" applyFill="1" applyBorder="1" applyAlignment="1">
      <alignment horizontal="center" vertical="center"/>
    </xf>
    <xf numFmtId="175" fontId="93" fillId="2" borderId="4" xfId="0" applyNumberFormat="1" applyFont="1" applyFill="1" applyBorder="1" applyAlignment="1">
      <alignment horizontal="center" vertical="center"/>
    </xf>
    <xf numFmtId="176" fontId="93" fillId="2" borderId="4" xfId="0" applyNumberFormat="1" applyFont="1" applyFill="1" applyBorder="1" applyAlignment="1">
      <alignment horizontal="center" vertical="center"/>
    </xf>
    <xf numFmtId="177" fontId="0" fillId="0" borderId="0" xfId="0" applyNumberFormat="1"/>
    <xf numFmtId="0" fontId="93" fillId="0" borderId="0" xfId="147" applyFont="1" applyAlignment="1">
      <alignment wrapText="1"/>
    </xf>
    <xf numFmtId="0" fontId="93" fillId="0" borderId="4" xfId="139" quotePrefix="1" applyFont="1" applyAlignment="1">
      <alignment horizontal="center" vertical="center" wrapText="1"/>
    </xf>
    <xf numFmtId="0" fontId="28" fillId="2" borderId="4" xfId="0" applyFont="1" applyFill="1" applyBorder="1" applyAlignment="1">
      <alignment wrapText="1"/>
    </xf>
    <xf numFmtId="168" fontId="28" fillId="2" borderId="4" xfId="99" applyNumberFormat="1" applyFont="1" applyFill="1" applyBorder="1" applyAlignment="1">
      <alignment horizontal="center" wrapText="1"/>
    </xf>
    <xf numFmtId="3" fontId="28" fillId="2" borderId="4" xfId="0" applyNumberFormat="1" applyFont="1" applyFill="1" applyBorder="1" applyAlignment="1">
      <alignment horizontal="center" wrapText="1"/>
    </xf>
    <xf numFmtId="2" fontId="52" fillId="0" borderId="0" xfId="0" applyNumberFormat="1" applyFont="1" applyFill="1" applyAlignment="1">
      <alignment horizontal="center"/>
    </xf>
    <xf numFmtId="0" fontId="26" fillId="0" borderId="0" xfId="0" applyFont="1" applyAlignment="1">
      <alignment vertical="center"/>
    </xf>
    <xf numFmtId="0" fontId="96" fillId="0" borderId="0" xfId="0" applyFont="1"/>
    <xf numFmtId="0" fontId="26" fillId="0" borderId="0" xfId="0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4" fontId="98" fillId="29" borderId="4" xfId="0" applyNumberFormat="1" applyFont="1" applyFill="1" applyBorder="1"/>
    <xf numFmtId="0" fontId="0" fillId="0" borderId="4" xfId="0" applyBorder="1" applyAlignment="1">
      <alignment horizontal="left" vertical="center"/>
    </xf>
    <xf numFmtId="0" fontId="99" fillId="0" borderId="0" xfId="0" applyFont="1"/>
    <xf numFmtId="0" fontId="0" fillId="0" borderId="4" xfId="0" applyBorder="1" applyAlignment="1">
      <alignment horizontal="center"/>
    </xf>
    <xf numFmtId="0" fontId="99" fillId="0" borderId="0" xfId="0" applyFont="1" applyAlignment="1">
      <alignment wrapText="1"/>
    </xf>
    <xf numFmtId="14" fontId="99" fillId="0" borderId="0" xfId="0" applyNumberFormat="1" applyFont="1" applyBorder="1" applyAlignment="1">
      <alignment horizontal="center" vertical="center" wrapText="1"/>
    </xf>
    <xf numFmtId="0" fontId="97" fillId="0" borderId="0" xfId="0" applyFont="1"/>
    <xf numFmtId="0" fontId="99" fillId="0" borderId="0" xfId="0" applyFont="1" applyAlignment="1">
      <alignment horizontal="left"/>
    </xf>
    <xf numFmtId="0" fontId="99" fillId="0" borderId="0" xfId="0" applyFont="1" applyAlignment="1">
      <alignment horizontal="center" vertical="center"/>
    </xf>
    <xf numFmtId="0" fontId="25" fillId="0" borderId="0" xfId="63"/>
    <xf numFmtId="0" fontId="0" fillId="0" borderId="4" xfId="0" applyBorder="1" applyAlignment="1">
      <alignment vertical="center"/>
    </xf>
    <xf numFmtId="0" fontId="0" fillId="0" borderId="4" xfId="0" applyBorder="1"/>
    <xf numFmtId="0" fontId="7" fillId="0" borderId="0" xfId="1922"/>
    <xf numFmtId="178" fontId="97" fillId="0" borderId="0" xfId="0" applyNumberFormat="1" applyFont="1"/>
    <xf numFmtId="10" fontId="97" fillId="0" borderId="0" xfId="0" applyNumberFormat="1" applyFo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02" fillId="0" borderId="0" xfId="0" applyFont="1" applyAlignment="1">
      <alignment horizontal="right" vertical="center"/>
    </xf>
    <xf numFmtId="0" fontId="33" fillId="6" borderId="26" xfId="0" applyFont="1" applyFill="1" applyBorder="1" applyAlignment="1">
      <alignment vertical="center" wrapText="1"/>
    </xf>
    <xf numFmtId="0" fontId="33" fillId="6" borderId="26" xfId="0" applyFont="1" applyFill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3" fillId="2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4" fontId="33" fillId="0" borderId="26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4" fillId="2" borderId="4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0" fillId="2" borderId="0" xfId="0" applyFill="1"/>
    <xf numFmtId="0" fontId="33" fillId="0" borderId="4" xfId="0" applyFont="1" applyBorder="1" applyAlignment="1">
      <alignment horizontal="justify" vertical="center"/>
    </xf>
    <xf numFmtId="0" fontId="98" fillId="0" borderId="4" xfId="0" applyFont="1" applyBorder="1" applyAlignment="1">
      <alignment wrapText="1"/>
    </xf>
    <xf numFmtId="4" fontId="98" fillId="0" borderId="4" xfId="0" applyNumberFormat="1" applyFont="1" applyBorder="1" applyAlignment="1">
      <alignment horizontal="center"/>
    </xf>
    <xf numFmtId="0" fontId="33" fillId="0" borderId="0" xfId="0" applyFont="1" applyAlignment="1">
      <alignment horizontal="justify" vertical="center"/>
    </xf>
    <xf numFmtId="0" fontId="25" fillId="0" borderId="26" xfId="0" applyFont="1" applyBorder="1" applyAlignment="1">
      <alignment vertical="center" wrapText="1"/>
    </xf>
    <xf numFmtId="0" fontId="103" fillId="2" borderId="28" xfId="1" applyFont="1" applyFill="1" applyBorder="1" applyAlignment="1">
      <alignment vertical="center" wrapText="1"/>
    </xf>
    <xf numFmtId="0" fontId="103" fillId="2" borderId="27" xfId="1" applyFont="1" applyFill="1" applyBorder="1" applyAlignment="1">
      <alignment horizontal="center" vertical="center" wrapText="1"/>
    </xf>
    <xf numFmtId="0" fontId="57" fillId="2" borderId="26" xfId="1" applyFont="1" applyFill="1" applyBorder="1" applyAlignment="1">
      <alignment horizontal="center" vertical="center" wrapText="1"/>
    </xf>
    <xf numFmtId="0" fontId="103" fillId="2" borderId="26" xfId="1" applyFont="1" applyFill="1" applyBorder="1" applyAlignment="1">
      <alignment vertical="center" wrapText="1"/>
    </xf>
    <xf numFmtId="0" fontId="103" fillId="2" borderId="26" xfId="1" applyFont="1" applyFill="1" applyBorder="1" applyAlignment="1">
      <alignment horizontal="center" vertical="center" wrapText="1"/>
    </xf>
    <xf numFmtId="0" fontId="57" fillId="2" borderId="27" xfId="1" applyFont="1" applyFill="1" applyBorder="1" applyAlignment="1">
      <alignment horizontal="center" vertical="center" wrapText="1"/>
    </xf>
    <xf numFmtId="0" fontId="103" fillId="2" borderId="31" xfId="1" applyFont="1" applyFill="1" applyBorder="1" applyAlignment="1">
      <alignment vertical="center" wrapText="1"/>
    </xf>
    <xf numFmtId="0" fontId="103" fillId="2" borderId="4" xfId="1" applyFont="1" applyFill="1" applyBorder="1" applyAlignment="1">
      <alignment horizontal="center" vertical="center" wrapText="1"/>
    </xf>
    <xf numFmtId="0" fontId="103" fillId="2" borderId="4" xfId="1" applyFont="1" applyFill="1" applyBorder="1" applyAlignment="1">
      <alignment vertical="center" wrapText="1"/>
    </xf>
    <xf numFmtId="0" fontId="103" fillId="2" borderId="28" xfId="1" applyFont="1" applyFill="1" applyBorder="1" applyAlignment="1">
      <alignment horizontal="center" vertical="center" wrapText="1"/>
    </xf>
    <xf numFmtId="0" fontId="57" fillId="2" borderId="26" xfId="1" applyFont="1" applyFill="1" applyBorder="1" applyAlignment="1">
      <alignment vertical="center" wrapText="1"/>
    </xf>
    <xf numFmtId="0" fontId="104" fillId="0" borderId="26" xfId="1" applyFont="1" applyBorder="1" applyAlignment="1">
      <alignment vertical="center" wrapText="1"/>
    </xf>
    <xf numFmtId="0" fontId="57" fillId="0" borderId="30" xfId="1" applyFont="1" applyBorder="1" applyAlignment="1">
      <alignment horizontal="center" vertical="center" wrapText="1"/>
    </xf>
    <xf numFmtId="0" fontId="57" fillId="0" borderId="26" xfId="1" applyFont="1" applyBorder="1" applyAlignment="1">
      <alignment horizontal="center" vertical="center" wrapText="1"/>
    </xf>
    <xf numFmtId="4" fontId="104" fillId="0" borderId="26" xfId="1" applyNumberFormat="1" applyFont="1" applyBorder="1" applyAlignment="1">
      <alignment horizontal="center" vertical="center" wrapText="1"/>
    </xf>
    <xf numFmtId="4" fontId="57" fillId="0" borderId="26" xfId="1" applyNumberFormat="1" applyFont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2" fontId="50" fillId="2" borderId="0" xfId="63" applyNumberFormat="1" applyFont="1" applyFill="1"/>
    <xf numFmtId="2" fontId="28" fillId="2" borderId="0" xfId="63" applyNumberFormat="1" applyFont="1" applyFill="1"/>
    <xf numFmtId="177" fontId="99" fillId="0" borderId="0" xfId="0" applyNumberFormat="1" applyFont="1" applyAlignment="1">
      <alignment horizontal="center"/>
    </xf>
    <xf numFmtId="3" fontId="94" fillId="2" borderId="11" xfId="143" applyNumberFormat="1" applyFont="1" applyFill="1" applyBorder="1" applyAlignment="1">
      <alignment horizontal="center" vertical="center" wrapText="1"/>
    </xf>
    <xf numFmtId="0" fontId="94" fillId="2" borderId="11" xfId="147" applyNumberFormat="1" applyFont="1" applyFill="1" applyBorder="1" applyAlignment="1">
      <alignment horizontal="center" vertical="center" wrapText="1"/>
    </xf>
    <xf numFmtId="0" fontId="28" fillId="2" borderId="4" xfId="0" applyNumberFormat="1" applyFont="1" applyFill="1" applyBorder="1" applyAlignment="1">
      <alignment horizontal="center" wrapText="1"/>
    </xf>
    <xf numFmtId="0" fontId="28" fillId="2" borderId="4" xfId="0" applyNumberFormat="1" applyFont="1" applyFill="1" applyBorder="1" applyAlignment="1">
      <alignment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wrapText="1"/>
    </xf>
    <xf numFmtId="0" fontId="12" fillId="0" borderId="0" xfId="147" applyAlignment="1">
      <alignment horizontal="center" wrapText="1"/>
    </xf>
    <xf numFmtId="0" fontId="55" fillId="0" borderId="0" xfId="147" applyFont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94" fillId="2" borderId="11" xfId="147" applyNumberFormat="1" applyFont="1" applyFill="1" applyBorder="1" applyAlignment="1">
      <alignment horizontal="center" vertical="center" wrapText="1"/>
    </xf>
    <xf numFmtId="3" fontId="94" fillId="2" borderId="11" xfId="143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100" fillId="0" borderId="0" xfId="0" applyFont="1" applyBorder="1"/>
    <xf numFmtId="4" fontId="100" fillId="0" borderId="0" xfId="0" applyNumberFormat="1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45" fillId="0" borderId="0" xfId="63" applyFont="1" applyAlignment="1"/>
    <xf numFmtId="0" fontId="105" fillId="0" borderId="0" xfId="63" applyFont="1"/>
    <xf numFmtId="0" fontId="45" fillId="0" borderId="0" xfId="63" applyFont="1"/>
    <xf numFmtId="4" fontId="45" fillId="0" borderId="0" xfId="63" applyNumberFormat="1" applyFont="1" applyAlignment="1">
      <alignment vertical="center" wrapText="1"/>
    </xf>
    <xf numFmtId="49" fontId="105" fillId="0" borderId="0" xfId="63" applyNumberFormat="1" applyFont="1"/>
    <xf numFmtId="49" fontId="106" fillId="0" borderId="0" xfId="63" applyNumberFormat="1" applyFont="1"/>
    <xf numFmtId="0" fontId="57" fillId="0" borderId="0" xfId="0" applyFont="1" applyFill="1" applyBorder="1"/>
    <xf numFmtId="49" fontId="105" fillId="0" borderId="0" xfId="63" applyNumberFormat="1" applyFont="1" applyAlignment="1">
      <alignment wrapText="1"/>
    </xf>
    <xf numFmtId="0" fontId="107" fillId="0" borderId="10" xfId="63" applyFont="1" applyBorder="1" applyAlignment="1">
      <alignment horizontal="center"/>
    </xf>
    <xf numFmtId="0" fontId="57" fillId="0" borderId="0" xfId="0" applyFont="1"/>
    <xf numFmtId="0" fontId="107" fillId="0" borderId="0" xfId="63" applyFont="1" applyBorder="1" applyAlignment="1">
      <alignment horizontal="center"/>
    </xf>
    <xf numFmtId="0" fontId="108" fillId="0" borderId="0" xfId="63" applyFont="1" applyBorder="1" applyAlignment="1"/>
    <xf numFmtId="0" fontId="100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14" fontId="45" fillId="0" borderId="0" xfId="0" applyNumberFormat="1" applyFont="1" applyBorder="1" applyAlignment="1">
      <alignment horizontal="center" vertical="center" wrapText="1"/>
    </xf>
    <xf numFmtId="0" fontId="57" fillId="6" borderId="4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left" vertical="center" wrapText="1"/>
    </xf>
    <xf numFmtId="3" fontId="57" fillId="2" borderId="4" xfId="0" applyNumberFormat="1" applyFont="1" applyFill="1" applyBorder="1" applyAlignment="1">
      <alignment horizontal="center" vertical="center" wrapText="1"/>
    </xf>
    <xf numFmtId="4" fontId="57" fillId="2" borderId="4" xfId="0" applyNumberFormat="1" applyFont="1" applyFill="1" applyBorder="1" applyAlignment="1">
      <alignment horizontal="center" vertical="center" wrapText="1"/>
    </xf>
    <xf numFmtId="0" fontId="100" fillId="6" borderId="4" xfId="0" applyFont="1" applyFill="1" applyBorder="1" applyAlignment="1">
      <alignment vertical="center" wrapText="1"/>
    </xf>
    <xf numFmtId="3" fontId="100" fillId="6" borderId="4" xfId="0" applyNumberFormat="1" applyFont="1" applyFill="1" applyBorder="1" applyAlignment="1">
      <alignment horizontal="center" vertical="center" wrapText="1"/>
    </xf>
    <xf numFmtId="4" fontId="100" fillId="6" borderId="4" xfId="0" applyNumberFormat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vertical="center" wrapText="1"/>
    </xf>
    <xf numFmtId="0" fontId="57" fillId="0" borderId="4" xfId="0" applyFont="1" applyBorder="1" applyAlignment="1">
      <alignment horizontal="justify" vertical="center" wrapText="1"/>
    </xf>
    <xf numFmtId="3" fontId="57" fillId="0" borderId="4" xfId="0" applyNumberFormat="1" applyFont="1" applyBorder="1" applyAlignment="1">
      <alignment horizontal="center" vertical="center" wrapText="1"/>
    </xf>
    <xf numFmtId="4" fontId="57" fillId="0" borderId="4" xfId="0" applyNumberFormat="1" applyFont="1" applyBorder="1" applyAlignment="1">
      <alignment horizontal="center" vertical="center" wrapText="1"/>
    </xf>
    <xf numFmtId="0" fontId="106" fillId="0" borderId="0" xfId="0" applyFont="1"/>
    <xf numFmtId="3" fontId="105" fillId="0" borderId="4" xfId="63" applyNumberFormat="1" applyFont="1" applyBorder="1" applyAlignment="1">
      <alignment horizontal="center"/>
    </xf>
    <xf numFmtId="4" fontId="105" fillId="0" borderId="4" xfId="63" applyNumberFormat="1" applyFont="1" applyBorder="1" applyAlignment="1">
      <alignment horizontal="center"/>
    </xf>
    <xf numFmtId="180" fontId="100" fillId="0" borderId="0" xfId="0" applyNumberFormat="1" applyFont="1" applyAlignment="1">
      <alignment horizontal="center" vertical="center"/>
    </xf>
    <xf numFmtId="0" fontId="100" fillId="0" borderId="0" xfId="0" quotePrefix="1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105" fillId="0" borderId="0" xfId="0" applyFont="1" applyAlignment="1">
      <alignment vertical="center"/>
    </xf>
    <xf numFmtId="0" fontId="105" fillId="0" borderId="0" xfId="0" applyFont="1"/>
    <xf numFmtId="0" fontId="105" fillId="0" borderId="0" xfId="0" applyFont="1" applyAlignment="1">
      <alignment horizont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/>
    </xf>
    <xf numFmtId="0" fontId="105" fillId="0" borderId="4" xfId="0" applyFont="1" applyBorder="1" applyAlignment="1">
      <alignment horizontal="center"/>
    </xf>
    <xf numFmtId="0" fontId="105" fillId="0" borderId="4" xfId="0" applyFont="1" applyBorder="1" applyAlignment="1">
      <alignment wrapText="1"/>
    </xf>
    <xf numFmtId="3" fontId="57" fillId="0" borderId="4" xfId="0" applyNumberFormat="1" applyFont="1" applyBorder="1" applyAlignment="1">
      <alignment horizontal="center" vertical="center"/>
    </xf>
    <xf numFmtId="175" fontId="57" fillId="0" borderId="4" xfId="0" applyNumberFormat="1" applyFont="1" applyBorder="1" applyAlignment="1">
      <alignment horizontal="center" vertical="center"/>
    </xf>
    <xf numFmtId="179" fontId="57" fillId="0" borderId="4" xfId="0" applyNumberFormat="1" applyFont="1" applyBorder="1" applyAlignment="1">
      <alignment horizontal="center" vertical="center"/>
    </xf>
    <xf numFmtId="3" fontId="105" fillId="0" borderId="4" xfId="0" applyNumberFormat="1" applyFont="1" applyBorder="1" applyAlignment="1">
      <alignment horizontal="center" vertical="center"/>
    </xf>
    <xf numFmtId="0" fontId="105" fillId="0" borderId="4" xfId="0" applyFont="1" applyBorder="1"/>
    <xf numFmtId="175" fontId="105" fillId="0" borderId="4" xfId="0" applyNumberFormat="1" applyFont="1" applyBorder="1" applyAlignment="1">
      <alignment horizontal="center" vertical="center"/>
    </xf>
    <xf numFmtId="3" fontId="105" fillId="0" borderId="4" xfId="0" applyNumberFormat="1" applyFont="1" applyBorder="1" applyAlignment="1">
      <alignment horizontal="center"/>
    </xf>
    <xf numFmtId="4" fontId="57" fillId="0" borderId="4" xfId="0" applyNumberFormat="1" applyFont="1" applyBorder="1" applyAlignment="1">
      <alignment horizontal="center" vertical="center"/>
    </xf>
    <xf numFmtId="4" fontId="105" fillId="0" borderId="4" xfId="0" applyNumberFormat="1" applyFont="1" applyBorder="1" applyAlignment="1">
      <alignment horizontal="center"/>
    </xf>
    <xf numFmtId="0" fontId="105" fillId="0" borderId="0" xfId="0" applyFont="1" applyBorder="1"/>
    <xf numFmtId="4" fontId="57" fillId="0" borderId="0" xfId="0" applyNumberFormat="1" applyFont="1" applyBorder="1" applyAlignment="1">
      <alignment horizontal="center" vertical="center"/>
    </xf>
    <xf numFmtId="176" fontId="57" fillId="0" borderId="0" xfId="0" applyNumberFormat="1" applyFont="1" applyAlignment="1">
      <alignment horizontal="center" vertical="top"/>
    </xf>
    <xf numFmtId="0" fontId="105" fillId="0" borderId="0" xfId="0" applyFont="1" applyAlignment="1">
      <alignment horizontal="left" vertical="top" wrapText="1"/>
    </xf>
    <xf numFmtId="0" fontId="105" fillId="0" borderId="0" xfId="0" applyFont="1" applyAlignment="1">
      <alignment horizontal="left" wrapText="1"/>
    </xf>
    <xf numFmtId="0" fontId="105" fillId="0" borderId="0" xfId="0" applyFont="1" applyAlignment="1">
      <alignment wrapText="1"/>
    </xf>
    <xf numFmtId="177" fontId="105" fillId="0" borderId="0" xfId="0" applyNumberFormat="1" applyFont="1" applyAlignment="1">
      <alignment horizontal="center"/>
    </xf>
    <xf numFmtId="14" fontId="105" fillId="0" borderId="0" xfId="0" applyNumberFormat="1" applyFont="1" applyBorder="1" applyAlignment="1">
      <alignment horizontal="center" vertical="center" wrapText="1"/>
    </xf>
    <xf numFmtId="2" fontId="105" fillId="0" borderId="0" xfId="0" applyNumberFormat="1" applyFont="1" applyBorder="1" applyAlignment="1">
      <alignment horizontal="center" vertical="center" wrapText="1"/>
    </xf>
    <xf numFmtId="0" fontId="105" fillId="2" borderId="0" xfId="63" applyFont="1" applyFill="1"/>
    <xf numFmtId="0" fontId="105" fillId="2" borderId="10" xfId="63" applyFont="1" applyFill="1" applyBorder="1"/>
    <xf numFmtId="0" fontId="105" fillId="2" borderId="0" xfId="63" applyFont="1" applyFill="1" applyAlignment="1">
      <alignment vertical="center"/>
    </xf>
    <xf numFmtId="0" fontId="45" fillId="2" borderId="10" xfId="63" applyFont="1" applyFill="1" applyBorder="1" applyAlignment="1">
      <alignment horizontal="right"/>
    </xf>
    <xf numFmtId="49" fontId="45" fillId="2" borderId="4" xfId="63" applyNumberFormat="1" applyFont="1" applyFill="1" applyBorder="1" applyAlignment="1">
      <alignment horizontal="center" vertical="center" wrapText="1"/>
    </xf>
    <xf numFmtId="0" fontId="45" fillId="2" borderId="4" xfId="63" applyFont="1" applyFill="1" applyBorder="1" applyAlignment="1">
      <alignment horizontal="center" vertical="center" wrapText="1"/>
    </xf>
    <xf numFmtId="49" fontId="105" fillId="2" borderId="4" xfId="63" applyNumberFormat="1" applyFont="1" applyFill="1" applyBorder="1" applyAlignment="1">
      <alignment horizontal="center" vertical="center" wrapText="1"/>
    </xf>
    <xf numFmtId="0" fontId="105" fillId="0" borderId="4" xfId="0" applyFont="1" applyBorder="1" applyAlignment="1">
      <alignment vertical="center"/>
    </xf>
    <xf numFmtId="0" fontId="105" fillId="2" borderId="4" xfId="63" applyFont="1" applyFill="1" applyBorder="1" applyAlignment="1">
      <alignment horizontal="center" vertical="center" wrapText="1"/>
    </xf>
    <xf numFmtId="3" fontId="105" fillId="2" borderId="4" xfId="63" applyNumberFormat="1" applyFont="1" applyFill="1" applyBorder="1" applyAlignment="1">
      <alignment horizontal="center" vertical="center" wrapText="1"/>
    </xf>
    <xf numFmtId="3" fontId="105" fillId="2" borderId="4" xfId="63" applyNumberFormat="1" applyFont="1" applyFill="1" applyBorder="1" applyAlignment="1">
      <alignment horizontal="center" vertical="center"/>
    </xf>
    <xf numFmtId="3" fontId="45" fillId="2" borderId="4" xfId="63" applyNumberFormat="1" applyFont="1" applyFill="1" applyBorder="1" applyAlignment="1">
      <alignment horizontal="center" vertical="center" wrapText="1"/>
    </xf>
    <xf numFmtId="49" fontId="105" fillId="2" borderId="8" xfId="63" applyNumberFormat="1" applyFont="1" applyFill="1" applyBorder="1" applyAlignment="1">
      <alignment horizontal="left" vertical="center" wrapText="1"/>
    </xf>
    <xf numFmtId="4" fontId="110" fillId="2" borderId="4" xfId="63" applyNumberFormat="1" applyFont="1" applyFill="1" applyBorder="1" applyAlignment="1">
      <alignment horizontal="center" vertical="center" wrapText="1"/>
    </xf>
    <xf numFmtId="3" fontId="105" fillId="2" borderId="4" xfId="63" applyNumberFormat="1" applyFont="1" applyFill="1" applyBorder="1" applyAlignment="1">
      <alignment horizontal="right" vertical="center" wrapText="1"/>
    </xf>
    <xf numFmtId="49" fontId="45" fillId="2" borderId="0" xfId="63" applyNumberFormat="1" applyFont="1" applyFill="1" applyBorder="1" applyAlignment="1">
      <alignment horizontal="right" vertical="center" wrapText="1"/>
    </xf>
    <xf numFmtId="3" fontId="45" fillId="0" borderId="0" xfId="63" applyNumberFormat="1" applyFont="1" applyFill="1" applyBorder="1" applyAlignment="1">
      <alignment horizontal="right" vertical="center" wrapText="1"/>
    </xf>
    <xf numFmtId="3" fontId="45" fillId="0" borderId="0" xfId="63" applyNumberFormat="1" applyFont="1" applyFill="1" applyBorder="1" applyAlignment="1">
      <alignment horizontal="center" vertical="center" wrapText="1"/>
    </xf>
    <xf numFmtId="0" fontId="57" fillId="0" borderId="0" xfId="132" applyFont="1" applyFill="1" applyAlignment="1">
      <alignment horizontal="center"/>
    </xf>
    <xf numFmtId="0" fontId="57" fillId="0" borderId="0" xfId="132" applyFont="1" applyFill="1"/>
    <xf numFmtId="0" fontId="57" fillId="0" borderId="0" xfId="132" applyFont="1" applyFill="1" applyAlignment="1">
      <alignment wrapText="1"/>
    </xf>
    <xf numFmtId="4" fontId="57" fillId="0" borderId="0" xfId="132" applyNumberFormat="1" applyFont="1" applyFill="1"/>
    <xf numFmtId="0" fontId="57" fillId="0" borderId="4" xfId="93" quotePrefix="1" applyFont="1" applyFill="1" applyBorder="1" applyAlignment="1">
      <alignment horizontal="center" vertical="center" wrapText="1"/>
    </xf>
    <xf numFmtId="4" fontId="57" fillId="0" borderId="4" xfId="93" quotePrefix="1" applyNumberFormat="1" applyFont="1" applyFill="1" applyBorder="1" applyAlignment="1">
      <alignment horizontal="center" vertical="center" wrapText="1"/>
    </xf>
    <xf numFmtId="0" fontId="57" fillId="0" borderId="4" xfId="95" quotePrefix="1" applyFont="1" applyFill="1" applyBorder="1" applyAlignment="1">
      <alignment horizontal="left" vertical="center" wrapText="1"/>
    </xf>
    <xf numFmtId="0" fontId="57" fillId="0" borderId="4" xfId="95" quotePrefix="1" applyFont="1" applyFill="1" applyBorder="1" applyAlignment="1">
      <alignment horizontal="left" vertical="top" wrapText="1"/>
    </xf>
    <xf numFmtId="3" fontId="57" fillId="0" borderId="4" xfId="102" quotePrefix="1" applyNumberFormat="1" applyFont="1" applyFill="1" applyBorder="1" applyAlignment="1">
      <alignment horizontal="center" vertical="center" wrapText="1"/>
    </xf>
    <xf numFmtId="165" fontId="57" fillId="0" borderId="4" xfId="102" quotePrefix="1" applyNumberFormat="1" applyFont="1" applyFill="1" applyBorder="1" applyAlignment="1">
      <alignment horizontal="center" vertical="center" wrapText="1"/>
    </xf>
    <xf numFmtId="0" fontId="57" fillId="0" borderId="4" xfId="132" applyFont="1" applyFill="1" applyBorder="1" applyAlignment="1">
      <alignment wrapText="1"/>
    </xf>
    <xf numFmtId="2" fontId="57" fillId="0" borderId="4" xfId="102" quotePrefix="1" applyNumberFormat="1" applyFont="1" applyFill="1" applyBorder="1" applyAlignment="1">
      <alignment horizontal="center" vertical="center" wrapText="1"/>
    </xf>
    <xf numFmtId="0" fontId="57" fillId="0" borderId="4" xfId="102" quotePrefix="1" applyFont="1" applyFill="1" applyBorder="1" applyAlignment="1">
      <alignment horizontal="center" vertical="center" wrapText="1"/>
    </xf>
    <xf numFmtId="0" fontId="57" fillId="0" borderId="4" xfId="102" quotePrefix="1" applyNumberFormat="1" applyFont="1" applyFill="1" applyBorder="1" applyAlignment="1">
      <alignment horizontal="center" vertical="center" wrapText="1"/>
    </xf>
    <xf numFmtId="0" fontId="105" fillId="6" borderId="4" xfId="0" applyFont="1" applyFill="1" applyBorder="1" applyAlignment="1">
      <alignment horizontal="center" wrapText="1"/>
    </xf>
    <xf numFmtId="0" fontId="105" fillId="6" borderId="4" xfId="0" applyFont="1" applyFill="1" applyBorder="1" applyAlignment="1">
      <alignment horizontal="left" vertical="center" wrapText="1"/>
    </xf>
    <xf numFmtId="0" fontId="105" fillId="6" borderId="4" xfId="95" quotePrefix="1" applyFont="1" applyFill="1" applyBorder="1" applyAlignment="1">
      <alignment horizontal="left" vertical="center" wrapText="1"/>
    </xf>
    <xf numFmtId="3" fontId="105" fillId="6" borderId="4" xfId="102" quotePrefix="1" applyNumberFormat="1" applyFont="1" applyFill="1" applyBorder="1" applyAlignment="1">
      <alignment horizontal="center" vertical="center" wrapText="1"/>
    </xf>
    <xf numFmtId="165" fontId="105" fillId="6" borderId="4" xfId="102" quotePrefix="1" applyNumberFormat="1" applyFont="1" applyFill="1" applyBorder="1" applyAlignment="1">
      <alignment horizontal="center" vertical="center" wrapText="1"/>
    </xf>
    <xf numFmtId="0" fontId="105" fillId="6" borderId="4" xfId="132" applyFont="1" applyFill="1" applyBorder="1" applyAlignment="1">
      <alignment vertical="center" wrapText="1"/>
    </xf>
    <xf numFmtId="0" fontId="105" fillId="6" borderId="4" xfId="0" applyFont="1" applyFill="1" applyBorder="1" applyAlignment="1">
      <alignment horizontal="center" vertical="center" wrapText="1"/>
    </xf>
    <xf numFmtId="4" fontId="105" fillId="6" borderId="4" xfId="99" applyNumberFormat="1" applyFont="1" applyFill="1" applyBorder="1" applyAlignment="1">
      <alignment wrapText="1"/>
    </xf>
    <xf numFmtId="0" fontId="105" fillId="0" borderId="4" xfId="0" applyFont="1" applyBorder="1" applyAlignment="1">
      <alignment horizontal="center" wrapText="1"/>
    </xf>
    <xf numFmtId="0" fontId="105" fillId="0" borderId="4" xfId="0" quotePrefix="1" applyFont="1" applyFill="1" applyBorder="1" applyAlignment="1">
      <alignment vertical="center" wrapText="1"/>
    </xf>
    <xf numFmtId="0" fontId="105" fillId="0" borderId="4" xfId="95" quotePrefix="1" applyFont="1" applyFill="1" applyBorder="1" applyAlignment="1">
      <alignment horizontal="left" vertical="center" wrapText="1"/>
    </xf>
    <xf numFmtId="10" fontId="105" fillId="0" borderId="4" xfId="1921" quotePrefix="1" applyNumberFormat="1" applyFont="1" applyFill="1" applyBorder="1" applyAlignment="1">
      <alignment horizontal="center" vertical="center" wrapText="1"/>
    </xf>
    <xf numFmtId="0" fontId="105" fillId="0" borderId="4" xfId="102" quotePrefix="1" applyFont="1" applyFill="1" applyBorder="1" applyAlignment="1">
      <alignment horizontal="left" vertical="center" wrapText="1"/>
    </xf>
    <xf numFmtId="0" fontId="105" fillId="0" borderId="4" xfId="132" applyFont="1" applyFill="1" applyBorder="1" applyAlignment="1">
      <alignment vertical="center" wrapText="1"/>
    </xf>
    <xf numFmtId="0" fontId="105" fillId="0" borderId="4" xfId="132" applyFont="1" applyFill="1" applyBorder="1" applyAlignment="1">
      <alignment horizontal="center" wrapText="1"/>
    </xf>
    <xf numFmtId="0" fontId="105" fillId="0" borderId="4" xfId="0" applyFont="1" applyBorder="1" applyAlignment="1">
      <alignment horizontal="left" vertical="center" wrapText="1"/>
    </xf>
    <xf numFmtId="0" fontId="105" fillId="0" borderId="4" xfId="95" quotePrefix="1" applyFont="1" applyFill="1" applyBorder="1" applyAlignment="1">
      <alignment horizontal="left" vertical="top" wrapText="1"/>
    </xf>
    <xf numFmtId="0" fontId="105" fillId="0" borderId="4" xfId="102" quotePrefix="1" applyFont="1" applyFill="1" applyBorder="1" applyAlignment="1">
      <alignment horizontal="left" vertical="top" wrapText="1"/>
    </xf>
    <xf numFmtId="0" fontId="105" fillId="0" borderId="4" xfId="132" applyFont="1" applyFill="1" applyBorder="1" applyAlignment="1">
      <alignment wrapText="1"/>
    </xf>
    <xf numFmtId="0" fontId="93" fillId="0" borderId="0" xfId="147" applyFont="1" applyAlignment="1">
      <alignment wrapText="1"/>
    </xf>
    <xf numFmtId="0" fontId="105" fillId="0" borderId="4" xfId="102" quotePrefix="1" applyFont="1" applyFill="1" applyBorder="1" applyAlignment="1">
      <alignment horizontal="center" vertical="center" wrapText="1"/>
    </xf>
    <xf numFmtId="3" fontId="105" fillId="0" borderId="4" xfId="132" applyNumberFormat="1" applyFont="1" applyFill="1" applyBorder="1" applyAlignment="1">
      <alignment horizontal="center" vertical="center" wrapText="1"/>
    </xf>
    <xf numFmtId="3" fontId="105" fillId="0" borderId="4" xfId="99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57" fillId="0" borderId="10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3" fillId="0" borderId="0" xfId="147" applyFont="1" applyAlignment="1">
      <alignment wrapText="1"/>
    </xf>
    <xf numFmtId="0" fontId="93" fillId="0" borderId="0" xfId="147" applyFont="1" applyFill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0" fillId="0" borderId="4" xfId="0" quotePrefix="1" applyBorder="1" applyAlignment="1">
      <alignment vertical="center" wrapText="1"/>
    </xf>
    <xf numFmtId="0" fontId="34" fillId="0" borderId="26" xfId="0" quotePrefix="1" applyFont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17" fontId="0" fillId="0" borderId="4" xfId="0" quotePrefix="1" applyNumberFormat="1" applyFill="1" applyBorder="1" applyAlignment="1">
      <alignment horizontal="center" vertical="center"/>
    </xf>
    <xf numFmtId="0" fontId="105" fillId="0" borderId="0" xfId="63" applyFont="1" applyAlignment="1">
      <alignment vertical="top"/>
    </xf>
    <xf numFmtId="0" fontId="105" fillId="4" borderId="0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left" vertical="center" wrapText="1"/>
    </xf>
    <xf numFmtId="49" fontId="105" fillId="0" borderId="0" xfId="0" applyNumberFormat="1" applyFont="1" applyBorder="1" applyAlignment="1">
      <alignment horizontal="center" vertical="center"/>
    </xf>
    <xf numFmtId="178" fontId="105" fillId="0" borderId="0" xfId="0" applyNumberFormat="1" applyFont="1" applyBorder="1" applyAlignment="1">
      <alignment horizontal="center" vertical="center"/>
    </xf>
    <xf numFmtId="0" fontId="105" fillId="0" borderId="0" xfId="0" applyFont="1" applyAlignment="1">
      <alignment horizontal="right" vertical="top"/>
    </xf>
    <xf numFmtId="0" fontId="105" fillId="4" borderId="0" xfId="0" applyFont="1" applyFill="1" applyBorder="1" applyAlignment="1">
      <alignment horizontal="left" vertical="center" wrapText="1"/>
    </xf>
    <xf numFmtId="2" fontId="105" fillId="0" borderId="0" xfId="0" applyNumberFormat="1" applyFont="1" applyBorder="1" applyAlignment="1">
      <alignment horizontal="right" vertical="top"/>
    </xf>
    <xf numFmtId="49" fontId="105" fillId="0" borderId="0" xfId="0" applyNumberFormat="1" applyFont="1" applyBorder="1" applyAlignment="1">
      <alignment vertical="center"/>
    </xf>
    <xf numFmtId="0" fontId="105" fillId="0" borderId="0" xfId="0" applyFont="1" applyFill="1"/>
    <xf numFmtId="0" fontId="112" fillId="0" borderId="4" xfId="0" applyFont="1" applyBorder="1" applyAlignment="1">
      <alignment horizontal="center" vertical="center" wrapText="1"/>
    </xf>
    <xf numFmtId="0" fontId="112" fillId="0" borderId="4" xfId="0" applyFont="1" applyFill="1" applyBorder="1" applyAlignment="1">
      <alignment horizontal="center" vertical="center" textRotation="90" wrapText="1"/>
    </xf>
    <xf numFmtId="0" fontId="113" fillId="0" borderId="4" xfId="0" applyFont="1" applyBorder="1" applyAlignment="1">
      <alignment horizontal="center" vertical="center" wrapText="1"/>
    </xf>
    <xf numFmtId="0" fontId="96" fillId="0" borderId="4" xfId="0" applyFont="1" applyBorder="1" applyAlignment="1">
      <alignment vertical="center" wrapText="1"/>
    </xf>
    <xf numFmtId="0" fontId="96" fillId="0" borderId="7" xfId="0" applyFont="1" applyBorder="1" applyAlignment="1">
      <alignment vertical="center" wrapText="1"/>
    </xf>
    <xf numFmtId="0" fontId="96" fillId="0" borderId="7" xfId="0" applyFont="1" applyBorder="1" applyAlignment="1">
      <alignment horizontal="left" vertical="center" wrapText="1"/>
    </xf>
    <xf numFmtId="10" fontId="105" fillId="0" borderId="0" xfId="0" applyNumberFormat="1" applyFont="1" applyAlignment="1">
      <alignment horizontal="center" vertical="center"/>
    </xf>
    <xf numFmtId="178" fontId="105" fillId="0" borderId="0" xfId="0" applyNumberFormat="1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105" fillId="0" borderId="0" xfId="0" applyFont="1" applyAlignment="1">
      <alignment vertical="center" wrapText="1"/>
    </xf>
    <xf numFmtId="3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0" fontId="93" fillId="0" borderId="0" xfId="147" applyFont="1" applyAlignment="1">
      <alignment wrapText="1"/>
    </xf>
    <xf numFmtId="0" fontId="28" fillId="2" borderId="8" xfId="0" applyFont="1" applyFill="1" applyBorder="1" applyAlignment="1">
      <alignment horizontal="center" vertical="center" wrapText="1"/>
    </xf>
    <xf numFmtId="0" fontId="93" fillId="0" borderId="0" xfId="147" applyFont="1" applyFill="1" applyAlignment="1"/>
    <xf numFmtId="2" fontId="93" fillId="0" borderId="0" xfId="147" applyNumberFormat="1" applyFont="1" applyFill="1" applyAlignment="1">
      <alignment wrapText="1"/>
    </xf>
    <xf numFmtId="0" fontId="0" fillId="0" borderId="4" xfId="0" applyFill="1" applyBorder="1" applyAlignment="1">
      <alignment horizontal="left" vertical="center" wrapText="1"/>
    </xf>
    <xf numFmtId="9" fontId="26" fillId="0" borderId="7" xfId="1" applyNumberFormat="1" applyFont="1" applyBorder="1" applyAlignment="1">
      <alignment horizontal="left"/>
    </xf>
    <xf numFmtId="9" fontId="26" fillId="0" borderId="8" xfId="1" applyNumberFormat="1" applyFont="1" applyBorder="1" applyAlignment="1">
      <alignment horizontal="left"/>
    </xf>
    <xf numFmtId="9" fontId="26" fillId="0" borderId="6" xfId="1" applyNumberFormat="1" applyFont="1" applyBorder="1" applyAlignment="1">
      <alignment horizontal="left"/>
    </xf>
    <xf numFmtId="0" fontId="48" fillId="2" borderId="0" xfId="1" applyFont="1" applyFill="1" applyAlignment="1">
      <alignment horizontal="center" vertical="center" wrapText="1"/>
    </xf>
    <xf numFmtId="0" fontId="42" fillId="0" borderId="0" xfId="1" applyFont="1" applyFill="1" applyAlignment="1"/>
    <xf numFmtId="0" fontId="24" fillId="0" borderId="0" xfId="1" applyFont="1" applyFill="1" applyAlignment="1"/>
    <xf numFmtId="0" fontId="42" fillId="0" borderId="15" xfId="1" applyFont="1" applyFill="1" applyBorder="1" applyAlignment="1">
      <alignment vertical="center"/>
    </xf>
    <xf numFmtId="0" fontId="24" fillId="0" borderId="15" xfId="1" applyFont="1" applyFill="1" applyBorder="1" applyAlignment="1">
      <alignment vertical="center"/>
    </xf>
    <xf numFmtId="0" fontId="41" fillId="0" borderId="4" xfId="1" applyFont="1" applyBorder="1" applyAlignment="1">
      <alignment horizontal="center" vertical="center" wrapText="1"/>
    </xf>
    <xf numFmtId="0" fontId="43" fillId="0" borderId="4" xfId="1" applyFont="1" applyBorder="1" applyAlignment="1">
      <alignment horizontal="center" vertical="center" wrapText="1"/>
    </xf>
    <xf numFmtId="0" fontId="45" fillId="0" borderId="7" xfId="1" applyFont="1" applyBorder="1" applyAlignment="1">
      <alignment horizontal="center"/>
    </xf>
    <xf numFmtId="0" fontId="45" fillId="0" borderId="8" xfId="1" applyFont="1" applyBorder="1" applyAlignment="1">
      <alignment horizontal="center"/>
    </xf>
    <xf numFmtId="0" fontId="45" fillId="0" borderId="6" xfId="1" applyFont="1" applyBorder="1" applyAlignment="1">
      <alignment horizontal="center"/>
    </xf>
    <xf numFmtId="0" fontId="26" fillId="0" borderId="7" xfId="1" applyFont="1" applyFill="1" applyBorder="1" applyAlignment="1">
      <alignment horizontal="left" vertical="center" wrapText="1"/>
    </xf>
    <xf numFmtId="0" fontId="26" fillId="0" borderId="8" xfId="1" applyFont="1" applyFill="1" applyBorder="1" applyAlignment="1">
      <alignment horizontal="left" vertical="center" wrapText="1"/>
    </xf>
    <xf numFmtId="0" fontId="26" fillId="0" borderId="6" xfId="1" applyFont="1" applyFill="1" applyBorder="1" applyAlignment="1">
      <alignment horizontal="left" vertical="center" wrapText="1"/>
    </xf>
    <xf numFmtId="0" fontId="112" fillId="0" borderId="4" xfId="0" applyFont="1" applyBorder="1" applyAlignment="1">
      <alignment horizontal="center" vertical="center" wrapText="1"/>
    </xf>
    <xf numFmtId="0" fontId="112" fillId="0" borderId="4" xfId="0" applyFont="1" applyBorder="1" applyAlignment="1">
      <alignment horizontal="center" vertical="center"/>
    </xf>
    <xf numFmtId="0" fontId="113" fillId="0" borderId="1" xfId="0" applyFont="1" applyBorder="1" applyAlignment="1">
      <alignment horizontal="center" vertical="center" wrapText="1"/>
    </xf>
    <xf numFmtId="0" fontId="113" fillId="0" borderId="3" xfId="0" applyFont="1" applyBorder="1" applyAlignment="1">
      <alignment horizontal="center" vertical="center" wrapText="1"/>
    </xf>
    <xf numFmtId="0" fontId="113" fillId="0" borderId="16" xfId="0" applyFont="1" applyBorder="1" applyAlignment="1">
      <alignment horizontal="center" vertical="center" wrapText="1"/>
    </xf>
    <xf numFmtId="0" fontId="113" fillId="0" borderId="14" xfId="0" applyFont="1" applyBorder="1" applyAlignment="1">
      <alignment horizontal="center" vertical="center" wrapText="1"/>
    </xf>
    <xf numFmtId="0" fontId="111" fillId="0" borderId="0" xfId="0" applyFont="1" applyAlignment="1">
      <alignment horizontal="center" wrapText="1"/>
    </xf>
    <xf numFmtId="0" fontId="111" fillId="0" borderId="10" xfId="0" applyFont="1" applyBorder="1" applyAlignment="1">
      <alignment horizontal="center" wrapText="1"/>
    </xf>
    <xf numFmtId="0" fontId="113" fillId="0" borderId="1" xfId="0" applyFont="1" applyBorder="1" applyAlignment="1">
      <alignment horizontal="center" vertical="center"/>
    </xf>
    <xf numFmtId="0" fontId="113" fillId="0" borderId="2" xfId="0" applyFont="1" applyBorder="1" applyAlignment="1">
      <alignment horizontal="center" vertical="center"/>
    </xf>
    <xf numFmtId="0" fontId="113" fillId="0" borderId="3" xfId="0" applyFont="1" applyBorder="1" applyAlignment="1">
      <alignment horizontal="center" vertical="center"/>
    </xf>
    <xf numFmtId="0" fontId="113" fillId="0" borderId="16" xfId="0" applyFont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0" fontId="113" fillId="0" borderId="14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98" fillId="29" borderId="7" xfId="0" applyFont="1" applyFill="1" applyBorder="1" applyAlignment="1">
      <alignment horizontal="right"/>
    </xf>
    <xf numFmtId="0" fontId="98" fillId="29" borderId="8" xfId="0" applyFont="1" applyFill="1" applyBorder="1" applyAlignment="1">
      <alignment horizontal="right"/>
    </xf>
    <xf numFmtId="0" fontId="98" fillId="29" borderId="6" xfId="0" applyFont="1" applyFill="1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8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top" wrapText="1"/>
    </xf>
    <xf numFmtId="0" fontId="105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wrapText="1"/>
    </xf>
    <xf numFmtId="0" fontId="105" fillId="0" borderId="0" xfId="0" applyFont="1" applyBorder="1" applyAlignment="1">
      <alignment vertical="center" wrapText="1"/>
    </xf>
    <xf numFmtId="49" fontId="57" fillId="0" borderId="0" xfId="0" applyNumberFormat="1" applyFont="1" applyFill="1" applyBorder="1" applyAlignment="1">
      <alignment horizontal="justify" vertical="center" wrapText="1"/>
    </xf>
    <xf numFmtId="0" fontId="100" fillId="0" borderId="0" xfId="0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100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top" wrapText="1"/>
    </xf>
    <xf numFmtId="0" fontId="45" fillId="0" borderId="0" xfId="63" applyFont="1" applyAlignment="1">
      <alignment horizontal="center"/>
    </xf>
    <xf numFmtId="0" fontId="108" fillId="0" borderId="2" xfId="63" applyFont="1" applyBorder="1" applyAlignment="1">
      <alignment horizontal="center"/>
    </xf>
    <xf numFmtId="0" fontId="45" fillId="0" borderId="0" xfId="63" applyFont="1" applyAlignment="1">
      <alignment horizontal="left" vertical="center" wrapText="1"/>
    </xf>
    <xf numFmtId="0" fontId="45" fillId="0" borderId="0" xfId="63" applyFont="1" applyFill="1" applyAlignment="1">
      <alignment horizontal="left" vertical="center" wrapText="1"/>
    </xf>
    <xf numFmtId="49" fontId="105" fillId="0" borderId="0" xfId="63" applyNumberFormat="1" applyFont="1" applyAlignment="1">
      <alignment horizontal="left" vertical="center" wrapText="1"/>
    </xf>
    <xf numFmtId="49" fontId="105" fillId="0" borderId="0" xfId="63" applyNumberFormat="1" applyFont="1" applyAlignment="1">
      <alignment horizontal="left" wrapText="1"/>
    </xf>
    <xf numFmtId="0" fontId="45" fillId="0" borderId="0" xfId="63" applyFont="1" applyAlignment="1">
      <alignment horizontal="left" wrapText="1"/>
    </xf>
    <xf numFmtId="49" fontId="94" fillId="2" borderId="0" xfId="63" applyNumberFormat="1" applyFont="1" applyFill="1" applyBorder="1" applyAlignment="1">
      <alignment horizontal="left" vertical="center" wrapText="1"/>
    </xf>
    <xf numFmtId="0" fontId="100" fillId="0" borderId="0" xfId="0" applyFont="1" applyAlignment="1">
      <alignment horizontal="center" vertical="center"/>
    </xf>
    <xf numFmtId="0" fontId="100" fillId="0" borderId="0" xfId="0" quotePrefix="1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57" fillId="6" borderId="4" xfId="0" applyFont="1" applyFill="1" applyBorder="1" applyAlignment="1">
      <alignment horizontal="center" vertical="center" wrapText="1"/>
    </xf>
    <xf numFmtId="0" fontId="57" fillId="6" borderId="5" xfId="0" applyFont="1" applyFill="1" applyBorder="1" applyAlignment="1">
      <alignment horizontal="center" vertical="center" wrapText="1"/>
    </xf>
    <xf numFmtId="0" fontId="57" fillId="6" borderId="9" xfId="0" applyFont="1" applyFill="1" applyBorder="1" applyAlignment="1">
      <alignment horizontal="center" vertical="center" wrapText="1"/>
    </xf>
    <xf numFmtId="0" fontId="57" fillId="6" borderId="11" xfId="0" applyFont="1" applyFill="1" applyBorder="1" applyAlignment="1">
      <alignment horizontal="center" vertical="center" wrapText="1"/>
    </xf>
    <xf numFmtId="0" fontId="57" fillId="6" borderId="1" xfId="0" applyFont="1" applyFill="1" applyBorder="1" applyAlignment="1">
      <alignment horizontal="center" vertical="center" wrapText="1"/>
    </xf>
    <xf numFmtId="0" fontId="57" fillId="6" borderId="2" xfId="0" applyFont="1" applyFill="1" applyBorder="1" applyAlignment="1">
      <alignment horizontal="center" vertical="center" wrapText="1"/>
    </xf>
    <xf numFmtId="0" fontId="57" fillId="6" borderId="3" xfId="0" applyFont="1" applyFill="1" applyBorder="1" applyAlignment="1">
      <alignment horizontal="center" vertical="center" wrapText="1"/>
    </xf>
    <xf numFmtId="0" fontId="57" fillId="6" borderId="16" xfId="0" applyFont="1" applyFill="1" applyBorder="1" applyAlignment="1">
      <alignment horizontal="center" vertical="center" wrapText="1"/>
    </xf>
    <xf numFmtId="0" fontId="57" fillId="6" borderId="10" xfId="0" applyFont="1" applyFill="1" applyBorder="1" applyAlignment="1">
      <alignment horizontal="center" vertical="center" wrapText="1"/>
    </xf>
    <xf numFmtId="0" fontId="57" fillId="6" borderId="14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 vertical="center" wrapText="1"/>
    </xf>
    <xf numFmtId="0" fontId="97" fillId="0" borderId="0" xfId="0" applyFont="1" applyAlignment="1">
      <alignment horizontal="center"/>
    </xf>
    <xf numFmtId="0" fontId="105" fillId="0" borderId="0" xfId="0" applyFont="1" applyAlignment="1">
      <alignment horizontal="left" wrapText="1"/>
    </xf>
    <xf numFmtId="0" fontId="99" fillId="0" borderId="0" xfId="0" applyFont="1" applyAlignment="1">
      <alignment horizontal="left" wrapText="1"/>
    </xf>
    <xf numFmtId="0" fontId="107" fillId="0" borderId="0" xfId="0" applyFont="1" applyAlignment="1">
      <alignment horizontal="left" vertical="center" wrapText="1"/>
    </xf>
    <xf numFmtId="0" fontId="105" fillId="4" borderId="0" xfId="0" applyFont="1" applyFill="1" applyBorder="1" applyAlignment="1">
      <alignment horizontal="left" vertical="center" wrapText="1"/>
    </xf>
    <xf numFmtId="0" fontId="105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5" fillId="0" borderId="0" xfId="0" quotePrefix="1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93" fillId="0" borderId="4" xfId="0" applyFont="1" applyBorder="1" applyAlignment="1">
      <alignment horizontal="left"/>
    </xf>
    <xf numFmtId="0" fontId="93" fillId="0" borderId="7" xfId="0" applyFont="1" applyBorder="1" applyAlignment="1">
      <alignment horizontal="left"/>
    </xf>
    <xf numFmtId="0" fontId="93" fillId="0" borderId="8" xfId="0" applyFont="1" applyBorder="1" applyAlignment="1">
      <alignment horizontal="left"/>
    </xf>
    <xf numFmtId="0" fontId="93" fillId="0" borderId="6" xfId="0" applyFont="1" applyBorder="1" applyAlignment="1">
      <alignment horizontal="left"/>
    </xf>
    <xf numFmtId="0" fontId="50" fillId="0" borderId="7" xfId="0" applyFont="1" applyBorder="1" applyAlignment="1">
      <alignment horizontal="left"/>
    </xf>
    <xf numFmtId="0" fontId="50" fillId="0" borderId="8" xfId="0" applyFont="1" applyBorder="1" applyAlignment="1">
      <alignment horizontal="left"/>
    </xf>
    <xf numFmtId="0" fontId="50" fillId="0" borderId="6" xfId="0" applyFont="1" applyBorder="1" applyAlignment="1">
      <alignment horizontal="left"/>
    </xf>
    <xf numFmtId="0" fontId="96" fillId="6" borderId="4" xfId="0" applyFont="1" applyFill="1" applyBorder="1" applyAlignment="1">
      <alignment horizontal="center" vertical="center"/>
    </xf>
    <xf numFmtId="0" fontId="93" fillId="6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/>
    </xf>
    <xf numFmtId="0" fontId="45" fillId="2" borderId="0" xfId="63" applyFont="1" applyFill="1" applyAlignment="1">
      <alignment horizontal="center" vertical="center" wrapText="1"/>
    </xf>
    <xf numFmtId="0" fontId="105" fillId="2" borderId="0" xfId="63" applyFont="1" applyFill="1" applyAlignment="1">
      <alignment horizontal="left" vertical="top" wrapText="1"/>
    </xf>
    <xf numFmtId="0" fontId="105" fillId="2" borderId="0" xfId="63" applyFont="1" applyFill="1" applyAlignment="1">
      <alignment horizontal="left" vertical="top"/>
    </xf>
    <xf numFmtId="0" fontId="45" fillId="2" borderId="0" xfId="63" applyFont="1" applyFill="1" applyAlignment="1">
      <alignment horizontal="left" vertical="center" wrapText="1"/>
    </xf>
    <xf numFmtId="0" fontId="100" fillId="2" borderId="0" xfId="0" applyFont="1" applyFill="1" applyAlignment="1">
      <alignment horizontal="left" vertical="center"/>
    </xf>
    <xf numFmtId="0" fontId="105" fillId="2" borderId="0" xfId="63" applyFont="1" applyFill="1" applyAlignment="1">
      <alignment horizontal="left" vertical="center" wrapText="1"/>
    </xf>
    <xf numFmtId="0" fontId="45" fillId="2" borderId="0" xfId="63" applyFont="1" applyFill="1" applyAlignment="1">
      <alignment horizontal="left" vertical="top" wrapText="1"/>
    </xf>
    <xf numFmtId="0" fontId="26" fillId="2" borderId="5" xfId="63" applyFont="1" applyFill="1" applyBorder="1" applyAlignment="1">
      <alignment horizontal="center"/>
    </xf>
    <xf numFmtId="0" fontId="26" fillId="2" borderId="11" xfId="63" applyFont="1" applyFill="1" applyBorder="1" applyAlignment="1">
      <alignment horizontal="center"/>
    </xf>
    <xf numFmtId="49" fontId="45" fillId="2" borderId="5" xfId="63" applyNumberFormat="1" applyFont="1" applyFill="1" applyBorder="1" applyAlignment="1">
      <alignment horizontal="center" vertical="center" wrapText="1"/>
    </xf>
    <xf numFmtId="49" fontId="45" fillId="2" borderId="9" xfId="63" applyNumberFormat="1" applyFont="1" applyFill="1" applyBorder="1" applyAlignment="1">
      <alignment horizontal="center" vertical="center" wrapText="1"/>
    </xf>
    <xf numFmtId="0" fontId="45" fillId="2" borderId="4" xfId="63" applyFont="1" applyFill="1" applyBorder="1" applyAlignment="1">
      <alignment horizontal="center"/>
    </xf>
    <xf numFmtId="49" fontId="45" fillId="2" borderId="7" xfId="63" applyNumberFormat="1" applyFont="1" applyFill="1" applyBorder="1" applyAlignment="1">
      <alignment horizontal="right" vertical="center" wrapText="1"/>
    </xf>
    <xf numFmtId="49" fontId="45" fillId="2" borderId="8" xfId="63" applyNumberFormat="1" applyFont="1" applyFill="1" applyBorder="1" applyAlignment="1">
      <alignment horizontal="right" vertical="center" wrapText="1"/>
    </xf>
    <xf numFmtId="49" fontId="45" fillId="2" borderId="6" xfId="63" applyNumberFormat="1" applyFont="1" applyFill="1" applyBorder="1" applyAlignment="1">
      <alignment horizontal="right" vertical="center" wrapText="1"/>
    </xf>
    <xf numFmtId="0" fontId="45" fillId="2" borderId="7" xfId="63" applyFont="1" applyFill="1" applyBorder="1" applyAlignment="1">
      <alignment horizontal="center" vertical="center" wrapText="1"/>
    </xf>
    <xf numFmtId="0" fontId="45" fillId="2" borderId="8" xfId="63" applyFont="1" applyFill="1" applyBorder="1" applyAlignment="1">
      <alignment horizontal="center" vertical="center" wrapText="1"/>
    </xf>
    <xf numFmtId="0" fontId="45" fillId="2" borderId="1" xfId="63" applyFont="1" applyFill="1" applyBorder="1" applyAlignment="1">
      <alignment horizontal="center" vertical="center" wrapText="1"/>
    </xf>
    <xf numFmtId="0" fontId="45" fillId="2" borderId="2" xfId="63" applyFont="1" applyFill="1" applyBorder="1" applyAlignment="1">
      <alignment horizontal="center" vertical="center" wrapText="1"/>
    </xf>
    <xf numFmtId="0" fontId="45" fillId="2" borderId="3" xfId="63" applyFont="1" applyFill="1" applyBorder="1" applyAlignment="1">
      <alignment horizontal="center" vertical="center" wrapText="1"/>
    </xf>
    <xf numFmtId="49" fontId="45" fillId="2" borderId="11" xfId="63" applyNumberFormat="1" applyFont="1" applyFill="1" applyBorder="1" applyAlignment="1">
      <alignment horizontal="center" vertical="center" wrapText="1"/>
    </xf>
    <xf numFmtId="0" fontId="26" fillId="6" borderId="0" xfId="63" applyFont="1" applyFill="1" applyAlignment="1">
      <alignment horizontal="center" wrapText="1"/>
    </xf>
    <xf numFmtId="0" fontId="28" fillId="2" borderId="1" xfId="105" quotePrefix="1" applyFont="1" applyFill="1" applyBorder="1" applyAlignment="1">
      <alignment horizontal="left" vertical="top" wrapText="1"/>
    </xf>
    <xf numFmtId="0" fontId="28" fillId="2" borderId="3" xfId="105" quotePrefix="1" applyFont="1" applyFill="1" applyBorder="1" applyAlignment="1">
      <alignment horizontal="left" vertical="top" wrapText="1"/>
    </xf>
    <xf numFmtId="0" fontId="28" fillId="2" borderId="4" xfId="0" applyNumberFormat="1" applyFont="1" applyFill="1" applyBorder="1" applyAlignment="1">
      <alignment horizontal="center" vertical="center"/>
    </xf>
    <xf numFmtId="0" fontId="28" fillId="2" borderId="7" xfId="95" quotePrefix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2" fontId="28" fillId="2" borderId="6" xfId="0" applyNumberFormat="1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3" fontId="28" fillId="2" borderId="4" xfId="0" applyNumberFormat="1" applyFont="1" applyFill="1" applyBorder="1" applyAlignment="1">
      <alignment horizontal="center" vertical="center" wrapText="1"/>
    </xf>
    <xf numFmtId="0" fontId="28" fillId="2" borderId="12" xfId="105" quotePrefix="1" applyFont="1" applyFill="1" applyBorder="1" applyAlignment="1">
      <alignment horizontal="left" vertical="top" wrapText="1"/>
    </xf>
    <xf numFmtId="0" fontId="28" fillId="2" borderId="13" xfId="105" quotePrefix="1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center" wrapText="1"/>
    </xf>
    <xf numFmtId="0" fontId="28" fillId="2" borderId="13" xfId="0" applyFont="1" applyFill="1" applyBorder="1" applyAlignment="1">
      <alignment horizontal="left" vertical="center" wrapText="1"/>
    </xf>
    <xf numFmtId="0" fontId="28" fillId="2" borderId="16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 wrapText="1"/>
    </xf>
    <xf numFmtId="0" fontId="28" fillId="2" borderId="5" xfId="0" applyNumberFormat="1" applyFont="1" applyFill="1" applyBorder="1" applyAlignment="1">
      <alignment horizontal="center" vertical="center"/>
    </xf>
    <xf numFmtId="0" fontId="28" fillId="2" borderId="9" xfId="0" applyNumberFormat="1" applyFont="1" applyFill="1" applyBorder="1" applyAlignment="1">
      <alignment horizontal="center" vertical="center"/>
    </xf>
    <xf numFmtId="0" fontId="28" fillId="2" borderId="11" xfId="0" applyNumberFormat="1" applyFont="1" applyFill="1" applyBorder="1" applyAlignment="1">
      <alignment horizontal="center" vertical="center"/>
    </xf>
    <xf numFmtId="0" fontId="28" fillId="2" borderId="9" xfId="95" quotePrefix="1" applyFont="1" applyFill="1" applyBorder="1" applyAlignment="1">
      <alignment horizontal="center" vertical="center" wrapText="1"/>
    </xf>
    <xf numFmtId="0" fontId="28" fillId="2" borderId="11" xfId="95" quotePrefix="1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9" xfId="0" applyNumberFormat="1" applyFont="1" applyFill="1" applyBorder="1" applyAlignment="1">
      <alignment horizontal="center" vertical="center" wrapText="1"/>
    </xf>
    <xf numFmtId="2" fontId="28" fillId="2" borderId="1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3" fontId="28" fillId="2" borderId="9" xfId="0" applyNumberFormat="1" applyFont="1" applyFill="1" applyBorder="1" applyAlignment="1">
      <alignment horizontal="center" vertical="center" wrapText="1"/>
    </xf>
    <xf numFmtId="3" fontId="28" fillId="2" borderId="11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2" xfId="102" quotePrefix="1" applyFont="1" applyFill="1" applyBorder="1" applyAlignment="1">
      <alignment horizontal="left" vertical="top" wrapText="1"/>
    </xf>
    <xf numFmtId="0" fontId="28" fillId="0" borderId="13" xfId="102" quotePrefix="1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2" borderId="1" xfId="106" quotePrefix="1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wrapText="1"/>
    </xf>
    <xf numFmtId="0" fontId="28" fillId="2" borderId="12" xfId="102" quotePrefix="1" applyFont="1" applyFill="1" applyBorder="1" applyAlignment="1">
      <alignment horizontal="left" vertical="top" wrapText="1"/>
    </xf>
    <xf numFmtId="0" fontId="28" fillId="2" borderId="13" xfId="0" applyFont="1" applyFill="1" applyBorder="1" applyAlignment="1">
      <alignment wrapText="1"/>
    </xf>
    <xf numFmtId="0" fontId="28" fillId="2" borderId="16" xfId="102" quotePrefix="1" applyFont="1" applyFill="1" applyBorder="1" applyAlignment="1">
      <alignment horizontal="left" vertical="top" wrapText="1"/>
    </xf>
    <xf numFmtId="0" fontId="28" fillId="2" borderId="14" xfId="0" applyFont="1" applyFill="1" applyBorder="1" applyAlignment="1">
      <alignment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2" borderId="5" xfId="141" quotePrefix="1" applyFont="1" applyFill="1" applyBorder="1" applyAlignment="1">
      <alignment horizontal="center" vertical="center" wrapText="1"/>
    </xf>
    <xf numFmtId="0" fontId="28" fillId="2" borderId="9" xfId="147" applyFont="1" applyFill="1" applyBorder="1" applyAlignment="1">
      <alignment horizontal="center" wrapText="1"/>
    </xf>
    <xf numFmtId="0" fontId="28" fillId="2" borderId="11" xfId="147" applyFont="1" applyFill="1" applyBorder="1" applyAlignment="1">
      <alignment horizontal="center" wrapText="1"/>
    </xf>
    <xf numFmtId="3" fontId="28" fillId="2" borderId="5" xfId="0" applyNumberFormat="1" applyFont="1" applyFill="1" applyBorder="1" applyAlignment="1">
      <alignment horizontal="center" vertical="center" wrapText="1"/>
    </xf>
    <xf numFmtId="0" fontId="28" fillId="2" borderId="5" xfId="141" quotePrefix="1" applyNumberFormat="1" applyFont="1" applyFill="1" applyBorder="1" applyAlignment="1">
      <alignment horizontal="center" vertical="center" wrapText="1"/>
    </xf>
    <xf numFmtId="0" fontId="28" fillId="2" borderId="9" xfId="147" applyNumberFormat="1" applyFont="1" applyFill="1" applyBorder="1" applyAlignment="1">
      <alignment horizontal="center" wrapText="1"/>
    </xf>
    <xf numFmtId="0" fontId="28" fillId="2" borderId="11" xfId="147" applyNumberFormat="1" applyFont="1" applyFill="1" applyBorder="1" applyAlignment="1">
      <alignment horizontal="center" wrapText="1"/>
    </xf>
    <xf numFmtId="0" fontId="28" fillId="2" borderId="1" xfId="141" quotePrefix="1" applyFont="1" applyFill="1" applyBorder="1" applyAlignment="1">
      <alignment horizontal="center" vertical="center" wrapText="1"/>
    </xf>
    <xf numFmtId="0" fontId="28" fillId="2" borderId="2" xfId="141" quotePrefix="1" applyFont="1" applyFill="1" applyBorder="1" applyAlignment="1">
      <alignment horizontal="center" vertical="center" wrapText="1"/>
    </xf>
    <xf numFmtId="0" fontId="28" fillId="2" borderId="3" xfId="141" quotePrefix="1" applyFont="1" applyFill="1" applyBorder="1" applyAlignment="1">
      <alignment horizontal="center" vertical="center" wrapText="1"/>
    </xf>
    <xf numFmtId="0" fontId="28" fillId="2" borderId="12" xfId="141" quotePrefix="1" applyFont="1" applyFill="1" applyBorder="1" applyAlignment="1">
      <alignment horizontal="center" vertical="center" wrapText="1"/>
    </xf>
    <xf numFmtId="0" fontId="28" fillId="2" borderId="0" xfId="141" quotePrefix="1" applyFont="1" applyFill="1" applyBorder="1" applyAlignment="1">
      <alignment horizontal="center" vertical="center" wrapText="1"/>
    </xf>
    <xf numFmtId="0" fontId="28" fillId="2" borderId="13" xfId="141" quotePrefix="1" applyFont="1" applyFill="1" applyBorder="1" applyAlignment="1">
      <alignment horizontal="center" vertical="center" wrapText="1"/>
    </xf>
    <xf numFmtId="0" fontId="28" fillId="2" borderId="16" xfId="141" quotePrefix="1" applyFont="1" applyFill="1" applyBorder="1" applyAlignment="1">
      <alignment horizontal="center" vertical="center" wrapText="1"/>
    </xf>
    <xf numFmtId="0" fontId="28" fillId="2" borderId="10" xfId="141" quotePrefix="1" applyFont="1" applyFill="1" applyBorder="1" applyAlignment="1">
      <alignment horizontal="center" vertical="center" wrapText="1"/>
    </xf>
    <xf numFmtId="0" fontId="28" fillId="2" borderId="14" xfId="141" quotePrefix="1" applyFont="1" applyFill="1" applyBorder="1" applyAlignment="1">
      <alignment horizontal="center" vertical="center" wrapText="1"/>
    </xf>
    <xf numFmtId="3" fontId="28" fillId="2" borderId="5" xfId="147" applyNumberFormat="1" applyFont="1" applyFill="1" applyBorder="1" applyAlignment="1">
      <alignment horizontal="center" vertical="center" wrapText="1"/>
    </xf>
    <xf numFmtId="3" fontId="28" fillId="2" borderId="9" xfId="147" applyNumberFormat="1" applyFont="1" applyFill="1" applyBorder="1" applyAlignment="1">
      <alignment horizontal="center" vertical="center" wrapText="1"/>
    </xf>
    <xf numFmtId="3" fontId="28" fillId="2" borderId="11" xfId="147" applyNumberFormat="1" applyFont="1" applyFill="1" applyBorder="1" applyAlignment="1">
      <alignment horizontal="center" vertical="center" wrapText="1"/>
    </xf>
    <xf numFmtId="0" fontId="28" fillId="2" borderId="16" xfId="138" quotePrefix="1" applyFont="1" applyFill="1" applyBorder="1" applyAlignment="1">
      <alignment horizontal="left" vertical="top" wrapText="1"/>
    </xf>
    <xf numFmtId="0" fontId="28" fillId="2" borderId="14" xfId="147" applyFont="1" applyFill="1" applyBorder="1" applyAlignment="1">
      <alignment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2" borderId="12" xfId="142" quotePrefix="1" applyFont="1" applyFill="1" applyBorder="1" applyAlignment="1">
      <alignment horizontal="left" vertical="top" wrapText="1"/>
    </xf>
    <xf numFmtId="0" fontId="28" fillId="2" borderId="13" xfId="147" applyFont="1" applyFill="1" applyBorder="1" applyAlignment="1">
      <alignment wrapText="1"/>
    </xf>
    <xf numFmtId="0" fontId="28" fillId="2" borderId="12" xfId="138" quotePrefix="1" applyFont="1" applyFill="1" applyBorder="1" applyAlignment="1">
      <alignment horizontal="left" vertical="top" wrapText="1"/>
    </xf>
    <xf numFmtId="0" fontId="28" fillId="2" borderId="1" xfId="147" applyFont="1" applyFill="1" applyBorder="1" applyAlignment="1">
      <alignment horizontal="center" vertical="center" wrapText="1"/>
    </xf>
    <xf numFmtId="0" fontId="28" fillId="2" borderId="2" xfId="147" applyFont="1" applyFill="1" applyBorder="1" applyAlignment="1">
      <alignment horizontal="center" vertical="center" wrapText="1"/>
    </xf>
    <xf numFmtId="0" fontId="28" fillId="2" borderId="3" xfId="147" applyFont="1" applyFill="1" applyBorder="1" applyAlignment="1">
      <alignment horizontal="center" vertical="center" wrapText="1"/>
    </xf>
    <xf numFmtId="0" fontId="28" fillId="2" borderId="12" xfId="147" applyFont="1" applyFill="1" applyBorder="1" applyAlignment="1">
      <alignment horizontal="center" vertical="center" wrapText="1"/>
    </xf>
    <xf numFmtId="0" fontId="28" fillId="2" borderId="0" xfId="147" applyFont="1" applyFill="1" applyBorder="1" applyAlignment="1">
      <alignment horizontal="center" vertical="center" wrapText="1"/>
    </xf>
    <xf numFmtId="0" fontId="28" fillId="2" borderId="13" xfId="147" applyFont="1" applyFill="1" applyBorder="1" applyAlignment="1">
      <alignment horizontal="center" vertical="center" wrapText="1"/>
    </xf>
    <xf numFmtId="0" fontId="28" fillId="2" borderId="16" xfId="147" applyFont="1" applyFill="1" applyBorder="1" applyAlignment="1">
      <alignment horizontal="center" vertical="center" wrapText="1"/>
    </xf>
    <xf numFmtId="0" fontId="28" fillId="2" borderId="10" xfId="147" applyFont="1" applyFill="1" applyBorder="1" applyAlignment="1">
      <alignment horizontal="center" vertical="center" wrapText="1"/>
    </xf>
    <xf numFmtId="0" fontId="28" fillId="2" borderId="14" xfId="147" applyFont="1" applyFill="1" applyBorder="1" applyAlignment="1">
      <alignment horizontal="center" vertical="center" wrapText="1"/>
    </xf>
    <xf numFmtId="0" fontId="94" fillId="0" borderId="5" xfId="147" applyNumberFormat="1" applyFont="1" applyFill="1" applyBorder="1" applyAlignment="1">
      <alignment horizontal="center" vertical="center" wrapText="1"/>
    </xf>
    <xf numFmtId="0" fontId="94" fillId="0" borderId="9" xfId="147" applyNumberFormat="1" applyFont="1" applyFill="1" applyBorder="1" applyAlignment="1">
      <alignment horizontal="center" vertical="center" wrapText="1"/>
    </xf>
    <xf numFmtId="0" fontId="94" fillId="0" borderId="11" xfId="147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" xfId="105" quotePrefix="1" applyFont="1" applyFill="1" applyBorder="1" applyAlignment="1">
      <alignment horizontal="left" vertical="top" wrapText="1"/>
    </xf>
    <xf numFmtId="0" fontId="28" fillId="0" borderId="3" xfId="105" quotePrefix="1" applyFont="1" applyFill="1" applyBorder="1" applyAlignment="1">
      <alignment horizontal="left" vertical="top" wrapText="1"/>
    </xf>
    <xf numFmtId="0" fontId="28" fillId="2" borderId="16" xfId="105" quotePrefix="1" applyFont="1" applyFill="1" applyBorder="1" applyAlignment="1">
      <alignment horizontal="left" vertical="top" wrapText="1"/>
    </xf>
    <xf numFmtId="0" fontId="28" fillId="2" borderId="14" xfId="105" quotePrefix="1" applyFont="1" applyFill="1" applyBorder="1" applyAlignment="1">
      <alignment horizontal="left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5" xfId="0" applyNumberFormat="1" applyFont="1" applyFill="1" applyBorder="1" applyAlignment="1">
      <alignment horizontal="center" vertical="center" wrapText="1"/>
    </xf>
    <xf numFmtId="0" fontId="28" fillId="2" borderId="9" xfId="0" applyNumberFormat="1" applyFont="1" applyFill="1" applyBorder="1" applyAlignment="1">
      <alignment horizontal="center" vertic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0" fontId="28" fillId="0" borderId="16" xfId="105" quotePrefix="1" applyFont="1" applyFill="1" applyBorder="1" applyAlignment="1">
      <alignment horizontal="left" vertical="top" wrapText="1"/>
    </xf>
    <xf numFmtId="0" fontId="28" fillId="0" borderId="14" xfId="105" quotePrefix="1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94" fillId="0" borderId="1" xfId="141" quotePrefix="1" applyFont="1" applyFill="1" applyBorder="1" applyAlignment="1">
      <alignment horizontal="center" vertical="center" wrapText="1"/>
    </xf>
    <xf numFmtId="0" fontId="94" fillId="0" borderId="2" xfId="141" quotePrefix="1" applyFont="1" applyFill="1" applyBorder="1" applyAlignment="1">
      <alignment horizontal="center" vertical="center" wrapText="1"/>
    </xf>
    <xf numFmtId="0" fontId="94" fillId="0" borderId="3" xfId="141" quotePrefix="1" applyFont="1" applyFill="1" applyBorder="1" applyAlignment="1">
      <alignment horizontal="center" vertical="center" wrapText="1"/>
    </xf>
    <xf numFmtId="0" fontId="94" fillId="0" borderId="12" xfId="141" quotePrefix="1" applyFont="1" applyFill="1" applyBorder="1" applyAlignment="1">
      <alignment horizontal="center" vertical="center" wrapText="1"/>
    </xf>
    <xf numFmtId="0" fontId="94" fillId="0" borderId="0" xfId="141" quotePrefix="1" applyFont="1" applyFill="1" applyBorder="1" applyAlignment="1">
      <alignment horizontal="center" vertical="center" wrapText="1"/>
    </xf>
    <xf numFmtId="0" fontId="94" fillId="0" borderId="13" xfId="141" quotePrefix="1" applyFont="1" applyFill="1" applyBorder="1" applyAlignment="1">
      <alignment horizontal="center" vertical="center" wrapText="1"/>
    </xf>
    <xf numFmtId="0" fontId="94" fillId="0" borderId="16" xfId="141" quotePrefix="1" applyFont="1" applyFill="1" applyBorder="1" applyAlignment="1">
      <alignment horizontal="center" vertical="center" wrapText="1"/>
    </xf>
    <xf numFmtId="0" fontId="94" fillId="0" borderId="10" xfId="141" quotePrefix="1" applyFont="1" applyFill="1" applyBorder="1" applyAlignment="1">
      <alignment horizontal="center" vertical="center" wrapText="1"/>
    </xf>
    <xf numFmtId="0" fontId="94" fillId="0" borderId="14" xfId="141" quotePrefix="1" applyFont="1" applyFill="1" applyBorder="1" applyAlignment="1">
      <alignment horizontal="center" vertical="center" wrapText="1"/>
    </xf>
    <xf numFmtId="2" fontId="28" fillId="2" borderId="3" xfId="0" applyNumberFormat="1" applyFont="1" applyFill="1" applyBorder="1" applyAlignment="1">
      <alignment horizontal="center" vertical="center" wrapText="1"/>
    </xf>
    <xf numFmtId="2" fontId="28" fillId="2" borderId="13" xfId="0" applyNumberFormat="1" applyFont="1" applyFill="1" applyBorder="1" applyAlignment="1">
      <alignment horizontal="center" vertical="center" wrapText="1"/>
    </xf>
    <xf numFmtId="2" fontId="28" fillId="2" borderId="14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4" xfId="0" applyNumberFormat="1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3" fontId="94" fillId="0" borderId="5" xfId="143" applyNumberFormat="1" applyFont="1" applyFill="1" applyBorder="1" applyAlignment="1">
      <alignment horizontal="center" vertical="center" wrapText="1"/>
    </xf>
    <xf numFmtId="3" fontId="94" fillId="0" borderId="9" xfId="143" applyNumberFormat="1" applyFont="1" applyFill="1" applyBorder="1" applyAlignment="1">
      <alignment horizontal="center" vertical="center" wrapText="1"/>
    </xf>
    <xf numFmtId="3" fontId="94" fillId="0" borderId="11" xfId="143" applyNumberFormat="1" applyFont="1" applyFill="1" applyBorder="1" applyAlignment="1">
      <alignment horizontal="center" vertical="center" wrapText="1"/>
    </xf>
    <xf numFmtId="0" fontId="28" fillId="0" borderId="12" xfId="105" quotePrefix="1" applyFont="1" applyFill="1" applyBorder="1" applyAlignment="1">
      <alignment horizontal="left" vertical="top" wrapText="1"/>
    </xf>
    <xf numFmtId="0" fontId="28" fillId="0" borderId="13" xfId="105" quotePrefix="1" applyFont="1" applyFill="1" applyBorder="1" applyAlignment="1">
      <alignment horizontal="left" vertical="top" wrapText="1"/>
    </xf>
    <xf numFmtId="0" fontId="28" fillId="2" borderId="5" xfId="147" applyFont="1" applyFill="1" applyBorder="1" applyAlignment="1">
      <alignment horizontal="center" vertical="center" wrapText="1"/>
    </xf>
    <xf numFmtId="0" fontId="28" fillId="2" borderId="9" xfId="147" applyFont="1" applyFill="1" applyBorder="1" applyAlignment="1">
      <alignment horizontal="center" vertical="center" wrapText="1"/>
    </xf>
    <xf numFmtId="0" fontId="28" fillId="2" borderId="11" xfId="147" applyFont="1" applyFill="1" applyBorder="1" applyAlignment="1">
      <alignment horizontal="center" vertical="center" wrapText="1"/>
    </xf>
    <xf numFmtId="0" fontId="96" fillId="0" borderId="0" xfId="137" quotePrefix="1" applyFont="1" applyAlignment="1">
      <alignment horizontal="left" vertical="top" wrapText="1"/>
    </xf>
    <xf numFmtId="0" fontId="93" fillId="0" borderId="0" xfId="147" applyFont="1" applyAlignment="1">
      <alignment wrapText="1"/>
    </xf>
    <xf numFmtId="0" fontId="93" fillId="0" borderId="0" xfId="138" quotePrefix="1" applyFont="1" applyAlignment="1">
      <alignment horizontal="left" vertical="top" wrapText="1"/>
    </xf>
    <xf numFmtId="0" fontId="93" fillId="0" borderId="7" xfId="139" quotePrefix="1" applyFont="1" applyBorder="1" applyAlignment="1">
      <alignment horizontal="center" vertical="center" wrapText="1"/>
    </xf>
    <xf numFmtId="0" fontId="93" fillId="0" borderId="6" xfId="147" applyFont="1" applyBorder="1" applyAlignment="1">
      <alignment wrapText="1"/>
    </xf>
    <xf numFmtId="0" fontId="28" fillId="2" borderId="12" xfId="0" quotePrefix="1" applyFont="1" applyFill="1" applyBorder="1" applyAlignment="1">
      <alignment horizontal="left" vertical="center" wrapText="1"/>
    </xf>
    <xf numFmtId="0" fontId="28" fillId="2" borderId="7" xfId="0" quotePrefix="1" applyFont="1" applyFill="1" applyBorder="1" applyAlignment="1">
      <alignment horizontal="center" vertical="center" wrapText="1"/>
    </xf>
    <xf numFmtId="0" fontId="93" fillId="0" borderId="8" xfId="139" quotePrefix="1" applyFont="1" applyBorder="1" applyAlignment="1">
      <alignment horizontal="center" vertical="center" wrapText="1"/>
    </xf>
    <xf numFmtId="0" fontId="93" fillId="0" borderId="6" xfId="139" quotePrefix="1" applyFont="1" applyBorder="1" applyAlignment="1">
      <alignment horizontal="center" vertical="center" wrapText="1"/>
    </xf>
    <xf numFmtId="3" fontId="28" fillId="2" borderId="5" xfId="0" applyNumberFormat="1" applyFont="1" applyFill="1" applyBorder="1" applyAlignment="1">
      <alignment horizontal="center" vertical="center"/>
    </xf>
    <xf numFmtId="3" fontId="28" fillId="2" borderId="9" xfId="0" applyNumberFormat="1" applyFont="1" applyFill="1" applyBorder="1" applyAlignment="1">
      <alignment horizontal="center" vertical="center"/>
    </xf>
    <xf numFmtId="3" fontId="28" fillId="2" borderId="11" xfId="0" applyNumberFormat="1" applyFont="1" applyFill="1" applyBorder="1" applyAlignment="1">
      <alignment horizontal="center" vertical="center"/>
    </xf>
    <xf numFmtId="0" fontId="93" fillId="0" borderId="0" xfId="86" quotePrefix="1" applyFont="1" applyAlignment="1">
      <alignment horizontal="left" vertical="center" wrapText="1"/>
    </xf>
    <xf numFmtId="0" fontId="96" fillId="0" borderId="0" xfId="131" quotePrefix="1" applyFont="1" applyAlignment="1">
      <alignment horizontal="right" vertical="center" wrapText="1"/>
    </xf>
    <xf numFmtId="0" fontId="96" fillId="0" borderId="0" xfId="135" quotePrefix="1" applyFont="1" applyAlignment="1">
      <alignment horizontal="center" vertical="center" wrapText="1"/>
    </xf>
    <xf numFmtId="0" fontId="93" fillId="0" borderId="0" xfId="136" quotePrefix="1" applyFont="1" applyAlignment="1">
      <alignment horizontal="center" vertical="top" wrapText="1"/>
    </xf>
    <xf numFmtId="0" fontId="96" fillId="0" borderId="0" xfId="138" quotePrefix="1" applyFont="1" applyAlignment="1">
      <alignment horizontal="left" vertical="top" wrapText="1"/>
    </xf>
    <xf numFmtId="0" fontId="96" fillId="0" borderId="0" xfId="147" applyFont="1" applyAlignment="1">
      <alignment wrapText="1"/>
    </xf>
    <xf numFmtId="0" fontId="28" fillId="2" borderId="7" xfId="102" quotePrefix="1" applyFont="1" applyFill="1" applyBorder="1" applyAlignment="1">
      <alignment horizontal="center" vertical="top" wrapText="1"/>
    </xf>
    <xf numFmtId="0" fontId="28" fillId="2" borderId="6" xfId="102" quotePrefix="1" applyFont="1" applyFill="1" applyBorder="1" applyAlignment="1">
      <alignment horizontal="center" vertical="top" wrapText="1"/>
    </xf>
    <xf numFmtId="0" fontId="28" fillId="2" borderId="8" xfId="0" applyFont="1" applyFill="1" applyBorder="1" applyAlignment="1">
      <alignment horizontal="center" wrapText="1"/>
    </xf>
    <xf numFmtId="0" fontId="28" fillId="2" borderId="6" xfId="0" applyFont="1" applyFill="1" applyBorder="1" applyAlignment="1">
      <alignment horizontal="center" wrapText="1"/>
    </xf>
    <xf numFmtId="0" fontId="94" fillId="2" borderId="7" xfId="141" quotePrefix="1" applyFont="1" applyFill="1" applyBorder="1" applyAlignment="1">
      <alignment horizontal="center" vertical="center" wrapText="1"/>
    </xf>
    <xf numFmtId="0" fontId="94" fillId="2" borderId="8" xfId="141" quotePrefix="1" applyFont="1" applyFill="1" applyBorder="1" applyAlignment="1">
      <alignment horizontal="center" vertical="center" wrapText="1"/>
    </xf>
    <xf numFmtId="0" fontId="94" fillId="2" borderId="6" xfId="141" quotePrefix="1" applyFont="1" applyFill="1" applyBorder="1" applyAlignment="1">
      <alignment horizontal="center" vertical="center" wrapText="1"/>
    </xf>
    <xf numFmtId="0" fontId="28" fillId="2" borderId="7" xfId="105" quotePrefix="1" applyFont="1" applyFill="1" applyBorder="1" applyAlignment="1">
      <alignment horizontal="left" vertical="top" wrapText="1"/>
    </xf>
    <xf numFmtId="0" fontId="28" fillId="2" borderId="6" xfId="105" quotePrefix="1" applyFont="1" applyFill="1" applyBorder="1" applyAlignment="1">
      <alignment horizontal="left" vertical="top" wrapText="1"/>
    </xf>
    <xf numFmtId="0" fontId="2" fillId="0" borderId="12" xfId="147" applyFont="1" applyBorder="1" applyAlignment="1">
      <alignment horizontal="center" wrapText="1"/>
    </xf>
    <xf numFmtId="0" fontId="2" fillId="0" borderId="0" xfId="147" applyFont="1" applyAlignment="1">
      <alignment horizontal="center" wrapText="1"/>
    </xf>
    <xf numFmtId="0" fontId="1" fillId="0" borderId="12" xfId="147" applyFont="1" applyBorder="1" applyAlignment="1">
      <alignment horizontal="center" wrapText="1"/>
    </xf>
    <xf numFmtId="3" fontId="28" fillId="2" borderId="5" xfId="143" applyNumberFormat="1" applyFont="1" applyFill="1" applyBorder="1" applyAlignment="1">
      <alignment horizontal="center" vertical="center" wrapText="1"/>
    </xf>
    <xf numFmtId="3" fontId="28" fillId="2" borderId="9" xfId="147" applyNumberFormat="1" applyFont="1" applyFill="1" applyBorder="1" applyAlignment="1">
      <alignment horizontal="center" wrapText="1"/>
    </xf>
    <xf numFmtId="3" fontId="28" fillId="2" borderId="11" xfId="147" applyNumberFormat="1" applyFont="1" applyFill="1" applyBorder="1" applyAlignment="1">
      <alignment horizontal="center" wrapText="1"/>
    </xf>
    <xf numFmtId="0" fontId="28" fillId="2" borderId="5" xfId="141" quotePrefix="1" applyFont="1" applyFill="1" applyBorder="1" applyAlignment="1">
      <alignment horizontal="left" vertical="center" wrapText="1"/>
    </xf>
    <xf numFmtId="0" fontId="28" fillId="2" borderId="9" xfId="147" applyFont="1" applyFill="1" applyBorder="1" applyAlignment="1">
      <alignment wrapText="1"/>
    </xf>
    <xf numFmtId="0" fontId="28" fillId="2" borderId="11" xfId="147" applyFont="1" applyFill="1" applyBorder="1" applyAlignment="1">
      <alignment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3" fontId="28" fillId="0" borderId="5" xfId="0" applyNumberFormat="1" applyFont="1" applyFill="1" applyBorder="1" applyAlignment="1">
      <alignment horizontal="center" vertical="center" wrapText="1"/>
    </xf>
    <xf numFmtId="3" fontId="28" fillId="0" borderId="9" xfId="0" applyNumberFormat="1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8" fillId="2" borderId="4" xfId="147" applyNumberFormat="1" applyFont="1" applyFill="1" applyBorder="1" applyAlignment="1">
      <alignment horizontal="center" vertical="center" wrapText="1"/>
    </xf>
    <xf numFmtId="4" fontId="57" fillId="0" borderId="5" xfId="99" applyNumberFormat="1" applyFont="1" applyFill="1" applyBorder="1" applyAlignment="1">
      <alignment horizontal="center" vertical="center" wrapText="1"/>
    </xf>
    <xf numFmtId="4" fontId="57" fillId="0" borderId="9" xfId="99" applyNumberFormat="1" applyFont="1" applyFill="1" applyBorder="1" applyAlignment="1">
      <alignment horizontal="center" vertical="center" wrapText="1"/>
    </xf>
    <xf numFmtId="4" fontId="57" fillId="0" borderId="11" xfId="99" applyNumberFormat="1" applyFont="1" applyFill="1" applyBorder="1" applyAlignment="1">
      <alignment horizontal="center" vertical="center" wrapText="1"/>
    </xf>
    <xf numFmtId="0" fontId="57" fillId="0" borderId="4" xfId="93" quotePrefix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0" borderId="4" xfId="95" quotePrefix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wrapText="1"/>
    </xf>
    <xf numFmtId="0" fontId="57" fillId="0" borderId="4" xfId="95" quotePrefix="1" applyFont="1" applyFill="1" applyBorder="1" applyAlignment="1">
      <alignment horizontal="left" vertical="center" wrapText="1"/>
    </xf>
    <xf numFmtId="0" fontId="57" fillId="0" borderId="4" xfId="0" applyFont="1" applyBorder="1" applyAlignment="1">
      <alignment horizontal="left" vertical="center" wrapText="1"/>
    </xf>
    <xf numFmtId="0" fontId="57" fillId="0" borderId="7" xfId="106" quotePrefix="1" applyFont="1" applyFill="1" applyBorder="1" applyAlignment="1">
      <alignment horizontal="left" vertical="top" wrapText="1"/>
    </xf>
    <xf numFmtId="0" fontId="57" fillId="0" borderId="8" xfId="106" quotePrefix="1" applyFont="1" applyFill="1" applyBorder="1" applyAlignment="1">
      <alignment horizontal="left" vertical="top" wrapText="1"/>
    </xf>
    <xf numFmtId="0" fontId="57" fillId="0" borderId="6" xfId="106" quotePrefix="1" applyFont="1" applyFill="1" applyBorder="1" applyAlignment="1">
      <alignment horizontal="left" vertical="top" wrapText="1"/>
    </xf>
    <xf numFmtId="0" fontId="57" fillId="0" borderId="5" xfId="95" quotePrefix="1" applyFont="1" applyFill="1" applyBorder="1" applyAlignment="1">
      <alignment horizontal="center" vertical="center" wrapText="1"/>
    </xf>
    <xf numFmtId="0" fontId="57" fillId="0" borderId="9" xfId="95" quotePrefix="1" applyFont="1" applyFill="1" applyBorder="1" applyAlignment="1">
      <alignment horizontal="center" vertical="center" wrapText="1"/>
    </xf>
    <xf numFmtId="0" fontId="57" fillId="0" borderId="11" xfId="95" quotePrefix="1" applyFont="1" applyFill="1" applyBorder="1" applyAlignment="1">
      <alignment horizontal="center" vertical="center" wrapText="1"/>
    </xf>
    <xf numFmtId="0" fontId="100" fillId="0" borderId="0" xfId="92" quotePrefix="1" applyFont="1" applyFill="1" applyAlignment="1">
      <alignment horizontal="left" vertical="center" wrapText="1"/>
    </xf>
    <xf numFmtId="0" fontId="57" fillId="0" borderId="0" xfId="132" applyFont="1" applyFill="1" applyAlignment="1">
      <alignment wrapText="1"/>
    </xf>
    <xf numFmtId="0" fontId="57" fillId="0" borderId="0" xfId="87" quotePrefix="1" applyFont="1" applyFill="1" applyAlignment="1">
      <alignment horizontal="left" vertical="center" wrapText="1"/>
    </xf>
    <xf numFmtId="0" fontId="100" fillId="0" borderId="0" xfId="107" quotePrefix="1" applyFont="1" applyFill="1" applyAlignment="1">
      <alignment horizontal="left" vertical="top" wrapText="1"/>
    </xf>
    <xf numFmtId="0" fontId="57" fillId="0" borderId="0" xfId="102" quotePrefix="1" applyFont="1" applyFill="1" applyAlignment="1">
      <alignment horizontal="left" vertical="top" wrapText="1"/>
    </xf>
    <xf numFmtId="0" fontId="100" fillId="0" borderId="0" xfId="109" quotePrefix="1" applyFont="1" applyFill="1" applyAlignment="1">
      <alignment horizontal="center" vertical="center" wrapText="1"/>
    </xf>
    <xf numFmtId="0" fontId="57" fillId="0" borderId="0" xfId="108" quotePrefix="1" applyFont="1" applyFill="1" applyAlignment="1">
      <alignment horizontal="center" vertical="top" wrapText="1"/>
    </xf>
    <xf numFmtId="0" fontId="100" fillId="0" borderId="0" xfId="102" quotePrefix="1" applyFont="1" applyFill="1" applyAlignment="1">
      <alignment horizontal="left" vertical="top" wrapText="1"/>
    </xf>
    <xf numFmtId="0" fontId="100" fillId="0" borderId="0" xfId="132" applyFont="1" applyFill="1" applyAlignment="1">
      <alignment wrapText="1"/>
    </xf>
  </cellXfs>
  <cellStyles count="1927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3" xfId="91"/>
    <cellStyle name="S6 4" xfId="102"/>
    <cellStyle name="S6 5" xfId="139"/>
    <cellStyle name="S7" xfId="53"/>
    <cellStyle name="S7 2" xfId="5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3" xfId="63"/>
    <cellStyle name="Обычный 3 2" xfId="69"/>
    <cellStyle name="Обычный 3 2 2" xfId="114"/>
    <cellStyle name="Обычный 3 3" xfId="1924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177362</xdr:colOff>
      <xdr:row>6</xdr:row>
      <xdr:rowOff>157656</xdr:rowOff>
    </xdr:from>
    <xdr:to>
      <xdr:col>7</xdr:col>
      <xdr:colOff>275896</xdr:colOff>
      <xdr:row>6</xdr:row>
      <xdr:rowOff>157657</xdr:rowOff>
    </xdr:to>
    <xdr:cxnSp macro="">
      <xdr:nvCxnSpPr>
        <xdr:cNvPr id="6" name="Прямая со стрелко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 flipV="1">
          <a:off x="4187387" y="1976931"/>
          <a:ext cx="727184" cy="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6568</xdr:colOff>
      <xdr:row>7</xdr:row>
      <xdr:rowOff>151086</xdr:rowOff>
    </xdr:from>
    <xdr:to>
      <xdr:col>8</xdr:col>
      <xdr:colOff>164224</xdr:colOff>
      <xdr:row>7</xdr:row>
      <xdr:rowOff>151087</xdr:rowOff>
    </xdr:to>
    <xdr:cxnSp macro="">
      <xdr:nvCxnSpPr>
        <xdr:cNvPr id="11" name="Прямая со стрелкой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4330918" y="2284686"/>
          <a:ext cx="786306" cy="1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257206</xdr:colOff>
      <xdr:row>9</xdr:row>
      <xdr:rowOff>150442</xdr:rowOff>
    </xdr:from>
    <xdr:to>
      <xdr:col>9</xdr:col>
      <xdr:colOff>257613</xdr:colOff>
      <xdr:row>9</xdr:row>
      <xdr:rowOff>151907</xdr:rowOff>
    </xdr:to>
    <xdr:cxnSp macro="">
      <xdr:nvCxnSpPr>
        <xdr:cNvPr id="12" name="Прямая со стрелкой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 flipV="1">
          <a:off x="4895881" y="2912692"/>
          <a:ext cx="629057" cy="1465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105103</xdr:colOff>
      <xdr:row>8</xdr:row>
      <xdr:rowOff>164224</xdr:rowOff>
    </xdr:from>
    <xdr:to>
      <xdr:col>9</xdr:col>
      <xdr:colOff>105103</xdr:colOff>
      <xdr:row>8</xdr:row>
      <xdr:rowOff>164224</xdr:rowOff>
    </xdr:to>
    <xdr:cxnSp macro="">
      <xdr:nvCxnSpPr>
        <xdr:cNvPr id="13" name="Прямая со стрелкой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4743778" y="2612149"/>
          <a:ext cx="628650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</xdr:col>
      <xdr:colOff>304800</xdr:colOff>
      <xdr:row>35</xdr:row>
      <xdr:rowOff>190500</xdr:rowOff>
    </xdr:to>
    <xdr:sp macro="" textlink="">
      <xdr:nvSpPr>
        <xdr:cNvPr id="2" name="AutoShape 9" descr="https://www.garant.ru/files/0/6/1373660/pict0-73760104.png"/>
        <xdr:cNvSpPr>
          <a:spLocks noChangeAspect="1" noChangeArrowheads="1"/>
        </xdr:cNvSpPr>
      </xdr:nvSpPr>
      <xdr:spPr bwMode="auto">
        <a:xfrm>
          <a:off x="666750" y="2891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304800</xdr:colOff>
      <xdr:row>36</xdr:row>
      <xdr:rowOff>190500</xdr:rowOff>
    </xdr:to>
    <xdr:sp macro="" textlink="">
      <xdr:nvSpPr>
        <xdr:cNvPr id="3" name="AutoShape 10" descr="https://www.garant.ru/files/0/6/1373660/pict1-73760104.png"/>
        <xdr:cNvSpPr>
          <a:spLocks noChangeAspect="1" noChangeArrowheads="1"/>
        </xdr:cNvSpPr>
      </xdr:nvSpPr>
      <xdr:spPr bwMode="auto">
        <a:xfrm>
          <a:off x="666750" y="29260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304800</xdr:colOff>
      <xdr:row>37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439270</xdr:colOff>
      <xdr:row>35</xdr:row>
      <xdr:rowOff>0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630270" y="28917900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1,036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630270" y="28917900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12&amp;1,036)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414618</xdr:colOff>
      <xdr:row>36</xdr:row>
      <xdr:rowOff>11207</xdr:rowOff>
    </xdr:from>
    <xdr:ext cx="1051112" cy="3955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4605618" y="29272007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ru-RU" sz="1400" i="1">
                            <a:latin typeface="Cambria Math" panose="02040503050406030204" pitchFamily="18" charset="0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ru-RU" sz="1400" b="0" i="1">
                            <a:latin typeface="Cambria Math"/>
                          </a:rPr>
                          <m:t>1</m:t>
                        </m:r>
                        <m:r>
                          <a:rPr lang="ru-RU" sz="1400" b="0" i="1">
                            <a:latin typeface="Cambria Math"/>
                          </a:rPr>
                          <m:t>2</m:t>
                        </m:r>
                      </m:deg>
                      <m:e>
                        <m:r>
                          <a:rPr lang="ru-RU" sz="1400" b="0" i="1">
                            <a:latin typeface="Cambria Math"/>
                          </a:rPr>
                          <m:t>1,03</m:t>
                        </m:r>
                        <m:r>
                          <a:rPr lang="en-US" sz="1400" b="0" i="1">
                            <a:latin typeface="Cambria Math"/>
                          </a:rPr>
                          <m:t>7</m:t>
                        </m:r>
                      </m:e>
                    </m:rad>
                  </m:oMath>
                </m:oMathPara>
              </a14:m>
              <a:endParaRPr lang="ru-RU" sz="14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4605618" y="29272007"/>
              <a:ext cx="1051112" cy="3955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ru-RU" sz="1400" i="0">
                  <a:latin typeface="Cambria Math"/>
                </a:rPr>
                <a:t>√(</a:t>
              </a:r>
              <a:r>
                <a:rPr lang="ru-RU" sz="1400" b="0" i="0">
                  <a:latin typeface="Cambria Math"/>
                </a:rPr>
                <a:t>12&amp;1,03</a:t>
              </a:r>
              <a:r>
                <a:rPr lang="en-US" sz="1400" b="0" i="0">
                  <a:latin typeface="Cambria Math"/>
                </a:rPr>
                <a:t>7</a:t>
              </a:r>
              <a:r>
                <a:rPr lang="ru-RU" sz="1400" b="0" i="0">
                  <a:latin typeface="Cambria Math"/>
                </a:rPr>
                <a:t>)</a:t>
              </a:r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315451</xdr:colOff>
      <xdr:row>38</xdr:row>
      <xdr:rowOff>381004</xdr:rowOff>
    </xdr:from>
    <xdr:ext cx="2284318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4708157" y="13581533"/>
              <a:ext cx="228431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/>
                <a:t>1</a:t>
              </a:r>
              <a:r>
                <a:rPr lang="ru-RU" sz="1400"/>
                <a:t>*(</a:t>
              </a:r>
              <a:r>
                <a:rPr lang="ru-RU" sz="1400">
                  <a:effectLst/>
                </a:rPr>
                <a:t>1,00303+</a:t>
              </a:r>
              <a14:m>
                <m:oMath xmlns:m="http://schemas.openxmlformats.org/officeDocument/2006/math">
                  <m:sSup>
                    <m:sSupPr>
                      <m:ctrlPr>
                        <a:rPr lang="ru-RU" sz="14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1,00303</m:t>
                      </m:r>
                    </m:e>
                    <m:sup>
                      <m:r>
                        <a:rPr lang="ru-RU" sz="14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p>
                  </m:sSup>
                  <m:r>
                    <a:rPr lang="ru-RU" sz="1400" b="0" i="0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4708157" y="13581533"/>
              <a:ext cx="2284318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400"/>
                <a:t>1</a:t>
              </a:r>
              <a:r>
                <a:rPr lang="ru-RU" sz="1400"/>
                <a:t>*(</a:t>
              </a:r>
              <a:r>
                <a:rPr lang="ru-RU" sz="1400">
                  <a:effectLst/>
                </a:rPr>
                <a:t>1,00303+</a:t>
              </a:r>
              <a:r>
                <a:rPr lang="ru-RU" sz="14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</a:t>
              </a:r>
              <a:r>
                <a:rPr lang="ru-RU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1,00303〗^3)</a:t>
              </a:r>
              <a:r>
                <a:rPr lang="ru-RU" sz="1400">
                  <a:effectLst/>
                </a:rPr>
                <a:t>/2 =</a:t>
              </a:r>
            </a:p>
            <a:p>
              <a:endParaRPr lang="ru-RU" sz="1400"/>
            </a:p>
          </xdr:txBody>
        </xdr:sp>
      </mc:Fallback>
    </mc:AlternateContent>
    <xdr:clientData/>
  </xdr:oneCellAnchor>
  <xdr:oneCellAnchor>
    <xdr:from>
      <xdr:col>2</xdr:col>
      <xdr:colOff>313771</xdr:colOff>
      <xdr:row>39</xdr:row>
      <xdr:rowOff>0</xdr:rowOff>
    </xdr:from>
    <xdr:ext cx="2330817" cy="38099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4706477" y="14220265"/>
              <a:ext cx="2330817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ru-RU" sz="1400" b="0" i="1">
                      <a:latin typeface="Cambria Math"/>
                    </a:rPr>
                    <m:t>1∗0,35+</m:t>
                  </m:r>
                  <m:r>
                    <a:rPr lang="ru-RU" sz="1400" b="0" i="0">
                      <a:latin typeface="Cambria Math"/>
                    </a:rPr>
                    <m:t>1,0</m:t>
                  </m:r>
                  <m:r>
                    <a:rPr lang="en-US" sz="1400" b="0" i="0">
                      <a:latin typeface="Cambria Math"/>
                    </a:rPr>
                    <m:t>0607</m:t>
                  </m:r>
                  <m:r>
                    <a:rPr lang="ru-RU" sz="1400" b="0" i="0">
                      <a:latin typeface="Cambria Math"/>
                    </a:rPr>
                    <m:t>∗0,65</m:t>
                  </m:r>
                </m:oMath>
              </a14:m>
              <a:r>
                <a:rPr lang="ru-RU" sz="1400">
                  <a:effectLst/>
                </a:rPr>
                <a:t> =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4706477" y="14220265"/>
              <a:ext cx="2330817" cy="3809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ru-RU" sz="1400" b="0" i="0">
                  <a:latin typeface="Cambria Math"/>
                </a:rPr>
                <a:t>1∗0,35+1,0</a:t>
              </a:r>
              <a:r>
                <a:rPr lang="en-US" sz="1400" b="0" i="0">
                  <a:latin typeface="Cambria Math"/>
                </a:rPr>
                <a:t>0607</a:t>
              </a:r>
              <a:r>
                <a:rPr lang="ru-RU" sz="1400" b="0" i="0">
                  <a:latin typeface="Cambria Math"/>
                </a:rPr>
                <a:t>∗0,65</a:t>
              </a:r>
              <a:r>
                <a:rPr lang="ru-RU" sz="1400">
                  <a:effectLst/>
                </a:rPr>
                <a:t> =</a:t>
              </a:r>
            </a:p>
          </xdr:txBody>
        </xdr:sp>
      </mc:Fallback>
    </mc:AlternateContent>
    <xdr:clientData/>
  </xdr:oneCellAnchor>
  <xdr:oneCellAnchor>
    <xdr:from>
      <xdr:col>1</xdr:col>
      <xdr:colOff>0</xdr:colOff>
      <xdr:row>37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49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50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409" t="s">
        <v>47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8"/>
    </row>
    <row r="5" spans="1:13" x14ac:dyDescent="0.2">
      <c r="A5" s="410" t="s">
        <v>92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17"/>
    </row>
    <row r="6" spans="1:13" s="93" customFormat="1" ht="26.25" customHeight="1" thickBot="1" x14ac:dyDescent="0.3">
      <c r="A6" s="412" t="s">
        <v>93</v>
      </c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3"/>
      <c r="M6" s="92"/>
    </row>
    <row r="7" spans="1:13" ht="21" customHeight="1" thickTop="1" x14ac:dyDescent="0.2">
      <c r="A7" s="20" t="s">
        <v>51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414" t="s">
        <v>17</v>
      </c>
      <c r="B8" s="414" t="s">
        <v>18</v>
      </c>
      <c r="C8" s="414" t="s">
        <v>19</v>
      </c>
      <c r="D8" s="414" t="s">
        <v>20</v>
      </c>
      <c r="E8" s="414" t="s">
        <v>21</v>
      </c>
      <c r="F8" s="414" t="s">
        <v>22</v>
      </c>
      <c r="G8" s="414"/>
      <c r="H8" s="414"/>
      <c r="I8" s="414"/>
      <c r="J8" s="414"/>
      <c r="K8" s="415"/>
      <c r="L8" s="414" t="s">
        <v>23</v>
      </c>
    </row>
    <row r="9" spans="1:13" ht="18" customHeight="1" x14ac:dyDescent="0.2">
      <c r="A9" s="415"/>
      <c r="B9" s="415"/>
      <c r="C9" s="415"/>
      <c r="D9" s="415"/>
      <c r="E9" s="415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415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416" t="s">
        <v>30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8"/>
    </row>
    <row r="12" spans="1:13" ht="42" customHeight="1" x14ac:dyDescent="0.2">
      <c r="A12" s="26">
        <v>1</v>
      </c>
      <c r="B12" s="27" t="s">
        <v>52</v>
      </c>
      <c r="C12" s="28" t="s">
        <v>53</v>
      </c>
      <c r="D12" s="28">
        <v>0.36</v>
      </c>
      <c r="E12" s="29" t="s">
        <v>54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55</v>
      </c>
      <c r="C13" s="28" t="s">
        <v>37</v>
      </c>
      <c r="D13" s="28">
        <v>0</v>
      </c>
      <c r="E13" s="29" t="s">
        <v>56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57</v>
      </c>
      <c r="C14" s="28" t="s">
        <v>37</v>
      </c>
      <c r="D14" s="28">
        <v>36</v>
      </c>
      <c r="E14" s="29" t="s">
        <v>58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59</v>
      </c>
      <c r="C15" s="28" t="s">
        <v>60</v>
      </c>
      <c r="D15" s="28">
        <v>4845</v>
      </c>
      <c r="E15" s="29" t="s">
        <v>61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77</v>
      </c>
      <c r="C17" s="7"/>
      <c r="D17" s="36">
        <f>L16</f>
        <v>113568.24</v>
      </c>
      <c r="E17" s="4" t="s">
        <v>62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63</v>
      </c>
      <c r="C18" s="7"/>
      <c r="D18" s="36">
        <f>L16</f>
        <v>113568.24</v>
      </c>
      <c r="E18" s="4" t="s">
        <v>64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65</v>
      </c>
      <c r="C19" s="37"/>
      <c r="D19" s="36">
        <f>L16</f>
        <v>113568.24</v>
      </c>
      <c r="E19" s="4" t="s">
        <v>66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416" t="s">
        <v>67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8"/>
      <c r="M22" s="9"/>
    </row>
    <row r="23" spans="1:13" ht="29.25" hidden="1" customHeight="1" x14ac:dyDescent="0.2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68</v>
      </c>
      <c r="C24" s="29"/>
      <c r="D24" s="54">
        <f>L21</f>
        <v>136281.89000000001</v>
      </c>
      <c r="E24" s="55" t="s">
        <v>69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70</v>
      </c>
      <c r="C25" s="29"/>
      <c r="D25" s="54">
        <f>D24+L24</f>
        <v>143095.98000000001</v>
      </c>
      <c r="E25" s="55" t="s">
        <v>71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32</v>
      </c>
      <c r="C26" s="29"/>
      <c r="D26" s="54">
        <f>D24+L24</f>
        <v>143095.98000000001</v>
      </c>
      <c r="E26" s="62" t="s">
        <v>72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40</v>
      </c>
      <c r="C27" s="29"/>
      <c r="D27" s="54">
        <f>L16+L17</f>
        <v>136281.89000000001</v>
      </c>
      <c r="E27" s="55" t="s">
        <v>73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74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419" t="s">
        <v>75</v>
      </c>
      <c r="C32" s="420"/>
      <c r="D32" s="420"/>
      <c r="E32" s="420"/>
      <c r="F32" s="420"/>
      <c r="G32" s="420"/>
      <c r="H32" s="420"/>
      <c r="I32" s="420"/>
      <c r="J32" s="421"/>
      <c r="K32" s="80">
        <v>3.9</v>
      </c>
      <c r="L32" s="81">
        <f>L31*K32</f>
        <v>747819.58</v>
      </c>
    </row>
    <row r="33" spans="1:12" hidden="1" x14ac:dyDescent="0.2">
      <c r="A33" s="79"/>
      <c r="B33" s="419" t="s">
        <v>44</v>
      </c>
      <c r="C33" s="420"/>
      <c r="D33" s="420"/>
      <c r="E33" s="420"/>
      <c r="F33" s="420"/>
      <c r="G33" s="420"/>
      <c r="H33" s="420"/>
      <c r="I33" s="420"/>
      <c r="J33" s="421"/>
      <c r="K33" s="80">
        <v>1</v>
      </c>
      <c r="L33" s="81">
        <f>L32*K33</f>
        <v>747819.58</v>
      </c>
    </row>
    <row r="34" spans="1:12" x14ac:dyDescent="0.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406" t="s">
        <v>76</v>
      </c>
      <c r="C35" s="407"/>
      <c r="D35" s="407"/>
      <c r="E35" s="407"/>
      <c r="F35" s="407"/>
      <c r="G35" s="407"/>
      <c r="H35" s="407"/>
      <c r="I35" s="407"/>
      <c r="J35" s="407"/>
      <c r="K35" s="408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view="pageBreakPreview" topLeftCell="A13" zoomScale="85" zoomScaleNormal="90" zoomScaleSheetLayoutView="85" workbookViewId="0">
      <selection activeCell="G13" sqref="G13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2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298"/>
      <c r="B1" s="298"/>
      <c r="C1" s="298"/>
      <c r="D1" s="298"/>
      <c r="E1" s="298"/>
      <c r="F1" s="298"/>
      <c r="G1" s="298"/>
    </row>
    <row r="2" spans="1:10" ht="15.75" x14ac:dyDescent="0.2">
      <c r="A2" s="507" t="s">
        <v>0</v>
      </c>
      <c r="B2" s="507"/>
      <c r="C2" s="507"/>
      <c r="D2" s="507"/>
      <c r="E2" s="507"/>
      <c r="F2" s="507"/>
      <c r="G2" s="507"/>
    </row>
    <row r="3" spans="1:10" ht="15.75" x14ac:dyDescent="0.2">
      <c r="A3" s="507" t="s">
        <v>6</v>
      </c>
      <c r="B3" s="507"/>
      <c r="C3" s="507"/>
      <c r="D3" s="507"/>
      <c r="E3" s="507"/>
      <c r="F3" s="507"/>
      <c r="G3" s="507"/>
    </row>
    <row r="4" spans="1:10" ht="15.75" x14ac:dyDescent="0.25">
      <c r="A4" s="298"/>
      <c r="B4" s="298"/>
      <c r="C4" s="298"/>
      <c r="D4" s="298"/>
      <c r="E4" s="298"/>
      <c r="F4" s="298"/>
      <c r="G4" s="298"/>
    </row>
    <row r="5" spans="1:10" ht="53.45" customHeight="1" x14ac:dyDescent="0.2">
      <c r="A5" s="508" t="s">
        <v>7</v>
      </c>
      <c r="B5" s="509"/>
      <c r="C5" s="513" t="str">
        <f>'ПД '!C4</f>
        <v>Всесезонный туристско-рекреационный комплекс «Эльбрус», Кабардино-Балкарская Республика.  Открытая плоскостная парковка на 800 машино/мест</v>
      </c>
      <c r="D5" s="513"/>
      <c r="E5" s="513"/>
      <c r="F5" s="513"/>
      <c r="G5" s="513"/>
      <c r="H5" s="15"/>
    </row>
    <row r="6" spans="1:10" s="2" customFormat="1" ht="35.25" customHeight="1" x14ac:dyDescent="0.25">
      <c r="A6" s="512" t="s">
        <v>8</v>
      </c>
      <c r="B6" s="512"/>
      <c r="C6" s="510"/>
      <c r="D6" s="510"/>
      <c r="E6" s="511"/>
      <c r="F6" s="511"/>
      <c r="G6" s="511"/>
    </row>
    <row r="7" spans="1:10" ht="29.25" customHeight="1" x14ac:dyDescent="0.2">
      <c r="A7" s="512" t="s">
        <v>1</v>
      </c>
      <c r="B7" s="512"/>
      <c r="C7" s="510" t="s">
        <v>48</v>
      </c>
      <c r="D7" s="510"/>
      <c r="E7" s="511"/>
      <c r="F7" s="511"/>
      <c r="G7" s="511"/>
    </row>
    <row r="8" spans="1:10" ht="15.75" x14ac:dyDescent="0.25">
      <c r="A8" s="299"/>
      <c r="B8" s="300"/>
      <c r="C8" s="299"/>
      <c r="D8" s="299"/>
      <c r="E8" s="299"/>
      <c r="F8" s="299"/>
      <c r="G8" s="301" t="s">
        <v>5</v>
      </c>
    </row>
    <row r="9" spans="1:10" ht="15.75" x14ac:dyDescent="0.25">
      <c r="A9" s="516" t="s">
        <v>2</v>
      </c>
      <c r="B9" s="516" t="s">
        <v>3</v>
      </c>
      <c r="C9" s="516" t="s">
        <v>9</v>
      </c>
      <c r="D9" s="516" t="s">
        <v>46</v>
      </c>
      <c r="E9" s="518" t="s">
        <v>109</v>
      </c>
      <c r="F9" s="518"/>
      <c r="G9" s="518"/>
      <c r="H9" s="514" t="s">
        <v>103</v>
      </c>
    </row>
    <row r="10" spans="1:10" ht="34.5" customHeight="1" x14ac:dyDescent="0.2">
      <c r="A10" s="517"/>
      <c r="B10" s="517"/>
      <c r="C10" s="517"/>
      <c r="D10" s="527"/>
      <c r="E10" s="302" t="s">
        <v>10</v>
      </c>
      <c r="F10" s="302" t="s">
        <v>11</v>
      </c>
      <c r="G10" s="302" t="s">
        <v>12</v>
      </c>
      <c r="H10" s="515"/>
    </row>
    <row r="11" spans="1:10" ht="15.75" x14ac:dyDescent="0.2">
      <c r="A11" s="303">
        <v>1</v>
      </c>
      <c r="B11" s="303">
        <v>2</v>
      </c>
      <c r="C11" s="303"/>
      <c r="D11" s="303"/>
      <c r="E11" s="303">
        <v>4</v>
      </c>
      <c r="F11" s="303">
        <v>5</v>
      </c>
      <c r="G11" s="303">
        <v>6</v>
      </c>
      <c r="H11" s="94">
        <v>7</v>
      </c>
    </row>
    <row r="12" spans="1:10" ht="15.75" x14ac:dyDescent="0.2">
      <c r="A12" s="524" t="s">
        <v>13</v>
      </c>
      <c r="B12" s="525"/>
      <c r="C12" s="525"/>
      <c r="D12" s="525"/>
      <c r="E12" s="525"/>
      <c r="F12" s="525"/>
      <c r="G12" s="526"/>
      <c r="H12" s="95"/>
    </row>
    <row r="13" spans="1:10" ht="32.25" customHeight="1" x14ac:dyDescent="0.2">
      <c r="A13" s="304" t="s">
        <v>4</v>
      </c>
      <c r="B13" s="305" t="s">
        <v>197</v>
      </c>
      <c r="C13" s="306" t="s">
        <v>124</v>
      </c>
      <c r="D13" s="304" t="s">
        <v>204</v>
      </c>
      <c r="E13" s="283">
        <v>867754</v>
      </c>
      <c r="F13" s="307"/>
      <c r="G13" s="307">
        <f>E13</f>
        <v>867754</v>
      </c>
      <c r="H13" s="95"/>
      <c r="J13" s="217"/>
    </row>
    <row r="14" spans="1:10" s="104" customFormat="1" ht="36.6" customHeight="1" x14ac:dyDescent="0.2">
      <c r="A14" s="304" t="s">
        <v>178</v>
      </c>
      <c r="B14" s="305" t="s">
        <v>198</v>
      </c>
      <c r="C14" s="306" t="s">
        <v>124</v>
      </c>
      <c r="D14" s="304" t="s">
        <v>203</v>
      </c>
      <c r="E14" s="308">
        <v>2749651</v>
      </c>
      <c r="F14" s="308"/>
      <c r="G14" s="308">
        <f>F14+E14</f>
        <v>2749651</v>
      </c>
      <c r="H14" s="95"/>
      <c r="J14" s="217"/>
    </row>
    <row r="15" spans="1:10" s="104" customFormat="1" ht="36.6" customHeight="1" x14ac:dyDescent="0.2">
      <c r="A15" s="304" t="s">
        <v>201</v>
      </c>
      <c r="B15" s="305" t="s">
        <v>367</v>
      </c>
      <c r="C15" s="306" t="s">
        <v>124</v>
      </c>
      <c r="D15" s="304" t="s">
        <v>205</v>
      </c>
      <c r="E15" s="308">
        <v>737283</v>
      </c>
      <c r="F15" s="308"/>
      <c r="G15" s="308">
        <f>F15+E15</f>
        <v>737283</v>
      </c>
      <c r="H15" s="95"/>
      <c r="J15" s="217"/>
    </row>
    <row r="16" spans="1:10" s="104" customFormat="1" ht="36.6" customHeight="1" x14ac:dyDescent="0.2">
      <c r="A16" s="304" t="s">
        <v>202</v>
      </c>
      <c r="B16" s="305" t="s">
        <v>199</v>
      </c>
      <c r="C16" s="306" t="s">
        <v>124</v>
      </c>
      <c r="D16" s="304" t="s">
        <v>206</v>
      </c>
      <c r="E16" s="308">
        <v>697582</v>
      </c>
      <c r="F16" s="308"/>
      <c r="G16" s="308">
        <f>E16</f>
        <v>697582</v>
      </c>
      <c r="H16" s="95"/>
      <c r="J16" s="217"/>
    </row>
    <row r="17" spans="1:10" s="104" customFormat="1" ht="36.6" customHeight="1" x14ac:dyDescent="0.2">
      <c r="A17" s="304" t="s">
        <v>510</v>
      </c>
      <c r="B17" s="305" t="s">
        <v>200</v>
      </c>
      <c r="C17" s="306" t="s">
        <v>124</v>
      </c>
      <c r="D17" s="304" t="s">
        <v>368</v>
      </c>
      <c r="E17" s="308">
        <v>849828</v>
      </c>
      <c r="F17" s="308"/>
      <c r="G17" s="308">
        <f>E17</f>
        <v>849828</v>
      </c>
      <c r="H17" s="95"/>
      <c r="J17" s="217"/>
    </row>
    <row r="18" spans="1:10" s="104" customFormat="1" ht="36.6" customHeight="1" x14ac:dyDescent="0.2">
      <c r="A18" s="304" t="s">
        <v>512</v>
      </c>
      <c r="B18" s="305" t="s">
        <v>529</v>
      </c>
      <c r="C18" s="306" t="s">
        <v>124</v>
      </c>
      <c r="D18" s="304" t="s">
        <v>511</v>
      </c>
      <c r="E18" s="308">
        <v>1165093</v>
      </c>
      <c r="F18" s="308"/>
      <c r="G18" s="308">
        <f>E18</f>
        <v>1165093</v>
      </c>
      <c r="H18" s="95"/>
      <c r="J18" s="217"/>
    </row>
    <row r="19" spans="1:10" ht="25.5" customHeight="1" x14ac:dyDescent="0.2">
      <c r="A19" s="519" t="s">
        <v>14</v>
      </c>
      <c r="B19" s="520"/>
      <c r="C19" s="520"/>
      <c r="D19" s="520"/>
      <c r="E19" s="520"/>
      <c r="F19" s="521"/>
      <c r="G19" s="309">
        <f>SUM(G13:G18)</f>
        <v>7067191</v>
      </c>
      <c r="H19" s="95"/>
      <c r="J19" s="218"/>
    </row>
    <row r="20" spans="1:10" ht="25.5" customHeight="1" x14ac:dyDescent="0.2">
      <c r="A20" s="522" t="s">
        <v>133</v>
      </c>
      <c r="B20" s="523"/>
      <c r="C20" s="523"/>
      <c r="D20" s="523"/>
      <c r="E20" s="523"/>
      <c r="F20" s="523"/>
      <c r="G20" s="523"/>
      <c r="H20" s="95"/>
    </row>
    <row r="21" spans="1:10" s="104" customFormat="1" ht="29.25" customHeight="1" x14ac:dyDescent="0.2">
      <c r="A21" s="304" t="s">
        <v>140</v>
      </c>
      <c r="B21" s="310" t="s">
        <v>81</v>
      </c>
      <c r="C21" s="306"/>
      <c r="D21" s="304" t="s">
        <v>125</v>
      </c>
      <c r="E21" s="311"/>
      <c r="F21" s="307">
        <f>'ПД '!J152</f>
        <v>7963622</v>
      </c>
      <c r="G21" s="307">
        <f t="shared" ref="G21" si="0">F21</f>
        <v>7963622</v>
      </c>
      <c r="H21" s="95"/>
    </row>
    <row r="22" spans="1:10" s="104" customFormat="1" ht="29.25" customHeight="1" x14ac:dyDescent="0.2">
      <c r="A22" s="519" t="s">
        <v>15</v>
      </c>
      <c r="B22" s="520"/>
      <c r="C22" s="520"/>
      <c r="D22" s="520"/>
      <c r="E22" s="520"/>
      <c r="F22" s="521"/>
      <c r="G22" s="309">
        <f>G21</f>
        <v>7963622</v>
      </c>
      <c r="H22" s="95"/>
    </row>
    <row r="23" spans="1:10" s="104" customFormat="1" ht="29.25" customHeight="1" x14ac:dyDescent="0.2">
      <c r="A23" s="522" t="s">
        <v>167</v>
      </c>
      <c r="B23" s="523"/>
      <c r="C23" s="523"/>
      <c r="D23" s="523"/>
      <c r="E23" s="523"/>
      <c r="F23" s="523"/>
      <c r="G23" s="523"/>
      <c r="H23" s="95"/>
    </row>
    <row r="24" spans="1:10" ht="62.25" customHeight="1" x14ac:dyDescent="0.2">
      <c r="A24" s="304" t="s">
        <v>126</v>
      </c>
      <c r="B24" s="310" t="s">
        <v>168</v>
      </c>
      <c r="C24" s="306"/>
      <c r="D24" s="304" t="s">
        <v>123</v>
      </c>
      <c r="E24" s="311"/>
      <c r="F24" s="312"/>
      <c r="G24" s="307">
        <f>'Экспертиза ПД и ИЗ'!H21</f>
        <v>1991916</v>
      </c>
      <c r="H24" s="96"/>
    </row>
    <row r="25" spans="1:10" ht="19.5" customHeight="1" x14ac:dyDescent="0.2">
      <c r="A25" s="519" t="s">
        <v>127</v>
      </c>
      <c r="B25" s="520"/>
      <c r="C25" s="520"/>
      <c r="D25" s="520"/>
      <c r="E25" s="520"/>
      <c r="F25" s="521"/>
      <c r="G25" s="309">
        <f>G24</f>
        <v>1991916</v>
      </c>
      <c r="H25" s="96"/>
    </row>
    <row r="26" spans="1:10" s="104" customFormat="1" ht="19.5" customHeight="1" x14ac:dyDescent="0.2">
      <c r="A26" s="313"/>
      <c r="B26" s="313"/>
      <c r="C26" s="313"/>
      <c r="D26" s="313"/>
      <c r="E26" s="313"/>
      <c r="F26" s="313" t="s">
        <v>134</v>
      </c>
      <c r="G26" s="315">
        <f>G19+G22+G25</f>
        <v>17022729</v>
      </c>
      <c r="H26" s="110"/>
    </row>
    <row r="27" spans="1:10" s="104" customFormat="1" ht="19.5" customHeight="1" x14ac:dyDescent="0.2">
      <c r="A27" s="313"/>
      <c r="B27" s="313"/>
      <c r="C27" s="313"/>
      <c r="D27" s="313"/>
      <c r="E27" s="313"/>
      <c r="F27" s="313"/>
      <c r="G27" s="314"/>
      <c r="H27" s="110"/>
    </row>
    <row r="28" spans="1:10" s="104" customFormat="1" ht="19.5" customHeight="1" x14ac:dyDescent="0.2">
      <c r="A28" s="313"/>
      <c r="B28" s="313"/>
      <c r="C28" s="313"/>
      <c r="D28" s="313"/>
      <c r="E28" s="313"/>
      <c r="F28" s="313"/>
      <c r="G28" s="314"/>
      <c r="H28" s="110"/>
    </row>
    <row r="29" spans="1:10" s="104" customFormat="1" ht="19.5" customHeight="1" x14ac:dyDescent="0.2">
      <c r="A29" s="313"/>
      <c r="B29" s="313"/>
      <c r="C29" s="313"/>
      <c r="D29" s="313"/>
      <c r="E29" s="313"/>
      <c r="F29" s="313"/>
      <c r="G29" s="314"/>
      <c r="H29" s="110"/>
    </row>
    <row r="30" spans="1:10" s="104" customFormat="1" ht="19.5" customHeight="1" x14ac:dyDescent="0.2">
      <c r="A30" s="313"/>
      <c r="B30" s="313"/>
      <c r="C30" s="313"/>
      <c r="D30" s="313"/>
      <c r="E30" s="313"/>
      <c r="F30" s="313"/>
      <c r="G30" s="314"/>
      <c r="H30" s="110"/>
    </row>
    <row r="31" spans="1:10" s="104" customFormat="1" ht="19.5" customHeight="1" x14ac:dyDescent="0.2">
      <c r="A31" s="108"/>
      <c r="B31" s="108"/>
      <c r="C31" s="108"/>
      <c r="D31" s="108"/>
      <c r="E31" s="108"/>
      <c r="F31" s="108"/>
      <c r="G31" s="109"/>
      <c r="H31" s="110"/>
    </row>
    <row r="32" spans="1:10" s="104" customFormat="1" ht="19.5" customHeight="1" x14ac:dyDescent="0.2">
      <c r="A32" s="108"/>
      <c r="B32" s="108"/>
      <c r="C32" s="108"/>
      <c r="D32" s="108"/>
      <c r="E32" s="108"/>
      <c r="F32" s="108"/>
      <c r="G32" s="109"/>
      <c r="H32" s="110"/>
    </row>
    <row r="33" spans="1:8" s="104" customFormat="1" ht="19.5" customHeight="1" x14ac:dyDescent="0.2">
      <c r="A33" s="108"/>
      <c r="B33" s="108"/>
      <c r="C33" s="108"/>
      <c r="D33" s="108"/>
      <c r="E33" s="108"/>
      <c r="F33" s="108"/>
      <c r="G33" s="109"/>
      <c r="H33" s="110"/>
    </row>
    <row r="34" spans="1:8" s="104" customFormat="1" ht="19.5" customHeight="1" x14ac:dyDescent="0.2">
      <c r="A34" s="108"/>
      <c r="B34" s="108"/>
      <c r="C34" s="108"/>
      <c r="D34" s="108"/>
      <c r="E34" s="108"/>
      <c r="F34" s="108"/>
      <c r="G34" s="109"/>
      <c r="H34" s="110"/>
    </row>
    <row r="35" spans="1:8" s="104" customFormat="1" ht="50.25" customHeight="1" x14ac:dyDescent="0.2">
      <c r="A35" s="528" t="s">
        <v>135</v>
      </c>
      <c r="B35" s="528"/>
      <c r="C35" s="528"/>
      <c r="D35" s="528"/>
      <c r="E35" s="528"/>
      <c r="F35" s="108"/>
      <c r="G35" s="109"/>
      <c r="H35" s="110"/>
    </row>
    <row r="36" spans="1:8" x14ac:dyDescent="0.2">
      <c r="A36" s="104"/>
      <c r="B36" s="104"/>
      <c r="C36" s="104"/>
      <c r="D36" s="104"/>
      <c r="E36" s="104"/>
      <c r="F36" s="104"/>
      <c r="G36" s="104"/>
    </row>
    <row r="37" spans="1:8" x14ac:dyDescent="0.2">
      <c r="A37" s="127" t="s">
        <v>113</v>
      </c>
      <c r="B37" s="127"/>
      <c r="C37" s="127"/>
      <c r="D37" s="149" t="s">
        <v>207</v>
      </c>
      <c r="E37" s="127"/>
      <c r="F37" s="104"/>
      <c r="G37" s="104"/>
    </row>
    <row r="38" spans="1:8" x14ac:dyDescent="0.2">
      <c r="A38" s="127" t="s">
        <v>110</v>
      </c>
      <c r="B38" s="127"/>
      <c r="C38" s="127"/>
      <c r="D38" s="151" t="s">
        <v>208</v>
      </c>
      <c r="E38" s="127"/>
      <c r="F38" s="104"/>
      <c r="G38" s="104"/>
    </row>
    <row r="39" spans="1:8" x14ac:dyDescent="0.2">
      <c r="A39" s="127" t="s">
        <v>111</v>
      </c>
      <c r="B39" s="127"/>
      <c r="C39" s="127"/>
      <c r="D39" s="149" t="s">
        <v>209</v>
      </c>
      <c r="E39" s="127"/>
      <c r="F39" s="104"/>
      <c r="G39" s="104"/>
    </row>
    <row r="40" spans="1:8" x14ac:dyDescent="0.2">
      <c r="A40" s="104"/>
      <c r="B40" s="104"/>
      <c r="C40" s="104"/>
      <c r="D40" s="104"/>
      <c r="E40" s="104"/>
      <c r="F40" s="104"/>
      <c r="G40" s="104"/>
    </row>
    <row r="41" spans="1:8" x14ac:dyDescent="0.2">
      <c r="A41" s="504" t="s">
        <v>145</v>
      </c>
      <c r="B41" s="504"/>
      <c r="C41" s="504"/>
      <c r="D41" s="504"/>
      <c r="E41" s="504"/>
      <c r="F41" s="104"/>
      <c r="G41" s="104"/>
    </row>
    <row r="42" spans="1:8" x14ac:dyDescent="0.2">
      <c r="A42" s="505" t="s">
        <v>154</v>
      </c>
      <c r="B42" s="505"/>
      <c r="C42" s="505"/>
      <c r="D42" s="505"/>
      <c r="E42" s="505"/>
      <c r="F42" s="104"/>
      <c r="G42" s="104"/>
    </row>
    <row r="43" spans="1:8" ht="76.5" x14ac:dyDescent="0.2">
      <c r="A43" s="128" t="s">
        <v>2</v>
      </c>
      <c r="B43" s="129" t="s">
        <v>146</v>
      </c>
      <c r="C43" s="129" t="s">
        <v>147</v>
      </c>
      <c r="D43" s="129" t="s">
        <v>148</v>
      </c>
      <c r="E43" s="129" t="s">
        <v>149</v>
      </c>
      <c r="F43" s="104"/>
      <c r="G43" s="104"/>
    </row>
    <row r="44" spans="1:8" x14ac:dyDescent="0.2">
      <c r="A44" s="130">
        <v>1</v>
      </c>
      <c r="B44" s="131">
        <v>105</v>
      </c>
      <c r="C44" s="131">
        <v>2.5</v>
      </c>
      <c r="D44" s="132">
        <f>(B44-100)/100*C44/12</f>
        <v>0.01</v>
      </c>
      <c r="E44" s="132">
        <f>1+D44</f>
        <v>1.01</v>
      </c>
      <c r="F44" s="104"/>
      <c r="G44" s="104"/>
    </row>
    <row r="45" spans="1:8" x14ac:dyDescent="0.2">
      <c r="A45" s="505" t="s">
        <v>154</v>
      </c>
      <c r="B45" s="505"/>
      <c r="C45" s="505"/>
      <c r="D45" s="505"/>
      <c r="E45" s="505"/>
      <c r="F45" s="104"/>
      <c r="G45" s="104"/>
    </row>
    <row r="46" spans="1:8" ht="63.75" x14ac:dyDescent="0.2">
      <c r="A46" s="130"/>
      <c r="B46" s="129" t="s">
        <v>150</v>
      </c>
      <c r="C46" s="129" t="s">
        <v>151</v>
      </c>
      <c r="D46" s="129" t="s">
        <v>152</v>
      </c>
      <c r="E46" s="129" t="s">
        <v>153</v>
      </c>
      <c r="F46" s="104"/>
      <c r="G46" s="104"/>
    </row>
    <row r="47" spans="1:8" x14ac:dyDescent="0.2">
      <c r="A47" s="131">
        <v>2</v>
      </c>
      <c r="B47" s="131">
        <v>105</v>
      </c>
      <c r="C47" s="131">
        <v>0.5</v>
      </c>
      <c r="D47" s="132">
        <f>(B47-100)/100*C47/12</f>
        <v>2E-3</v>
      </c>
      <c r="E47" s="132">
        <f>1+D47</f>
        <v>1.002</v>
      </c>
      <c r="F47" s="104"/>
      <c r="G47" s="104"/>
    </row>
    <row r="48" spans="1:8" x14ac:dyDescent="0.2">
      <c r="A48" s="505" t="s">
        <v>180</v>
      </c>
      <c r="B48" s="505"/>
      <c r="C48" s="505"/>
      <c r="D48" s="505"/>
      <c r="E48" s="505"/>
      <c r="F48" s="104"/>
      <c r="G48" s="104"/>
    </row>
    <row r="49" spans="1:7" ht="63.75" x14ac:dyDescent="0.2">
      <c r="A49" s="130"/>
      <c r="B49" s="129" t="s">
        <v>155</v>
      </c>
      <c r="C49" s="129" t="s">
        <v>181</v>
      </c>
      <c r="D49" s="129" t="s">
        <v>156</v>
      </c>
      <c r="E49" s="129" t="s">
        <v>157</v>
      </c>
      <c r="F49" s="104"/>
      <c r="G49" s="104"/>
    </row>
    <row r="50" spans="1:7" x14ac:dyDescent="0.2">
      <c r="A50" s="131">
        <v>2</v>
      </c>
      <c r="B50" s="131">
        <v>105.1</v>
      </c>
      <c r="C50" s="131">
        <v>1.5</v>
      </c>
      <c r="D50" s="132">
        <f>(B50-100)/100*C50/12</f>
        <v>6.0000000000000001E-3</v>
      </c>
      <c r="E50" s="132">
        <f>1+0.5*D50</f>
        <v>1.0029999999999999</v>
      </c>
      <c r="F50" s="104"/>
      <c r="G50" s="104"/>
    </row>
    <row r="51" spans="1:7" ht="15" x14ac:dyDescent="0.25">
      <c r="A51" s="138"/>
      <c r="B51" s="139" t="s">
        <v>182</v>
      </c>
      <c r="C51" s="138"/>
      <c r="D51" s="119" t="s">
        <v>184</v>
      </c>
      <c r="E51" s="120" t="s">
        <v>183</v>
      </c>
      <c r="F51" s="104"/>
      <c r="G51" s="104"/>
    </row>
    <row r="52" spans="1:7" x14ac:dyDescent="0.2">
      <c r="A52" s="139"/>
      <c r="B52" s="139"/>
      <c r="C52" s="139"/>
      <c r="D52" s="140">
        <f>D47+D50</f>
        <v>8.0000000000000002E-3</v>
      </c>
      <c r="E52" s="141">
        <f>(1+0.5*D52)</f>
        <v>1.004</v>
      </c>
      <c r="F52" s="104"/>
      <c r="G52" s="104"/>
    </row>
    <row r="53" spans="1:7" x14ac:dyDescent="0.2">
      <c r="A53" s="131">
        <v>3</v>
      </c>
      <c r="B53" s="133" t="s">
        <v>158</v>
      </c>
      <c r="C53" s="133"/>
      <c r="D53" s="129" t="s">
        <v>159</v>
      </c>
      <c r="E53" s="132">
        <f>E44*E52</f>
        <v>1.014</v>
      </c>
      <c r="F53" s="104"/>
      <c r="G53" s="104"/>
    </row>
    <row r="54" spans="1:7" s="104" customFormat="1" x14ac:dyDescent="0.2">
      <c r="A54" s="506" t="s">
        <v>160</v>
      </c>
      <c r="B54" s="506"/>
      <c r="C54" s="506"/>
      <c r="D54" s="506"/>
      <c r="E54" s="506"/>
    </row>
    <row r="55" spans="1:7" x14ac:dyDescent="0.2">
      <c r="A55" s="497" t="s">
        <v>161</v>
      </c>
      <c r="B55" s="497"/>
      <c r="C55" s="497"/>
      <c r="D55" s="124"/>
      <c r="E55" s="134">
        <f>G19</f>
        <v>7067191</v>
      </c>
      <c r="F55" s="104"/>
      <c r="G55" s="104"/>
    </row>
    <row r="56" spans="1:7" x14ac:dyDescent="0.2">
      <c r="A56" s="498" t="s">
        <v>162</v>
      </c>
      <c r="B56" s="499"/>
      <c r="C56" s="500"/>
      <c r="D56" s="124"/>
      <c r="E56" s="132">
        <f>E52</f>
        <v>1.004</v>
      </c>
      <c r="F56" s="104"/>
      <c r="G56" s="104"/>
    </row>
    <row r="57" spans="1:7" x14ac:dyDescent="0.2">
      <c r="A57" s="498" t="s">
        <v>163</v>
      </c>
      <c r="B57" s="499"/>
      <c r="C57" s="500"/>
      <c r="D57" s="133"/>
      <c r="E57" s="134">
        <f>E55*E56</f>
        <v>7095460</v>
      </c>
      <c r="F57" s="104"/>
      <c r="G57" s="104"/>
    </row>
    <row r="58" spans="1:7" ht="25.5" x14ac:dyDescent="0.2">
      <c r="A58" s="501" t="s">
        <v>164</v>
      </c>
      <c r="B58" s="502"/>
      <c r="C58" s="503"/>
      <c r="D58" s="135" t="s">
        <v>165</v>
      </c>
      <c r="E58" s="136">
        <f>E55+(E57-E55)*(1-30/100)</f>
        <v>7086979</v>
      </c>
      <c r="F58" s="104">
        <f>E58/E55</f>
        <v>1.00279998092594</v>
      </c>
      <c r="G58" s="104"/>
    </row>
    <row r="59" spans="1:7" s="104" customFormat="1" x14ac:dyDescent="0.2">
      <c r="A59" s="137"/>
      <c r="B59" s="137"/>
      <c r="D59" s="125" t="s">
        <v>166</v>
      </c>
      <c r="E59" s="126">
        <f>E58-E55</f>
        <v>19788</v>
      </c>
    </row>
    <row r="60" spans="1:7" s="104" customFormat="1" ht="15" x14ac:dyDescent="0.25">
      <c r="A60"/>
      <c r="B60"/>
      <c r="D60" s="121"/>
      <c r="E60" s="122"/>
    </row>
    <row r="61" spans="1:7" s="104" customFormat="1" x14ac:dyDescent="0.2">
      <c r="A61" s="127" t="s">
        <v>113</v>
      </c>
      <c r="B61" s="127"/>
      <c r="C61" s="127"/>
      <c r="D61" s="127" t="s">
        <v>213</v>
      </c>
      <c r="E61" s="127"/>
    </row>
    <row r="62" spans="1:7" s="104" customFormat="1" x14ac:dyDescent="0.2">
      <c r="A62" s="127" t="s">
        <v>110</v>
      </c>
      <c r="B62" s="127"/>
      <c r="C62" s="127"/>
      <c r="D62" s="150" t="s">
        <v>208</v>
      </c>
      <c r="E62" s="127" t="s">
        <v>211</v>
      </c>
    </row>
    <row r="63" spans="1:7" x14ac:dyDescent="0.2">
      <c r="A63" s="127" t="s">
        <v>111</v>
      </c>
      <c r="B63" s="127"/>
      <c r="C63" s="127"/>
      <c r="D63" s="149" t="s">
        <v>212</v>
      </c>
      <c r="E63" s="127"/>
      <c r="F63" s="104"/>
      <c r="G63" s="104"/>
    </row>
    <row r="64" spans="1:7" x14ac:dyDescent="0.2">
      <c r="A64" s="104"/>
      <c r="B64" s="104"/>
      <c r="C64" s="104"/>
      <c r="D64" s="104"/>
      <c r="E64" s="104"/>
      <c r="F64" s="104"/>
    </row>
    <row r="65" spans="1:6" x14ac:dyDescent="0.2">
      <c r="A65" s="504" t="s">
        <v>210</v>
      </c>
      <c r="B65" s="504"/>
      <c r="C65" s="504"/>
      <c r="D65" s="504"/>
      <c r="E65" s="504"/>
      <c r="F65" s="104"/>
    </row>
    <row r="66" spans="1:6" x14ac:dyDescent="0.2">
      <c r="A66" s="505" t="s">
        <v>154</v>
      </c>
      <c r="B66" s="505"/>
      <c r="C66" s="505"/>
      <c r="D66" s="505"/>
      <c r="E66" s="505"/>
      <c r="F66" s="104"/>
    </row>
    <row r="67" spans="1:6" ht="76.5" x14ac:dyDescent="0.2">
      <c r="A67" s="128" t="s">
        <v>2</v>
      </c>
      <c r="B67" s="129" t="s">
        <v>146</v>
      </c>
      <c r="C67" s="129" t="s">
        <v>147</v>
      </c>
      <c r="D67" s="129" t="s">
        <v>148</v>
      </c>
      <c r="E67" s="129" t="s">
        <v>149</v>
      </c>
      <c r="F67" s="104"/>
    </row>
    <row r="68" spans="1:6" x14ac:dyDescent="0.2">
      <c r="A68" s="130">
        <v>1</v>
      </c>
      <c r="B68" s="131">
        <v>105</v>
      </c>
      <c r="C68" s="131">
        <v>2.5</v>
      </c>
      <c r="D68" s="132">
        <f>(B68-100)/100*C68/12</f>
        <v>0.01</v>
      </c>
      <c r="E68" s="132">
        <f>1+D68</f>
        <v>1.01</v>
      </c>
      <c r="F68" s="104"/>
    </row>
    <row r="69" spans="1:6" x14ac:dyDescent="0.2">
      <c r="A69" s="505" t="s">
        <v>154</v>
      </c>
      <c r="B69" s="505"/>
      <c r="C69" s="505"/>
      <c r="D69" s="505"/>
      <c r="E69" s="505"/>
      <c r="F69" s="104"/>
    </row>
    <row r="70" spans="1:6" ht="63.75" x14ac:dyDescent="0.2">
      <c r="A70" s="130"/>
      <c r="B70" s="129" t="s">
        <v>150</v>
      </c>
      <c r="C70" s="129" t="s">
        <v>151</v>
      </c>
      <c r="D70" s="129" t="s">
        <v>152</v>
      </c>
      <c r="E70" s="129" t="s">
        <v>153</v>
      </c>
      <c r="F70" s="104"/>
    </row>
    <row r="71" spans="1:6" x14ac:dyDescent="0.2">
      <c r="A71" s="131">
        <v>2</v>
      </c>
      <c r="B71" s="131">
        <v>105</v>
      </c>
      <c r="C71" s="131">
        <v>0.5</v>
      </c>
      <c r="D71" s="132">
        <f>(B71-100)/100*C71/12</f>
        <v>2E-3</v>
      </c>
      <c r="E71" s="132">
        <f>1+D71</f>
        <v>1.002</v>
      </c>
      <c r="F71" s="104"/>
    </row>
    <row r="72" spans="1:6" x14ac:dyDescent="0.2">
      <c r="A72" s="505" t="s">
        <v>180</v>
      </c>
      <c r="B72" s="505"/>
      <c r="C72" s="505"/>
      <c r="D72" s="505"/>
      <c r="E72" s="505"/>
      <c r="F72" s="104"/>
    </row>
    <row r="73" spans="1:6" ht="63.75" x14ac:dyDescent="0.2">
      <c r="A73" s="130"/>
      <c r="B73" s="129" t="s">
        <v>155</v>
      </c>
      <c r="C73" s="129" t="s">
        <v>181</v>
      </c>
      <c r="D73" s="129" t="s">
        <v>156</v>
      </c>
      <c r="E73" s="129" t="s">
        <v>157</v>
      </c>
      <c r="F73" s="104"/>
    </row>
    <row r="74" spans="1:6" x14ac:dyDescent="0.2">
      <c r="A74" s="131">
        <v>2</v>
      </c>
      <c r="B74" s="131">
        <v>105.1</v>
      </c>
      <c r="C74" s="131">
        <v>5.4</v>
      </c>
      <c r="D74" s="132">
        <f>(B74-100)/100*C74/12</f>
        <v>2.3E-2</v>
      </c>
      <c r="E74" s="132">
        <f>1+0.5*D74</f>
        <v>1.012</v>
      </c>
      <c r="F74" s="104"/>
    </row>
    <row r="75" spans="1:6" ht="15" x14ac:dyDescent="0.25">
      <c r="A75" s="138"/>
      <c r="B75" s="139" t="s">
        <v>182</v>
      </c>
      <c r="C75" s="138"/>
      <c r="D75" s="119" t="s">
        <v>184</v>
      </c>
      <c r="E75" s="120" t="s">
        <v>183</v>
      </c>
      <c r="F75" s="104"/>
    </row>
    <row r="76" spans="1:6" x14ac:dyDescent="0.2">
      <c r="A76" s="139"/>
      <c r="B76" s="139"/>
      <c r="C76" s="139"/>
      <c r="D76" s="140">
        <f>D71+D74</f>
        <v>2.5000000000000001E-2</v>
      </c>
      <c r="E76" s="141">
        <f>(1+0.5*D76)</f>
        <v>1.0129999999999999</v>
      </c>
      <c r="F76" s="104"/>
    </row>
    <row r="77" spans="1:6" x14ac:dyDescent="0.2">
      <c r="A77" s="131">
        <v>3</v>
      </c>
      <c r="B77" s="133" t="s">
        <v>158</v>
      </c>
      <c r="C77" s="133"/>
      <c r="D77" s="129" t="s">
        <v>159</v>
      </c>
      <c r="E77" s="132">
        <f>E68*E76</f>
        <v>1.0229999999999999</v>
      </c>
      <c r="F77" s="104"/>
    </row>
    <row r="78" spans="1:6" x14ac:dyDescent="0.2">
      <c r="A78" s="506" t="s">
        <v>160</v>
      </c>
      <c r="B78" s="506"/>
      <c r="C78" s="506"/>
      <c r="D78" s="506"/>
      <c r="E78" s="506"/>
      <c r="F78" s="104"/>
    </row>
    <row r="79" spans="1:6" x14ac:dyDescent="0.2">
      <c r="A79" s="497" t="s">
        <v>161</v>
      </c>
      <c r="B79" s="497"/>
      <c r="C79" s="497"/>
      <c r="D79" s="124"/>
      <c r="E79" s="134">
        <f>G22</f>
        <v>7963622</v>
      </c>
      <c r="F79" s="104"/>
    </row>
    <row r="80" spans="1:6" x14ac:dyDescent="0.2">
      <c r="A80" s="498" t="s">
        <v>162</v>
      </c>
      <c r="B80" s="499"/>
      <c r="C80" s="500"/>
      <c r="D80" s="124"/>
      <c r="E80" s="132">
        <f>E76</f>
        <v>1.0129999999999999</v>
      </c>
      <c r="F80" s="104"/>
    </row>
    <row r="81" spans="1:6" x14ac:dyDescent="0.2">
      <c r="A81" s="498" t="s">
        <v>163</v>
      </c>
      <c r="B81" s="499"/>
      <c r="C81" s="500"/>
      <c r="D81" s="133"/>
      <c r="E81" s="134">
        <f>E79*E80</f>
        <v>8067149</v>
      </c>
      <c r="F81" s="104"/>
    </row>
    <row r="82" spans="1:6" ht="25.5" x14ac:dyDescent="0.2">
      <c r="A82" s="501" t="s">
        <v>164</v>
      </c>
      <c r="B82" s="502"/>
      <c r="C82" s="503"/>
      <c r="D82" s="135" t="s">
        <v>165</v>
      </c>
      <c r="E82" s="136">
        <f>E79+(E81-E79)*(1-30/100)</f>
        <v>8036091</v>
      </c>
      <c r="F82" s="104">
        <f>E82/E79</f>
        <v>1.0091000049977299</v>
      </c>
    </row>
    <row r="83" spans="1:6" x14ac:dyDescent="0.2">
      <c r="A83" s="137"/>
      <c r="B83" s="137"/>
      <c r="C83" s="104"/>
      <c r="D83" s="125" t="s">
        <v>166</v>
      </c>
      <c r="E83" s="126">
        <f>E82-E79</f>
        <v>72469</v>
      </c>
      <c r="F83" s="104"/>
    </row>
  </sheetData>
  <mergeCells count="39">
    <mergeCell ref="A25:F25"/>
    <mergeCell ref="A35:E35"/>
    <mergeCell ref="A41:E41"/>
    <mergeCell ref="A58:C58"/>
    <mergeCell ref="A45:E45"/>
    <mergeCell ref="A48:E48"/>
    <mergeCell ref="A54:E54"/>
    <mergeCell ref="A42:E42"/>
    <mergeCell ref="A55:C55"/>
    <mergeCell ref="A56:C56"/>
    <mergeCell ref="A57:C57"/>
    <mergeCell ref="A22:F22"/>
    <mergeCell ref="A23:G23"/>
    <mergeCell ref="A12:G12"/>
    <mergeCell ref="A19:F19"/>
    <mergeCell ref="D9:D10"/>
    <mergeCell ref="A20:G20"/>
    <mergeCell ref="H9:H10"/>
    <mergeCell ref="A9:A10"/>
    <mergeCell ref="B9:B10"/>
    <mergeCell ref="C9:C10"/>
    <mergeCell ref="E9:G9"/>
    <mergeCell ref="A2:G2"/>
    <mergeCell ref="A3:G3"/>
    <mergeCell ref="A5:B5"/>
    <mergeCell ref="C7:G7"/>
    <mergeCell ref="A6:B6"/>
    <mergeCell ref="C6:G6"/>
    <mergeCell ref="C5:G5"/>
    <mergeCell ref="A7:B7"/>
    <mergeCell ref="A79:C79"/>
    <mergeCell ref="A80:C80"/>
    <mergeCell ref="A81:C81"/>
    <mergeCell ref="A82:C82"/>
    <mergeCell ref="A65:E65"/>
    <mergeCell ref="A66:E66"/>
    <mergeCell ref="A69:E69"/>
    <mergeCell ref="A72:E72"/>
    <mergeCell ref="A78:E78"/>
  </mergeCells>
  <pageMargins left="0.7" right="0.7" top="0.75" bottom="0.75" header="0.3" footer="0.3"/>
  <pageSetup paperSize="9"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9"/>
  <sheetViews>
    <sheetView view="pageBreakPreview" topLeftCell="A148" zoomScaleNormal="85" zoomScaleSheetLayoutView="100" workbookViewId="0">
      <selection activeCell="A150" sqref="A150"/>
    </sheetView>
  </sheetViews>
  <sheetFormatPr defaultColWidth="8.85546875" defaultRowHeight="15" x14ac:dyDescent="0.25"/>
  <cols>
    <col min="1" max="1" width="6.140625" style="97" customWidth="1"/>
    <col min="2" max="2" width="26" style="226" customWidth="1"/>
    <col min="3" max="3" width="21.85546875" style="97" customWidth="1"/>
    <col min="4" max="4" width="23.7109375" style="97" customWidth="1"/>
    <col min="5" max="5" width="12" style="97" customWidth="1"/>
    <col min="6" max="6" width="7" style="117" customWidth="1"/>
    <col min="7" max="7" width="3.28515625" style="117" customWidth="1"/>
    <col min="8" max="8" width="8.7109375" style="97" customWidth="1"/>
    <col min="9" max="10" width="11.28515625" style="97" customWidth="1"/>
    <col min="11" max="11" width="8.85546875" style="97"/>
    <col min="12" max="12" width="10.7109375" style="97" customWidth="1"/>
    <col min="13" max="14" width="8.85546875" style="97"/>
    <col min="15" max="15" width="21" style="97" customWidth="1"/>
    <col min="16" max="16" width="19.5703125" style="97" customWidth="1"/>
    <col min="17" max="16384" width="8.85546875" style="97"/>
  </cols>
  <sheetData>
    <row r="1" spans="1:16" ht="17.649999999999999" customHeight="1" x14ac:dyDescent="0.25">
      <c r="A1" s="670"/>
      <c r="B1" s="659"/>
      <c r="C1" s="659"/>
      <c r="D1" s="659"/>
      <c r="E1" s="659"/>
      <c r="F1" s="143"/>
      <c r="G1" s="143"/>
      <c r="H1" s="671" t="s">
        <v>94</v>
      </c>
      <c r="I1" s="659"/>
      <c r="J1" s="659"/>
    </row>
    <row r="2" spans="1:16" ht="19.149999999999999" customHeight="1" x14ac:dyDescent="0.25">
      <c r="A2" s="672" t="s">
        <v>125</v>
      </c>
      <c r="B2" s="659"/>
      <c r="C2" s="659"/>
      <c r="D2" s="659"/>
      <c r="E2" s="659"/>
      <c r="F2" s="659"/>
      <c r="G2" s="659"/>
      <c r="H2" s="659"/>
      <c r="I2" s="659"/>
      <c r="J2" s="659"/>
    </row>
    <row r="3" spans="1:16" ht="22.9" customHeight="1" x14ac:dyDescent="0.25">
      <c r="A3" s="673" t="s">
        <v>6</v>
      </c>
      <c r="B3" s="659"/>
      <c r="C3" s="659"/>
      <c r="D3" s="659"/>
      <c r="E3" s="659"/>
      <c r="F3" s="659"/>
      <c r="G3" s="659"/>
      <c r="H3" s="659"/>
      <c r="I3" s="659"/>
      <c r="J3" s="659"/>
    </row>
    <row r="4" spans="1:16" ht="30.75" customHeight="1" x14ac:dyDescent="0.25">
      <c r="A4" s="658" t="s">
        <v>79</v>
      </c>
      <c r="B4" s="659"/>
      <c r="C4" s="674" t="s">
        <v>506</v>
      </c>
      <c r="D4" s="675"/>
      <c r="E4" s="675"/>
      <c r="F4" s="675"/>
      <c r="G4" s="675"/>
      <c r="H4" s="675"/>
      <c r="I4" s="675"/>
      <c r="J4" s="675"/>
    </row>
    <row r="5" spans="1:16" ht="17.649999999999999" customHeight="1" x14ac:dyDescent="0.25">
      <c r="A5" s="658" t="s">
        <v>80</v>
      </c>
      <c r="B5" s="659"/>
      <c r="C5" s="660" t="s">
        <v>81</v>
      </c>
      <c r="D5" s="659"/>
      <c r="E5" s="659"/>
      <c r="F5" s="659"/>
      <c r="G5" s="659"/>
      <c r="H5" s="659"/>
      <c r="I5" s="659"/>
      <c r="J5" s="659"/>
    </row>
    <row r="6" spans="1:16" ht="29.65" customHeight="1" x14ac:dyDescent="0.25">
      <c r="A6" s="658" t="s">
        <v>95</v>
      </c>
      <c r="B6" s="659"/>
      <c r="C6" s="660"/>
      <c r="D6" s="659"/>
      <c r="E6" s="659"/>
      <c r="F6" s="659"/>
      <c r="G6" s="659"/>
      <c r="H6" s="659"/>
      <c r="I6" s="659"/>
      <c r="J6" s="659"/>
    </row>
    <row r="7" spans="1:16" ht="29.65" customHeight="1" x14ac:dyDescent="0.25">
      <c r="A7" s="658" t="s">
        <v>83</v>
      </c>
      <c r="B7" s="659"/>
      <c r="C7" s="660" t="s">
        <v>78</v>
      </c>
      <c r="D7" s="659"/>
      <c r="E7" s="659"/>
      <c r="F7" s="659"/>
      <c r="G7" s="659"/>
      <c r="H7" s="659"/>
      <c r="I7" s="659"/>
      <c r="J7" s="659"/>
    </row>
    <row r="8" spans="1:16" ht="29.65" customHeight="1" x14ac:dyDescent="0.25">
      <c r="A8" s="658" t="s">
        <v>84</v>
      </c>
      <c r="B8" s="659"/>
      <c r="C8" s="660" t="s">
        <v>100</v>
      </c>
      <c r="D8" s="659"/>
      <c r="E8" s="659"/>
      <c r="F8" s="659"/>
      <c r="G8" s="659"/>
      <c r="H8" s="659"/>
      <c r="I8" s="659"/>
      <c r="J8" s="659"/>
    </row>
    <row r="9" spans="1:16" ht="81.400000000000006" customHeight="1" x14ac:dyDescent="0.25">
      <c r="A9" s="144" t="s">
        <v>2</v>
      </c>
      <c r="B9" s="144" t="s">
        <v>35</v>
      </c>
      <c r="C9" s="661" t="s">
        <v>85</v>
      </c>
      <c r="D9" s="662"/>
      <c r="E9" s="144" t="s">
        <v>36</v>
      </c>
      <c r="F9" s="661" t="s">
        <v>86</v>
      </c>
      <c r="G9" s="665"/>
      <c r="H9" s="665"/>
      <c r="I9" s="666"/>
      <c r="J9" s="144" t="s">
        <v>87</v>
      </c>
    </row>
    <row r="10" spans="1:16" s="117" customFormat="1" ht="30" x14ac:dyDescent="0.25">
      <c r="A10" s="537">
        <v>1</v>
      </c>
      <c r="B10" s="664" t="s">
        <v>407</v>
      </c>
      <c r="C10" s="529" t="s">
        <v>409</v>
      </c>
      <c r="D10" s="530"/>
      <c r="E10" s="537" t="s">
        <v>413</v>
      </c>
      <c r="F10" s="537" t="s">
        <v>412</v>
      </c>
      <c r="G10" s="537"/>
      <c r="H10" s="537"/>
      <c r="I10" s="537"/>
      <c r="J10" s="538">
        <f>(135+40*2)*(0.72*1.3+0.28)*0.4*1000</f>
        <v>104576</v>
      </c>
      <c r="K10" s="359" t="s">
        <v>404</v>
      </c>
      <c r="N10" s="359" t="s">
        <v>405</v>
      </c>
      <c r="O10" s="359" t="s">
        <v>406</v>
      </c>
      <c r="P10" s="359" t="s">
        <v>408</v>
      </c>
    </row>
    <row r="11" spans="1:16" s="117" customFormat="1" ht="30" customHeight="1" x14ac:dyDescent="0.25">
      <c r="A11" s="537"/>
      <c r="B11" s="648"/>
      <c r="C11" s="539" t="s">
        <v>410</v>
      </c>
      <c r="D11" s="540"/>
      <c r="E11" s="537"/>
      <c r="F11" s="537"/>
      <c r="G11" s="537"/>
      <c r="H11" s="537"/>
      <c r="I11" s="537"/>
      <c r="J11" s="538"/>
    </row>
    <row r="12" spans="1:16" s="117" customFormat="1" ht="63" customHeight="1" x14ac:dyDescent="0.25">
      <c r="A12" s="537"/>
      <c r="B12" s="648"/>
      <c r="C12" s="663" t="s">
        <v>411</v>
      </c>
      <c r="D12" s="542"/>
      <c r="E12" s="537"/>
      <c r="F12" s="537"/>
      <c r="G12" s="537"/>
      <c r="H12" s="537"/>
      <c r="I12" s="537"/>
      <c r="J12" s="538"/>
      <c r="K12" s="359"/>
    </row>
    <row r="13" spans="1:16" s="117" customFormat="1" x14ac:dyDescent="0.25">
      <c r="A13" s="537"/>
      <c r="B13" s="648"/>
      <c r="C13" s="621" t="s">
        <v>337</v>
      </c>
      <c r="D13" s="622"/>
      <c r="E13" s="537"/>
      <c r="F13" s="537"/>
      <c r="G13" s="537"/>
      <c r="H13" s="537"/>
      <c r="I13" s="537"/>
      <c r="J13" s="538"/>
    </row>
    <row r="14" spans="1:16" s="117" customFormat="1" ht="30" x14ac:dyDescent="0.25">
      <c r="A14" s="537">
        <v>2</v>
      </c>
      <c r="B14" s="664" t="s">
        <v>572</v>
      </c>
      <c r="C14" s="529" t="s">
        <v>414</v>
      </c>
      <c r="D14" s="530"/>
      <c r="E14" s="537" t="s">
        <v>415</v>
      </c>
      <c r="F14" s="537" t="s">
        <v>571</v>
      </c>
      <c r="G14" s="537"/>
      <c r="H14" s="537"/>
      <c r="I14" s="537"/>
      <c r="J14" s="538">
        <f>110*(0.72*1.3+0.28)*0.35*0.4*1000</f>
        <v>18726</v>
      </c>
      <c r="K14" s="359" t="s">
        <v>404</v>
      </c>
      <c r="N14" s="359" t="s">
        <v>405</v>
      </c>
      <c r="O14" s="359" t="s">
        <v>406</v>
      </c>
      <c r="P14" s="359" t="s">
        <v>408</v>
      </c>
    </row>
    <row r="15" spans="1:16" s="117" customFormat="1" ht="30" customHeight="1" x14ac:dyDescent="0.25">
      <c r="A15" s="537"/>
      <c r="B15" s="648"/>
      <c r="C15" s="539" t="s">
        <v>410</v>
      </c>
      <c r="D15" s="540"/>
      <c r="E15" s="537"/>
      <c r="F15" s="537"/>
      <c r="G15" s="537"/>
      <c r="H15" s="537"/>
      <c r="I15" s="537"/>
      <c r="J15" s="538"/>
    </row>
    <row r="16" spans="1:16" s="117" customFormat="1" ht="63" customHeight="1" x14ac:dyDescent="0.25">
      <c r="A16" s="537"/>
      <c r="B16" s="648"/>
      <c r="C16" s="663" t="s">
        <v>570</v>
      </c>
      <c r="D16" s="542"/>
      <c r="E16" s="537"/>
      <c r="F16" s="537"/>
      <c r="G16" s="537"/>
      <c r="H16" s="537"/>
      <c r="I16" s="537"/>
      <c r="J16" s="538"/>
      <c r="K16" s="359"/>
    </row>
    <row r="17" spans="1:21" s="117" customFormat="1" x14ac:dyDescent="0.25">
      <c r="A17" s="537"/>
      <c r="B17" s="648"/>
      <c r="C17" s="621" t="s">
        <v>337</v>
      </c>
      <c r="D17" s="622"/>
      <c r="E17" s="537"/>
      <c r="F17" s="537"/>
      <c r="G17" s="537"/>
      <c r="H17" s="537"/>
      <c r="I17" s="537"/>
      <c r="J17" s="538"/>
    </row>
    <row r="18" spans="1:21" s="117" customFormat="1" ht="30" x14ac:dyDescent="0.25">
      <c r="A18" s="537">
        <v>3</v>
      </c>
      <c r="B18" s="664" t="s">
        <v>569</v>
      </c>
      <c r="C18" s="529" t="s">
        <v>414</v>
      </c>
      <c r="D18" s="530"/>
      <c r="E18" s="537" t="s">
        <v>415</v>
      </c>
      <c r="F18" s="537" t="s">
        <v>571</v>
      </c>
      <c r="G18" s="537"/>
      <c r="H18" s="537"/>
      <c r="I18" s="537"/>
      <c r="J18" s="538">
        <f>110*(0.72*1.3+0.28)*0.35*0.4*1000</f>
        <v>18726</v>
      </c>
      <c r="K18" s="359" t="s">
        <v>404</v>
      </c>
      <c r="N18" s="359" t="s">
        <v>405</v>
      </c>
      <c r="O18" s="359" t="s">
        <v>406</v>
      </c>
      <c r="P18" s="359" t="s">
        <v>408</v>
      </c>
    </row>
    <row r="19" spans="1:21" s="117" customFormat="1" ht="30" customHeight="1" x14ac:dyDescent="0.25">
      <c r="A19" s="537"/>
      <c r="B19" s="648"/>
      <c r="C19" s="539" t="s">
        <v>410</v>
      </c>
      <c r="D19" s="540"/>
      <c r="E19" s="537"/>
      <c r="F19" s="537"/>
      <c r="G19" s="537"/>
      <c r="H19" s="537"/>
      <c r="I19" s="537"/>
      <c r="J19" s="538"/>
    </row>
    <row r="20" spans="1:21" s="117" customFormat="1" ht="63" customHeight="1" x14ac:dyDescent="0.25">
      <c r="A20" s="537"/>
      <c r="B20" s="648"/>
      <c r="C20" s="663" t="s">
        <v>570</v>
      </c>
      <c r="D20" s="542"/>
      <c r="E20" s="537"/>
      <c r="F20" s="537"/>
      <c r="G20" s="537"/>
      <c r="H20" s="537"/>
      <c r="I20" s="537"/>
      <c r="J20" s="538"/>
      <c r="K20" s="359"/>
    </row>
    <row r="21" spans="1:21" s="117" customFormat="1" x14ac:dyDescent="0.25">
      <c r="A21" s="537"/>
      <c r="B21" s="648"/>
      <c r="C21" s="621" t="s">
        <v>337</v>
      </c>
      <c r="D21" s="622"/>
      <c r="E21" s="537"/>
      <c r="F21" s="537"/>
      <c r="G21" s="537"/>
      <c r="H21" s="537"/>
      <c r="I21" s="537"/>
      <c r="J21" s="538"/>
    </row>
    <row r="22" spans="1:21" s="117" customFormat="1" ht="30" x14ac:dyDescent="0.25">
      <c r="A22" s="537">
        <v>4</v>
      </c>
      <c r="B22" s="664" t="s">
        <v>573</v>
      </c>
      <c r="C22" s="529" t="s">
        <v>416</v>
      </c>
      <c r="D22" s="530"/>
      <c r="E22" s="537" t="s">
        <v>417</v>
      </c>
      <c r="F22" s="537" t="s">
        <v>574</v>
      </c>
      <c r="G22" s="537"/>
      <c r="H22" s="537"/>
      <c r="I22" s="537"/>
      <c r="J22" s="538">
        <f>(33+5.5*8)*(0.72*1.3+0.28)*0.35*0.4*1000</f>
        <v>13108</v>
      </c>
      <c r="K22" s="359" t="s">
        <v>404</v>
      </c>
      <c r="N22" s="359" t="s">
        <v>405</v>
      </c>
      <c r="O22" s="359" t="s">
        <v>406</v>
      </c>
      <c r="P22" s="359" t="s">
        <v>408</v>
      </c>
    </row>
    <row r="23" spans="1:21" s="117" customFormat="1" ht="30" customHeight="1" x14ac:dyDescent="0.25">
      <c r="A23" s="537"/>
      <c r="B23" s="648"/>
      <c r="C23" s="539" t="s">
        <v>410</v>
      </c>
      <c r="D23" s="540"/>
      <c r="E23" s="537"/>
      <c r="F23" s="537"/>
      <c r="G23" s="537"/>
      <c r="H23" s="537"/>
      <c r="I23" s="537"/>
      <c r="J23" s="538"/>
    </row>
    <row r="24" spans="1:21" s="117" customFormat="1" ht="63" customHeight="1" x14ac:dyDescent="0.25">
      <c r="A24" s="537"/>
      <c r="B24" s="648"/>
      <c r="C24" s="663" t="s">
        <v>570</v>
      </c>
      <c r="D24" s="542"/>
      <c r="E24" s="537"/>
      <c r="F24" s="537"/>
      <c r="G24" s="537"/>
      <c r="H24" s="537"/>
      <c r="I24" s="537"/>
      <c r="J24" s="538"/>
      <c r="K24" s="359"/>
    </row>
    <row r="25" spans="1:21" s="117" customFormat="1" x14ac:dyDescent="0.25">
      <c r="A25" s="537"/>
      <c r="B25" s="648"/>
      <c r="C25" s="621" t="s">
        <v>337</v>
      </c>
      <c r="D25" s="622"/>
      <c r="E25" s="537"/>
      <c r="F25" s="537"/>
      <c r="G25" s="537"/>
      <c r="H25" s="537"/>
      <c r="I25" s="537"/>
      <c r="J25" s="538"/>
    </row>
    <row r="26" spans="1:21" s="349" customFormat="1" ht="72.75" customHeight="1" x14ac:dyDescent="0.2">
      <c r="A26" s="624">
        <v>5</v>
      </c>
      <c r="B26" s="644" t="s">
        <v>418</v>
      </c>
      <c r="C26" s="529" t="s">
        <v>419</v>
      </c>
      <c r="D26" s="530"/>
      <c r="E26" s="644" t="s">
        <v>177</v>
      </c>
      <c r="F26" s="623" t="s">
        <v>422</v>
      </c>
      <c r="G26" s="553"/>
      <c r="H26" s="553"/>
      <c r="I26" s="554"/>
      <c r="J26" s="581">
        <f>(28.73+0.024*(0.4*160+0.6*120))*(0.6*1.3+0.4)*0.4*1000</f>
        <v>15101</v>
      </c>
      <c r="K26" s="360"/>
      <c r="L26" s="360"/>
      <c r="M26" s="360"/>
      <c r="N26" s="360"/>
      <c r="O26" s="360"/>
    </row>
    <row r="27" spans="1:21" s="349" customFormat="1" ht="37.15" customHeight="1" x14ac:dyDescent="0.2">
      <c r="A27" s="625"/>
      <c r="B27" s="645"/>
      <c r="C27" s="539" t="s">
        <v>410</v>
      </c>
      <c r="D27" s="540"/>
      <c r="E27" s="645"/>
      <c r="F27" s="555"/>
      <c r="G27" s="556"/>
      <c r="H27" s="556"/>
      <c r="I27" s="557"/>
      <c r="J27" s="561"/>
      <c r="K27" s="360"/>
      <c r="L27" s="360"/>
      <c r="M27" s="360"/>
      <c r="N27" s="360"/>
      <c r="O27" s="360"/>
    </row>
    <row r="28" spans="1:21" s="349" customFormat="1" ht="42.6" customHeight="1" x14ac:dyDescent="0.2">
      <c r="A28" s="625"/>
      <c r="B28" s="645"/>
      <c r="C28" s="541" t="s">
        <v>420</v>
      </c>
      <c r="D28" s="542"/>
      <c r="E28" s="645"/>
      <c r="F28" s="555"/>
      <c r="G28" s="556"/>
      <c r="H28" s="556"/>
      <c r="I28" s="557"/>
      <c r="J28" s="561"/>
      <c r="K28" s="360"/>
      <c r="L28" s="360"/>
      <c r="M28" s="360"/>
      <c r="N28" s="360"/>
      <c r="O28" s="360"/>
    </row>
    <row r="29" spans="1:21" s="349" customFormat="1" ht="19.149999999999999" customHeight="1" x14ac:dyDescent="0.2">
      <c r="A29" s="626"/>
      <c r="B29" s="646"/>
      <c r="C29" s="574" t="s">
        <v>421</v>
      </c>
      <c r="D29" s="575"/>
      <c r="E29" s="646"/>
      <c r="F29" s="558"/>
      <c r="G29" s="559"/>
      <c r="H29" s="559"/>
      <c r="I29" s="560"/>
      <c r="J29" s="562"/>
      <c r="K29" s="360"/>
      <c r="L29" s="360"/>
      <c r="M29" s="360"/>
      <c r="N29" s="360"/>
      <c r="O29" s="360"/>
    </row>
    <row r="30" spans="1:21" s="117" customFormat="1" ht="48" customHeight="1" x14ac:dyDescent="0.25">
      <c r="A30" s="624">
        <v>6</v>
      </c>
      <c r="B30" s="644" t="s">
        <v>424</v>
      </c>
      <c r="C30" s="534" t="s">
        <v>338</v>
      </c>
      <c r="D30" s="535"/>
      <c r="E30" s="644" t="s">
        <v>136</v>
      </c>
      <c r="F30" s="623" t="s">
        <v>426</v>
      </c>
      <c r="G30" s="553"/>
      <c r="H30" s="553"/>
      <c r="I30" s="553"/>
      <c r="J30" s="581">
        <f>(12+0.136*150)*1.1*(1+0.15)
*(0.76*1.3+0.24)*0.5*1000</f>
        <v>25165</v>
      </c>
      <c r="L30" s="624"/>
      <c r="M30" s="644"/>
      <c r="N30" s="534"/>
      <c r="O30" s="535"/>
      <c r="P30" s="644"/>
      <c r="Q30" s="623"/>
      <c r="R30" s="553"/>
      <c r="S30" s="553"/>
      <c r="T30" s="553"/>
      <c r="U30" s="581"/>
    </row>
    <row r="31" spans="1:21" s="117" customFormat="1" ht="36" customHeight="1" x14ac:dyDescent="0.25">
      <c r="A31" s="625"/>
      <c r="B31" s="645"/>
      <c r="C31" s="539" t="s">
        <v>410</v>
      </c>
      <c r="D31" s="540"/>
      <c r="E31" s="645"/>
      <c r="F31" s="555"/>
      <c r="G31" s="556"/>
      <c r="H31" s="556"/>
      <c r="I31" s="556"/>
      <c r="J31" s="561"/>
      <c r="L31" s="625"/>
      <c r="M31" s="645"/>
      <c r="N31" s="541"/>
      <c r="O31" s="542"/>
      <c r="P31" s="645"/>
      <c r="Q31" s="555"/>
      <c r="R31" s="556"/>
      <c r="S31" s="556"/>
      <c r="T31" s="556"/>
      <c r="U31" s="561"/>
    </row>
    <row r="32" spans="1:21" s="117" customFormat="1" ht="41.45" customHeight="1" x14ac:dyDescent="0.25">
      <c r="A32" s="625"/>
      <c r="B32" s="645"/>
      <c r="C32" s="541" t="s">
        <v>360</v>
      </c>
      <c r="D32" s="542"/>
      <c r="E32" s="645"/>
      <c r="F32" s="555"/>
      <c r="G32" s="556"/>
      <c r="H32" s="556"/>
      <c r="I32" s="556"/>
      <c r="J32" s="561"/>
      <c r="L32" s="625"/>
      <c r="M32" s="645"/>
      <c r="N32" s="539"/>
      <c r="O32" s="540"/>
      <c r="P32" s="645"/>
      <c r="Q32" s="555"/>
      <c r="R32" s="556"/>
      <c r="S32" s="556"/>
      <c r="T32" s="556"/>
      <c r="U32" s="561"/>
    </row>
    <row r="33" spans="1:21" s="117" customFormat="1" ht="39.75" customHeight="1" x14ac:dyDescent="0.25">
      <c r="A33" s="625"/>
      <c r="B33" s="645"/>
      <c r="C33" s="541" t="s">
        <v>425</v>
      </c>
      <c r="D33" s="542"/>
      <c r="E33" s="645"/>
      <c r="F33" s="555"/>
      <c r="G33" s="556"/>
      <c r="H33" s="556"/>
      <c r="I33" s="556"/>
      <c r="J33" s="561"/>
      <c r="L33" s="625"/>
      <c r="M33" s="645"/>
      <c r="N33" s="541"/>
      <c r="O33" s="542"/>
      <c r="P33" s="645"/>
      <c r="Q33" s="555"/>
      <c r="R33" s="556"/>
      <c r="S33" s="556"/>
      <c r="T33" s="556"/>
      <c r="U33" s="561"/>
    </row>
    <row r="34" spans="1:21" s="117" customFormat="1" ht="19.149999999999999" customHeight="1" x14ac:dyDescent="0.25">
      <c r="A34" s="625"/>
      <c r="B34" s="645"/>
      <c r="C34" s="539" t="s">
        <v>335</v>
      </c>
      <c r="D34" s="540"/>
      <c r="E34" s="645"/>
      <c r="F34" s="555"/>
      <c r="G34" s="556"/>
      <c r="H34" s="556"/>
      <c r="I34" s="556"/>
      <c r="J34" s="561"/>
      <c r="L34" s="625"/>
      <c r="M34" s="645"/>
      <c r="N34" s="539"/>
      <c r="O34" s="540"/>
      <c r="P34" s="645"/>
      <c r="Q34" s="555"/>
      <c r="R34" s="556"/>
      <c r="S34" s="556"/>
      <c r="T34" s="556"/>
      <c r="U34" s="561"/>
    </row>
    <row r="35" spans="1:21" s="117" customFormat="1" ht="48" customHeight="1" x14ac:dyDescent="0.25">
      <c r="A35" s="624">
        <v>7</v>
      </c>
      <c r="B35" s="644" t="s">
        <v>515</v>
      </c>
      <c r="C35" s="534" t="s">
        <v>516</v>
      </c>
      <c r="D35" s="535"/>
      <c r="E35" s="644" t="s">
        <v>331</v>
      </c>
      <c r="F35" s="623" t="s">
        <v>525</v>
      </c>
      <c r="G35" s="553"/>
      <c r="H35" s="553"/>
      <c r="I35" s="553"/>
      <c r="J35" s="581">
        <f>77.5*0.4*(0.76*1.3+0.24)
*0.5*1000</f>
        <v>19034</v>
      </c>
      <c r="L35" s="624"/>
      <c r="M35" s="644"/>
      <c r="N35" s="534"/>
      <c r="O35" s="535"/>
      <c r="P35" s="644"/>
      <c r="Q35" s="623"/>
      <c r="R35" s="553"/>
      <c r="S35" s="553"/>
      <c r="T35" s="553"/>
      <c r="U35" s="581"/>
    </row>
    <row r="36" spans="1:21" s="117" customFormat="1" ht="36" customHeight="1" x14ac:dyDescent="0.25">
      <c r="A36" s="625"/>
      <c r="B36" s="645"/>
      <c r="C36" s="541" t="s">
        <v>517</v>
      </c>
      <c r="D36" s="542"/>
      <c r="E36" s="645"/>
      <c r="F36" s="555"/>
      <c r="G36" s="556"/>
      <c r="H36" s="556"/>
      <c r="I36" s="556"/>
      <c r="J36" s="561"/>
      <c r="L36" s="625"/>
      <c r="M36" s="645"/>
      <c r="N36" s="541"/>
      <c r="O36" s="542"/>
      <c r="P36" s="645"/>
      <c r="Q36" s="555"/>
      <c r="R36" s="556"/>
      <c r="S36" s="556"/>
      <c r="T36" s="556"/>
      <c r="U36" s="561"/>
    </row>
    <row r="37" spans="1:21" s="117" customFormat="1" ht="41.45" customHeight="1" x14ac:dyDescent="0.25">
      <c r="A37" s="625"/>
      <c r="B37" s="645"/>
      <c r="C37" s="539" t="s">
        <v>410</v>
      </c>
      <c r="D37" s="540"/>
      <c r="E37" s="645"/>
      <c r="F37" s="555"/>
      <c r="G37" s="556"/>
      <c r="H37" s="556"/>
      <c r="I37" s="556"/>
      <c r="J37" s="561"/>
      <c r="L37" s="625"/>
      <c r="M37" s="645"/>
      <c r="N37" s="539"/>
      <c r="O37" s="540"/>
      <c r="P37" s="645"/>
      <c r="Q37" s="555"/>
      <c r="R37" s="556"/>
      <c r="S37" s="556"/>
      <c r="T37" s="556"/>
      <c r="U37" s="561"/>
    </row>
    <row r="38" spans="1:21" s="117" customFormat="1" ht="39.75" customHeight="1" x14ac:dyDescent="0.25">
      <c r="A38" s="625"/>
      <c r="B38" s="645"/>
      <c r="C38" s="541" t="s">
        <v>518</v>
      </c>
      <c r="D38" s="542"/>
      <c r="E38" s="645"/>
      <c r="F38" s="555"/>
      <c r="G38" s="556"/>
      <c r="H38" s="556"/>
      <c r="I38" s="556"/>
      <c r="J38" s="561"/>
      <c r="L38" s="625"/>
      <c r="M38" s="645"/>
      <c r="N38" s="541"/>
      <c r="O38" s="542"/>
      <c r="P38" s="645"/>
      <c r="Q38" s="555"/>
      <c r="R38" s="556"/>
      <c r="S38" s="556"/>
      <c r="T38" s="556"/>
      <c r="U38" s="561"/>
    </row>
    <row r="39" spans="1:21" s="117" customFormat="1" ht="19.149999999999999" customHeight="1" x14ac:dyDescent="0.25">
      <c r="A39" s="625"/>
      <c r="B39" s="645"/>
      <c r="C39" s="539" t="s">
        <v>519</v>
      </c>
      <c r="D39" s="540"/>
      <c r="E39" s="645"/>
      <c r="F39" s="555"/>
      <c r="G39" s="556"/>
      <c r="H39" s="556"/>
      <c r="I39" s="556"/>
      <c r="J39" s="561"/>
      <c r="L39" s="625"/>
      <c r="M39" s="645"/>
      <c r="N39" s="539"/>
      <c r="O39" s="540"/>
      <c r="P39" s="645"/>
      <c r="Q39" s="555"/>
      <c r="R39" s="556"/>
      <c r="S39" s="556"/>
      <c r="T39" s="556"/>
      <c r="U39" s="561"/>
    </row>
    <row r="40" spans="1:21" s="117" customFormat="1" ht="33" customHeight="1" x14ac:dyDescent="0.25">
      <c r="A40" s="624">
        <v>8</v>
      </c>
      <c r="B40" s="644" t="s">
        <v>604</v>
      </c>
      <c r="C40" s="534" t="s">
        <v>520</v>
      </c>
      <c r="D40" s="535"/>
      <c r="E40" s="644" t="s">
        <v>521</v>
      </c>
      <c r="F40" s="623" t="s">
        <v>526</v>
      </c>
      <c r="G40" s="553"/>
      <c r="H40" s="553"/>
      <c r="I40" s="553"/>
      <c r="J40" s="581">
        <f>30000*(1+0.2*2)*(0.76*1.3+0.24)*0.5</f>
        <v>25788</v>
      </c>
      <c r="L40" s="624"/>
      <c r="M40" s="644"/>
      <c r="N40" s="534"/>
      <c r="O40" s="535"/>
      <c r="P40" s="644"/>
      <c r="Q40" s="623"/>
      <c r="R40" s="553"/>
      <c r="S40" s="553"/>
      <c r="T40" s="553"/>
      <c r="U40" s="581"/>
    </row>
    <row r="41" spans="1:21" s="117" customFormat="1" ht="25.5" customHeight="1" x14ac:dyDescent="0.25">
      <c r="A41" s="625"/>
      <c r="B41" s="645"/>
      <c r="C41" s="541" t="s">
        <v>603</v>
      </c>
      <c r="D41" s="542"/>
      <c r="E41" s="645"/>
      <c r="F41" s="555"/>
      <c r="G41" s="556"/>
      <c r="H41" s="556"/>
      <c r="I41" s="556"/>
      <c r="J41" s="561"/>
      <c r="L41" s="625"/>
      <c r="M41" s="645"/>
      <c r="N41" s="541"/>
      <c r="O41" s="542"/>
      <c r="P41" s="645"/>
      <c r="Q41" s="555"/>
      <c r="R41" s="556"/>
      <c r="S41" s="556"/>
      <c r="T41" s="556"/>
      <c r="U41" s="561"/>
    </row>
    <row r="42" spans="1:21" s="117" customFormat="1" ht="41.45" customHeight="1" x14ac:dyDescent="0.25">
      <c r="A42" s="625"/>
      <c r="B42" s="645"/>
      <c r="C42" s="539" t="s">
        <v>410</v>
      </c>
      <c r="D42" s="540"/>
      <c r="E42" s="645"/>
      <c r="F42" s="555"/>
      <c r="G42" s="556"/>
      <c r="H42" s="556"/>
      <c r="I42" s="556"/>
      <c r="J42" s="561"/>
      <c r="L42" s="625"/>
      <c r="M42" s="645"/>
      <c r="N42" s="539"/>
      <c r="O42" s="540"/>
      <c r="P42" s="645"/>
      <c r="Q42" s="555"/>
      <c r="R42" s="556"/>
      <c r="S42" s="556"/>
      <c r="T42" s="556"/>
      <c r="U42" s="561"/>
    </row>
    <row r="43" spans="1:21" s="117" customFormat="1" ht="39.75" customHeight="1" x14ac:dyDescent="0.25">
      <c r="A43" s="625"/>
      <c r="B43" s="645"/>
      <c r="C43" s="541" t="s">
        <v>518</v>
      </c>
      <c r="D43" s="542"/>
      <c r="E43" s="645"/>
      <c r="F43" s="555"/>
      <c r="G43" s="556"/>
      <c r="H43" s="556"/>
      <c r="I43" s="556"/>
      <c r="J43" s="561"/>
      <c r="L43" s="625"/>
      <c r="M43" s="645"/>
      <c r="N43" s="541"/>
      <c r="O43" s="542"/>
      <c r="P43" s="645"/>
      <c r="Q43" s="555"/>
      <c r="R43" s="556"/>
      <c r="S43" s="556"/>
      <c r="T43" s="556"/>
      <c r="U43" s="561"/>
    </row>
    <row r="44" spans="1:21" s="117" customFormat="1" ht="19.149999999999999" customHeight="1" x14ac:dyDescent="0.25">
      <c r="A44" s="625"/>
      <c r="B44" s="645"/>
      <c r="C44" s="539" t="s">
        <v>519</v>
      </c>
      <c r="D44" s="540"/>
      <c r="E44" s="645"/>
      <c r="F44" s="555"/>
      <c r="G44" s="556"/>
      <c r="H44" s="556"/>
      <c r="I44" s="556"/>
      <c r="J44" s="561"/>
      <c r="L44" s="625"/>
      <c r="M44" s="645"/>
      <c r="N44" s="539"/>
      <c r="O44" s="540"/>
      <c r="P44" s="645"/>
      <c r="Q44" s="555"/>
      <c r="R44" s="556"/>
      <c r="S44" s="556"/>
      <c r="T44" s="556"/>
      <c r="U44" s="561"/>
    </row>
    <row r="45" spans="1:21" s="117" customFormat="1" ht="39" customHeight="1" x14ac:dyDescent="0.25">
      <c r="A45" s="624">
        <v>9</v>
      </c>
      <c r="B45" s="644" t="s">
        <v>423</v>
      </c>
      <c r="C45" s="534" t="s">
        <v>345</v>
      </c>
      <c r="D45" s="535"/>
      <c r="E45" s="644" t="s">
        <v>104</v>
      </c>
      <c r="F45" s="623" t="s">
        <v>427</v>
      </c>
      <c r="G45" s="553"/>
      <c r="H45" s="553"/>
      <c r="I45" s="553"/>
      <c r="J45" s="667">
        <f>(33+0.128*200)*1.1*(0.76*1.3+0.24)
*0.5*1000</f>
        <v>39578</v>
      </c>
      <c r="L45" s="624"/>
      <c r="M45" s="644"/>
      <c r="N45" s="534"/>
      <c r="O45" s="535"/>
      <c r="P45" s="644"/>
      <c r="Q45" s="623"/>
      <c r="R45" s="553"/>
      <c r="S45" s="553"/>
      <c r="T45" s="553"/>
      <c r="U45" s="581"/>
    </row>
    <row r="46" spans="1:21" s="117" customFormat="1" ht="34.15" customHeight="1" x14ac:dyDescent="0.25">
      <c r="A46" s="625"/>
      <c r="B46" s="645"/>
      <c r="C46" s="539" t="s">
        <v>410</v>
      </c>
      <c r="D46" s="540"/>
      <c r="E46" s="645"/>
      <c r="F46" s="555"/>
      <c r="G46" s="556"/>
      <c r="H46" s="556"/>
      <c r="I46" s="556"/>
      <c r="J46" s="668"/>
      <c r="L46" s="625"/>
      <c r="M46" s="645"/>
      <c r="N46" s="541"/>
      <c r="O46" s="542"/>
      <c r="P46" s="645"/>
      <c r="Q46" s="555"/>
      <c r="R46" s="556"/>
      <c r="S46" s="556"/>
      <c r="T46" s="556"/>
      <c r="U46" s="561"/>
    </row>
    <row r="47" spans="1:21" s="117" customFormat="1" ht="48.6" customHeight="1" x14ac:dyDescent="0.25">
      <c r="A47" s="625"/>
      <c r="B47" s="645"/>
      <c r="C47" s="541" t="s">
        <v>360</v>
      </c>
      <c r="D47" s="542"/>
      <c r="E47" s="645"/>
      <c r="F47" s="555"/>
      <c r="G47" s="556"/>
      <c r="H47" s="556"/>
      <c r="I47" s="556"/>
      <c r="J47" s="668"/>
      <c r="L47" s="625"/>
      <c r="M47" s="645"/>
      <c r="N47" s="539"/>
      <c r="O47" s="540"/>
      <c r="P47" s="645"/>
      <c r="Q47" s="555"/>
      <c r="R47" s="556"/>
      <c r="S47" s="556"/>
      <c r="T47" s="556"/>
      <c r="U47" s="561"/>
    </row>
    <row r="48" spans="1:21" s="117" customFormat="1" x14ac:dyDescent="0.25">
      <c r="A48" s="625"/>
      <c r="B48" s="645"/>
      <c r="C48" s="541" t="s">
        <v>334</v>
      </c>
      <c r="D48" s="542"/>
      <c r="E48" s="645"/>
      <c r="F48" s="555"/>
      <c r="G48" s="556"/>
      <c r="H48" s="556"/>
      <c r="I48" s="556"/>
      <c r="J48" s="668"/>
      <c r="L48" s="625"/>
      <c r="M48" s="645"/>
      <c r="N48" s="541"/>
      <c r="O48" s="542"/>
      <c r="P48" s="645"/>
      <c r="Q48" s="555"/>
      <c r="R48" s="556"/>
      <c r="S48" s="556"/>
      <c r="T48" s="556"/>
      <c r="U48" s="561"/>
    </row>
    <row r="49" spans="1:21" s="117" customFormat="1" x14ac:dyDescent="0.25">
      <c r="A49" s="626"/>
      <c r="B49" s="646"/>
      <c r="C49" s="621" t="s">
        <v>335</v>
      </c>
      <c r="D49" s="622"/>
      <c r="E49" s="646"/>
      <c r="F49" s="558"/>
      <c r="G49" s="559"/>
      <c r="H49" s="559"/>
      <c r="I49" s="559"/>
      <c r="J49" s="669"/>
      <c r="L49" s="625"/>
      <c r="M49" s="645"/>
      <c r="N49" s="539"/>
      <c r="O49" s="540"/>
      <c r="P49" s="645"/>
      <c r="Q49" s="555"/>
      <c r="R49" s="556"/>
      <c r="S49" s="556"/>
      <c r="T49" s="556"/>
      <c r="U49" s="561"/>
    </row>
    <row r="50" spans="1:21" s="117" customFormat="1" ht="45.75" customHeight="1" x14ac:dyDescent="0.25">
      <c r="A50" s="647">
        <v>10</v>
      </c>
      <c r="B50" s="648" t="s">
        <v>428</v>
      </c>
      <c r="C50" s="534" t="s">
        <v>346</v>
      </c>
      <c r="D50" s="535"/>
      <c r="E50" s="649" t="s">
        <v>136</v>
      </c>
      <c r="F50" s="623" t="s">
        <v>429</v>
      </c>
      <c r="G50" s="553"/>
      <c r="H50" s="553"/>
      <c r="I50" s="554"/>
      <c r="J50" s="581">
        <f>(55.04+0.213*500)*1.1
*(0.76*1.3+0.24)*0.5*1000</f>
        <v>109104</v>
      </c>
    </row>
    <row r="51" spans="1:21" s="117" customFormat="1" ht="34.15" customHeight="1" x14ac:dyDescent="0.25">
      <c r="A51" s="647"/>
      <c r="B51" s="648"/>
      <c r="C51" s="539" t="s">
        <v>410</v>
      </c>
      <c r="D51" s="540"/>
      <c r="E51" s="649"/>
      <c r="F51" s="555"/>
      <c r="G51" s="556"/>
      <c r="H51" s="556"/>
      <c r="I51" s="557"/>
      <c r="J51" s="561"/>
    </row>
    <row r="52" spans="1:21" s="117" customFormat="1" ht="42" customHeight="1" x14ac:dyDescent="0.25">
      <c r="A52" s="647"/>
      <c r="B52" s="648"/>
      <c r="C52" s="541" t="s">
        <v>360</v>
      </c>
      <c r="D52" s="542"/>
      <c r="E52" s="649"/>
      <c r="F52" s="555"/>
      <c r="G52" s="556"/>
      <c r="H52" s="556"/>
      <c r="I52" s="557"/>
      <c r="J52" s="561"/>
    </row>
    <row r="53" spans="1:21" s="117" customFormat="1" ht="19.149999999999999" customHeight="1" x14ac:dyDescent="0.25">
      <c r="A53" s="647"/>
      <c r="B53" s="648"/>
      <c r="C53" s="541" t="s">
        <v>334</v>
      </c>
      <c r="D53" s="542"/>
      <c r="E53" s="649"/>
      <c r="F53" s="555"/>
      <c r="G53" s="556"/>
      <c r="H53" s="556"/>
      <c r="I53" s="557"/>
      <c r="J53" s="561"/>
    </row>
    <row r="54" spans="1:21" s="117" customFormat="1" x14ac:dyDescent="0.25">
      <c r="A54" s="647"/>
      <c r="B54" s="648"/>
      <c r="C54" s="539" t="s">
        <v>335</v>
      </c>
      <c r="D54" s="540"/>
      <c r="E54" s="649"/>
      <c r="F54" s="558"/>
      <c r="G54" s="559"/>
      <c r="H54" s="559"/>
      <c r="I54" s="560"/>
      <c r="J54" s="562"/>
    </row>
    <row r="55" spans="1:21" s="117" customFormat="1" ht="28.5" customHeight="1" x14ac:dyDescent="0.25">
      <c r="A55" s="613">
        <v>11</v>
      </c>
      <c r="B55" s="616" t="s">
        <v>430</v>
      </c>
      <c r="C55" s="619" t="s">
        <v>342</v>
      </c>
      <c r="D55" s="620"/>
      <c r="E55" s="629" t="s">
        <v>330</v>
      </c>
      <c r="F55" s="632" t="s">
        <v>601</v>
      </c>
      <c r="G55" s="633"/>
      <c r="H55" s="633"/>
      <c r="I55" s="634"/>
      <c r="J55" s="650">
        <f>(3426.18+20.77*62.21)*0.15
*(0.68*1.3+0.32)*0.6*1000</f>
        <v>511273</v>
      </c>
    </row>
    <row r="56" spans="1:21" s="117" customFormat="1" x14ac:dyDescent="0.25">
      <c r="A56" s="614"/>
      <c r="B56" s="617"/>
      <c r="C56" s="653" t="s">
        <v>431</v>
      </c>
      <c r="D56" s="654"/>
      <c r="E56" s="630"/>
      <c r="F56" s="635"/>
      <c r="G56" s="636"/>
      <c r="H56" s="636"/>
      <c r="I56" s="637"/>
      <c r="J56" s="651"/>
    </row>
    <row r="57" spans="1:21" s="117" customFormat="1" ht="53.25" customHeight="1" x14ac:dyDescent="0.25">
      <c r="A57" s="614"/>
      <c r="B57" s="617"/>
      <c r="C57" s="539" t="s">
        <v>602</v>
      </c>
      <c r="D57" s="540"/>
      <c r="E57" s="630"/>
      <c r="F57" s="635"/>
      <c r="G57" s="636"/>
      <c r="H57" s="636"/>
      <c r="I57" s="637"/>
      <c r="J57" s="651"/>
    </row>
    <row r="58" spans="1:21" s="117" customFormat="1" ht="64.900000000000006" customHeight="1" x14ac:dyDescent="0.25">
      <c r="A58" s="614"/>
      <c r="B58" s="617"/>
      <c r="C58" s="564" t="s">
        <v>344</v>
      </c>
      <c r="D58" s="565"/>
      <c r="E58" s="630"/>
      <c r="F58" s="635"/>
      <c r="G58" s="636"/>
      <c r="H58" s="636"/>
      <c r="I58" s="637"/>
      <c r="J58" s="651"/>
    </row>
    <row r="59" spans="1:21" s="117" customFormat="1" x14ac:dyDescent="0.25">
      <c r="A59" s="615"/>
      <c r="B59" s="618"/>
      <c r="C59" s="627" t="s">
        <v>343</v>
      </c>
      <c r="D59" s="628"/>
      <c r="E59" s="631"/>
      <c r="F59" s="638"/>
      <c r="G59" s="639"/>
      <c r="H59" s="639"/>
      <c r="I59" s="640"/>
      <c r="J59" s="652"/>
    </row>
    <row r="60" spans="1:21" s="117" customFormat="1" ht="45.75" customHeight="1" x14ac:dyDescent="0.25">
      <c r="A60" s="647">
        <v>12</v>
      </c>
      <c r="B60" s="648" t="s">
        <v>442</v>
      </c>
      <c r="C60" s="534" t="s">
        <v>361</v>
      </c>
      <c r="D60" s="535"/>
      <c r="E60" s="649" t="s">
        <v>136</v>
      </c>
      <c r="F60" s="623" t="s">
        <v>443</v>
      </c>
      <c r="G60" s="553"/>
      <c r="H60" s="553"/>
      <c r="I60" s="554"/>
      <c r="J60" s="581">
        <f>(97.4+0.41*100)*1.1
*(0.76*1.3+0.24)*0.5*1000</f>
        <v>93475</v>
      </c>
    </row>
    <row r="61" spans="1:21" s="117" customFormat="1" ht="34.15" customHeight="1" x14ac:dyDescent="0.25">
      <c r="A61" s="647"/>
      <c r="B61" s="648"/>
      <c r="C61" s="539" t="s">
        <v>435</v>
      </c>
      <c r="D61" s="540"/>
      <c r="E61" s="649"/>
      <c r="F61" s="555"/>
      <c r="G61" s="556"/>
      <c r="H61" s="556"/>
      <c r="I61" s="557"/>
      <c r="J61" s="561"/>
    </row>
    <row r="62" spans="1:21" s="117" customFormat="1" ht="42" customHeight="1" x14ac:dyDescent="0.25">
      <c r="A62" s="647"/>
      <c r="B62" s="648"/>
      <c r="C62" s="541" t="s">
        <v>360</v>
      </c>
      <c r="D62" s="542"/>
      <c r="E62" s="649"/>
      <c r="F62" s="555"/>
      <c r="G62" s="556"/>
      <c r="H62" s="556"/>
      <c r="I62" s="557"/>
      <c r="J62" s="561"/>
    </row>
    <row r="63" spans="1:21" s="117" customFormat="1" ht="19.149999999999999" customHeight="1" x14ac:dyDescent="0.25">
      <c r="A63" s="647"/>
      <c r="B63" s="648"/>
      <c r="C63" s="541" t="s">
        <v>334</v>
      </c>
      <c r="D63" s="542"/>
      <c r="E63" s="649"/>
      <c r="F63" s="555"/>
      <c r="G63" s="556"/>
      <c r="H63" s="556"/>
      <c r="I63" s="557"/>
      <c r="J63" s="561"/>
    </row>
    <row r="64" spans="1:21" s="117" customFormat="1" x14ac:dyDescent="0.25">
      <c r="A64" s="647"/>
      <c r="B64" s="648"/>
      <c r="C64" s="539" t="s">
        <v>335</v>
      </c>
      <c r="D64" s="540"/>
      <c r="E64" s="649"/>
      <c r="F64" s="558"/>
      <c r="G64" s="559"/>
      <c r="H64" s="559"/>
      <c r="I64" s="560"/>
      <c r="J64" s="562"/>
    </row>
    <row r="65" spans="1:10" s="117" customFormat="1" ht="48" customHeight="1" x14ac:dyDescent="0.25">
      <c r="A65" s="624">
        <v>13</v>
      </c>
      <c r="B65" s="623" t="s">
        <v>437</v>
      </c>
      <c r="C65" s="534" t="s">
        <v>439</v>
      </c>
      <c r="D65" s="535"/>
      <c r="E65" s="641" t="s">
        <v>438</v>
      </c>
      <c r="F65" s="623" t="s">
        <v>441</v>
      </c>
      <c r="G65" s="553"/>
      <c r="H65" s="553"/>
      <c r="I65" s="554"/>
      <c r="J65" s="581">
        <f>6.15*(0.76*1.3+0.24)*0.3*1000</f>
        <v>2266</v>
      </c>
    </row>
    <row r="66" spans="1:10" s="117" customFormat="1" ht="32.25" customHeight="1" x14ac:dyDescent="0.25">
      <c r="A66" s="625"/>
      <c r="B66" s="555"/>
      <c r="C66" s="539" t="s">
        <v>435</v>
      </c>
      <c r="D66" s="540"/>
      <c r="E66" s="642"/>
      <c r="F66" s="555"/>
      <c r="G66" s="556"/>
      <c r="H66" s="556"/>
      <c r="I66" s="557"/>
      <c r="J66" s="561"/>
    </row>
    <row r="67" spans="1:10" s="117" customFormat="1" ht="52.15" customHeight="1" x14ac:dyDescent="0.25">
      <c r="A67" s="625"/>
      <c r="B67" s="555"/>
      <c r="C67" s="541" t="s">
        <v>360</v>
      </c>
      <c r="D67" s="542"/>
      <c r="E67" s="642"/>
      <c r="F67" s="555"/>
      <c r="G67" s="556"/>
      <c r="H67" s="556"/>
      <c r="I67" s="557"/>
      <c r="J67" s="561"/>
    </row>
    <row r="68" spans="1:10" s="117" customFormat="1" x14ac:dyDescent="0.25">
      <c r="A68" s="626"/>
      <c r="B68" s="558"/>
      <c r="C68" s="543" t="s">
        <v>440</v>
      </c>
      <c r="D68" s="544"/>
      <c r="E68" s="643"/>
      <c r="F68" s="558"/>
      <c r="G68" s="559"/>
      <c r="H68" s="559"/>
      <c r="I68" s="560"/>
      <c r="J68" s="562"/>
    </row>
    <row r="69" spans="1:10" s="117" customFormat="1" ht="45.75" customHeight="1" x14ac:dyDescent="0.25">
      <c r="A69" s="531">
        <v>14</v>
      </c>
      <c r="B69" s="532" t="s">
        <v>432</v>
      </c>
      <c r="C69" s="534" t="s">
        <v>433</v>
      </c>
      <c r="D69" s="535"/>
      <c r="E69" s="536" t="s">
        <v>104</v>
      </c>
      <c r="F69" s="537" t="s">
        <v>434</v>
      </c>
      <c r="G69" s="537"/>
      <c r="H69" s="537"/>
      <c r="I69" s="537"/>
      <c r="J69" s="538">
        <f>(21+0.062*800)*(0.76*1.3+0.24)*1.2
*0.4*1000</f>
        <v>41614</v>
      </c>
    </row>
    <row r="70" spans="1:10" s="117" customFormat="1" ht="27.75" customHeight="1" x14ac:dyDescent="0.25">
      <c r="A70" s="531"/>
      <c r="B70" s="533"/>
      <c r="C70" s="539" t="s">
        <v>435</v>
      </c>
      <c r="D70" s="540"/>
      <c r="E70" s="536"/>
      <c r="F70" s="537"/>
      <c r="G70" s="537"/>
      <c r="H70" s="537"/>
      <c r="I70" s="537"/>
      <c r="J70" s="538"/>
    </row>
    <row r="71" spans="1:10" s="117" customFormat="1" x14ac:dyDescent="0.25">
      <c r="A71" s="531"/>
      <c r="B71" s="533"/>
      <c r="C71" s="541" t="s">
        <v>358</v>
      </c>
      <c r="D71" s="542"/>
      <c r="E71" s="536"/>
      <c r="F71" s="537"/>
      <c r="G71" s="537"/>
      <c r="H71" s="537"/>
      <c r="I71" s="537"/>
      <c r="J71" s="538"/>
    </row>
    <row r="72" spans="1:10" s="117" customFormat="1" ht="42" customHeight="1" x14ac:dyDescent="0.25">
      <c r="A72" s="531"/>
      <c r="B72" s="533"/>
      <c r="C72" s="541" t="s">
        <v>360</v>
      </c>
      <c r="D72" s="542"/>
      <c r="E72" s="536"/>
      <c r="F72" s="537"/>
      <c r="G72" s="537"/>
      <c r="H72" s="537"/>
      <c r="I72" s="537"/>
      <c r="J72" s="538"/>
    </row>
    <row r="73" spans="1:10" s="117" customFormat="1" x14ac:dyDescent="0.25">
      <c r="A73" s="531"/>
      <c r="B73" s="533"/>
      <c r="C73" s="543" t="s">
        <v>337</v>
      </c>
      <c r="D73" s="544"/>
      <c r="E73" s="536"/>
      <c r="F73" s="537"/>
      <c r="G73" s="537"/>
      <c r="H73" s="537"/>
      <c r="I73" s="537"/>
      <c r="J73" s="538"/>
    </row>
    <row r="74" spans="1:10" s="117" customFormat="1" ht="45.75" customHeight="1" x14ac:dyDescent="0.25">
      <c r="A74" s="531">
        <v>15</v>
      </c>
      <c r="B74" s="532" t="s">
        <v>575</v>
      </c>
      <c r="C74" s="534" t="s">
        <v>576</v>
      </c>
      <c r="D74" s="535"/>
      <c r="E74" s="536" t="s">
        <v>104</v>
      </c>
      <c r="F74" s="537" t="s">
        <v>579</v>
      </c>
      <c r="G74" s="537"/>
      <c r="H74" s="537"/>
      <c r="I74" s="537"/>
      <c r="J74" s="538">
        <f>(23+0.078*850)*(0.76*1.3+0.24)*0.4*1000</f>
        <v>43864</v>
      </c>
    </row>
    <row r="75" spans="1:10" s="117" customFormat="1" ht="27.75" customHeight="1" x14ac:dyDescent="0.25">
      <c r="A75" s="531"/>
      <c r="B75" s="533"/>
      <c r="C75" s="539" t="s">
        <v>435</v>
      </c>
      <c r="D75" s="540"/>
      <c r="E75" s="536"/>
      <c r="F75" s="537"/>
      <c r="G75" s="537"/>
      <c r="H75" s="537"/>
      <c r="I75" s="537"/>
      <c r="J75" s="538"/>
    </row>
    <row r="76" spans="1:10" s="117" customFormat="1" ht="42" customHeight="1" x14ac:dyDescent="0.25">
      <c r="A76" s="531"/>
      <c r="B76" s="533"/>
      <c r="C76" s="541" t="s">
        <v>360</v>
      </c>
      <c r="D76" s="542"/>
      <c r="E76" s="536"/>
      <c r="F76" s="537"/>
      <c r="G76" s="537"/>
      <c r="H76" s="537"/>
      <c r="I76" s="537"/>
      <c r="J76" s="538"/>
    </row>
    <row r="77" spans="1:10" s="117" customFormat="1" x14ac:dyDescent="0.25">
      <c r="A77" s="531"/>
      <c r="B77" s="533"/>
      <c r="C77" s="543" t="s">
        <v>337</v>
      </c>
      <c r="D77" s="544"/>
      <c r="E77" s="536"/>
      <c r="F77" s="537"/>
      <c r="G77" s="537"/>
      <c r="H77" s="537"/>
      <c r="I77" s="537"/>
      <c r="J77" s="538"/>
    </row>
    <row r="78" spans="1:10" s="117" customFormat="1" ht="45.75" customHeight="1" x14ac:dyDescent="0.25">
      <c r="A78" s="545">
        <v>16</v>
      </c>
      <c r="B78" s="532" t="s">
        <v>578</v>
      </c>
      <c r="C78" s="534" t="s">
        <v>577</v>
      </c>
      <c r="D78" s="535"/>
      <c r="E78" s="550" t="s">
        <v>104</v>
      </c>
      <c r="F78" s="537" t="s">
        <v>580</v>
      </c>
      <c r="G78" s="553"/>
      <c r="H78" s="553"/>
      <c r="I78" s="554"/>
      <c r="J78" s="538">
        <f>(23+0.032*850)*(0.76*1.3+0.24)*1.2
*0.4*1000</f>
        <v>29590</v>
      </c>
    </row>
    <row r="79" spans="1:10" s="117" customFormat="1" ht="27.75" customHeight="1" x14ac:dyDescent="0.25">
      <c r="A79" s="546"/>
      <c r="B79" s="548"/>
      <c r="C79" s="539" t="s">
        <v>435</v>
      </c>
      <c r="D79" s="540"/>
      <c r="E79" s="551"/>
      <c r="F79" s="555"/>
      <c r="G79" s="556"/>
      <c r="H79" s="556"/>
      <c r="I79" s="557"/>
      <c r="J79" s="561"/>
    </row>
    <row r="80" spans="1:10" s="117" customFormat="1" ht="15" customHeight="1" x14ac:dyDescent="0.25">
      <c r="A80" s="546"/>
      <c r="B80" s="548"/>
      <c r="C80" s="541" t="s">
        <v>358</v>
      </c>
      <c r="D80" s="542"/>
      <c r="E80" s="551"/>
      <c r="F80" s="555"/>
      <c r="G80" s="556"/>
      <c r="H80" s="556"/>
      <c r="I80" s="557"/>
      <c r="J80" s="561"/>
    </row>
    <row r="81" spans="1:16" s="117" customFormat="1" ht="42" customHeight="1" x14ac:dyDescent="0.25">
      <c r="A81" s="546"/>
      <c r="B81" s="548"/>
      <c r="C81" s="541" t="s">
        <v>360</v>
      </c>
      <c r="D81" s="542"/>
      <c r="E81" s="551"/>
      <c r="F81" s="555"/>
      <c r="G81" s="556"/>
      <c r="H81" s="556"/>
      <c r="I81" s="557"/>
      <c r="J81" s="561"/>
    </row>
    <row r="82" spans="1:16" s="117" customFormat="1" ht="15" customHeight="1" x14ac:dyDescent="0.25">
      <c r="A82" s="547"/>
      <c r="B82" s="549"/>
      <c r="C82" s="543" t="s">
        <v>337</v>
      </c>
      <c r="D82" s="544"/>
      <c r="E82" s="552"/>
      <c r="F82" s="558"/>
      <c r="G82" s="559"/>
      <c r="H82" s="559"/>
      <c r="I82" s="560"/>
      <c r="J82" s="562"/>
    </row>
    <row r="83" spans="1:16" s="117" customFormat="1" ht="78" customHeight="1" x14ac:dyDescent="0.25">
      <c r="A83" s="531">
        <v>17</v>
      </c>
      <c r="B83" s="532" t="s">
        <v>584</v>
      </c>
      <c r="C83" s="534" t="s">
        <v>585</v>
      </c>
      <c r="D83" s="535"/>
      <c r="E83" s="536" t="s">
        <v>104</v>
      </c>
      <c r="F83" s="537" t="s">
        <v>436</v>
      </c>
      <c r="G83" s="537"/>
      <c r="H83" s="537"/>
      <c r="I83" s="537"/>
      <c r="J83" s="538">
        <f>(21+0.062*750)*(0.76*1.3+0.24)*1.2
*0.4*1000</f>
        <v>39787</v>
      </c>
    </row>
    <row r="84" spans="1:16" s="117" customFormat="1" ht="27.75" customHeight="1" x14ac:dyDescent="0.25">
      <c r="A84" s="531"/>
      <c r="B84" s="533"/>
      <c r="C84" s="539" t="s">
        <v>435</v>
      </c>
      <c r="D84" s="540"/>
      <c r="E84" s="536"/>
      <c r="F84" s="537"/>
      <c r="G84" s="537"/>
      <c r="H84" s="537"/>
      <c r="I84" s="537"/>
      <c r="J84" s="538"/>
    </row>
    <row r="85" spans="1:16" s="117" customFormat="1" x14ac:dyDescent="0.25">
      <c r="A85" s="531"/>
      <c r="B85" s="533"/>
      <c r="C85" s="541" t="s">
        <v>358</v>
      </c>
      <c r="D85" s="542"/>
      <c r="E85" s="536"/>
      <c r="F85" s="537"/>
      <c r="G85" s="537"/>
      <c r="H85" s="537"/>
      <c r="I85" s="537"/>
      <c r="J85" s="538"/>
    </row>
    <row r="86" spans="1:16" s="117" customFormat="1" ht="42" customHeight="1" x14ac:dyDescent="0.25">
      <c r="A86" s="531"/>
      <c r="B86" s="533"/>
      <c r="C86" s="541" t="s">
        <v>360</v>
      </c>
      <c r="D86" s="542"/>
      <c r="E86" s="536"/>
      <c r="F86" s="537"/>
      <c r="G86" s="537"/>
      <c r="H86" s="537"/>
      <c r="I86" s="537"/>
      <c r="J86" s="538"/>
    </row>
    <row r="87" spans="1:16" s="117" customFormat="1" x14ac:dyDescent="0.25">
      <c r="A87" s="531"/>
      <c r="B87" s="533"/>
      <c r="C87" s="543" t="s">
        <v>337</v>
      </c>
      <c r="D87" s="544"/>
      <c r="E87" s="536"/>
      <c r="F87" s="537"/>
      <c r="G87" s="537"/>
      <c r="H87" s="537"/>
      <c r="I87" s="537"/>
      <c r="J87" s="538"/>
    </row>
    <row r="88" spans="1:16" s="117" customFormat="1" ht="25.5" customHeight="1" x14ac:dyDescent="0.25">
      <c r="A88" s="624">
        <v>18</v>
      </c>
      <c r="B88" s="655" t="s">
        <v>444</v>
      </c>
      <c r="C88" s="534" t="s">
        <v>359</v>
      </c>
      <c r="D88" s="535"/>
      <c r="E88" s="655" t="s">
        <v>104</v>
      </c>
      <c r="F88" s="604" t="s">
        <v>445</v>
      </c>
      <c r="G88" s="605"/>
      <c r="H88" s="605"/>
      <c r="I88" s="606"/>
      <c r="J88" s="703">
        <f>(25.97+0.063*950)
*(0.76*1.3+0.24)*1000*0.4</f>
        <v>42155</v>
      </c>
    </row>
    <row r="89" spans="1:16" s="117" customFormat="1" ht="25.5" customHeight="1" x14ac:dyDescent="0.25">
      <c r="A89" s="625"/>
      <c r="B89" s="656"/>
      <c r="C89" s="539" t="s">
        <v>435</v>
      </c>
      <c r="D89" s="540"/>
      <c r="E89" s="656"/>
      <c r="F89" s="607"/>
      <c r="G89" s="608"/>
      <c r="H89" s="608"/>
      <c r="I89" s="609"/>
      <c r="J89" s="703"/>
    </row>
    <row r="90" spans="1:16" s="117" customFormat="1" ht="58.5" customHeight="1" x14ac:dyDescent="0.25">
      <c r="A90" s="625"/>
      <c r="B90" s="656"/>
      <c r="C90" s="541" t="s">
        <v>360</v>
      </c>
      <c r="D90" s="542"/>
      <c r="E90" s="656"/>
      <c r="F90" s="607"/>
      <c r="G90" s="608"/>
      <c r="H90" s="608"/>
      <c r="I90" s="609"/>
      <c r="J90" s="703"/>
    </row>
    <row r="91" spans="1:16" s="117" customFormat="1" ht="25.5" customHeight="1" x14ac:dyDescent="0.25">
      <c r="A91" s="626"/>
      <c r="B91" s="657"/>
      <c r="C91" s="621" t="s">
        <v>337</v>
      </c>
      <c r="D91" s="622"/>
      <c r="E91" s="657"/>
      <c r="F91" s="610"/>
      <c r="G91" s="611"/>
      <c r="H91" s="611"/>
      <c r="I91" s="612"/>
      <c r="J91" s="703"/>
    </row>
    <row r="92" spans="1:16" s="117" customFormat="1" ht="30" customHeight="1" x14ac:dyDescent="0.25">
      <c r="A92" s="582">
        <v>19</v>
      </c>
      <c r="B92" s="578" t="s">
        <v>347</v>
      </c>
      <c r="C92" s="570" t="s">
        <v>341</v>
      </c>
      <c r="D92" s="571"/>
      <c r="E92" s="578" t="s">
        <v>187</v>
      </c>
      <c r="F92" s="585" t="s">
        <v>447</v>
      </c>
      <c r="G92" s="586"/>
      <c r="H92" s="586"/>
      <c r="I92" s="587"/>
      <c r="J92" s="594">
        <f>(25.98 + 4.623 *8)*1000* (0.36*1.3+0.64) * 0.42</f>
        <v>29301</v>
      </c>
    </row>
    <row r="93" spans="1:16" s="117" customFormat="1" ht="29.25" customHeight="1" x14ac:dyDescent="0.25">
      <c r="A93" s="583"/>
      <c r="B93" s="579"/>
      <c r="C93" s="539" t="s">
        <v>435</v>
      </c>
      <c r="D93" s="540"/>
      <c r="E93" s="579"/>
      <c r="F93" s="588"/>
      <c r="G93" s="589"/>
      <c r="H93" s="589"/>
      <c r="I93" s="590"/>
      <c r="J93" s="595"/>
      <c r="K93" s="685" t="s">
        <v>446</v>
      </c>
      <c r="L93" s="686"/>
      <c r="M93" s="686"/>
      <c r="N93" s="686"/>
      <c r="O93" s="686"/>
      <c r="P93" s="686"/>
    </row>
    <row r="94" spans="1:16" s="117" customFormat="1" ht="49.15" customHeight="1" x14ac:dyDescent="0.25">
      <c r="A94" s="583"/>
      <c r="B94" s="579"/>
      <c r="C94" s="572" t="s">
        <v>185</v>
      </c>
      <c r="D94" s="573"/>
      <c r="E94" s="579"/>
      <c r="F94" s="588"/>
      <c r="G94" s="589"/>
      <c r="H94" s="589"/>
      <c r="I94" s="590"/>
      <c r="J94" s="595"/>
    </row>
    <row r="95" spans="1:16" s="117" customFormat="1" ht="19.149999999999999" customHeight="1" x14ac:dyDescent="0.25">
      <c r="A95" s="584"/>
      <c r="B95" s="580"/>
      <c r="C95" s="574" t="s">
        <v>336</v>
      </c>
      <c r="D95" s="575"/>
      <c r="E95" s="580"/>
      <c r="F95" s="591"/>
      <c r="G95" s="592"/>
      <c r="H95" s="592"/>
      <c r="I95" s="593"/>
      <c r="J95" s="596"/>
    </row>
    <row r="96" spans="1:16" s="117" customFormat="1" ht="30" customHeight="1" x14ac:dyDescent="0.25">
      <c r="A96" s="582">
        <v>20</v>
      </c>
      <c r="B96" s="578" t="s">
        <v>581</v>
      </c>
      <c r="C96" s="570" t="s">
        <v>341</v>
      </c>
      <c r="D96" s="571"/>
      <c r="E96" s="578" t="s">
        <v>187</v>
      </c>
      <c r="F96" s="585" t="s">
        <v>582</v>
      </c>
      <c r="G96" s="586"/>
      <c r="H96" s="586"/>
      <c r="I96" s="587"/>
      <c r="J96" s="594">
        <f>(25.98 + 4.623 *11)*1000* (0.36*1.3+0.64) * 0.42</f>
        <v>35755</v>
      </c>
    </row>
    <row r="97" spans="1:16" s="117" customFormat="1" ht="29.25" customHeight="1" x14ac:dyDescent="0.25">
      <c r="A97" s="583"/>
      <c r="B97" s="579"/>
      <c r="C97" s="539" t="s">
        <v>435</v>
      </c>
      <c r="D97" s="540"/>
      <c r="E97" s="579"/>
      <c r="F97" s="588"/>
      <c r="G97" s="589"/>
      <c r="H97" s="589"/>
      <c r="I97" s="590"/>
      <c r="J97" s="595"/>
      <c r="K97" s="687" t="s">
        <v>583</v>
      </c>
      <c r="L97" s="686"/>
      <c r="M97" s="686"/>
      <c r="N97" s="686"/>
      <c r="O97" s="686"/>
      <c r="P97" s="686"/>
    </row>
    <row r="98" spans="1:16" s="117" customFormat="1" ht="49.15" customHeight="1" x14ac:dyDescent="0.25">
      <c r="A98" s="583"/>
      <c r="B98" s="579"/>
      <c r="C98" s="572" t="s">
        <v>185</v>
      </c>
      <c r="D98" s="573"/>
      <c r="E98" s="579"/>
      <c r="F98" s="588"/>
      <c r="G98" s="589"/>
      <c r="H98" s="589"/>
      <c r="I98" s="590"/>
      <c r="J98" s="595"/>
    </row>
    <row r="99" spans="1:16" s="117" customFormat="1" ht="19.149999999999999" customHeight="1" x14ac:dyDescent="0.25">
      <c r="A99" s="584"/>
      <c r="B99" s="580"/>
      <c r="C99" s="574" t="s">
        <v>336</v>
      </c>
      <c r="D99" s="575"/>
      <c r="E99" s="580"/>
      <c r="F99" s="591"/>
      <c r="G99" s="592"/>
      <c r="H99" s="592"/>
      <c r="I99" s="593"/>
      <c r="J99" s="596"/>
    </row>
    <row r="100" spans="1:16" s="117" customFormat="1" ht="30" customHeight="1" x14ac:dyDescent="0.25">
      <c r="A100" s="582">
        <v>21</v>
      </c>
      <c r="B100" s="578" t="s">
        <v>448</v>
      </c>
      <c r="C100" s="570" t="s">
        <v>339</v>
      </c>
      <c r="D100" s="571"/>
      <c r="E100" s="578" t="s">
        <v>188</v>
      </c>
      <c r="F100" s="585" t="s">
        <v>449</v>
      </c>
      <c r="G100" s="586"/>
      <c r="H100" s="586"/>
      <c r="I100" s="587"/>
      <c r="J100" s="594">
        <f>(36.61+4.57*(0.4*12+0.6*24))*1.1* 1000 * (0.36*1.3+0.64) *0.5</f>
        <v>75781</v>
      </c>
    </row>
    <row r="101" spans="1:16" s="117" customFormat="1" ht="45.75" customHeight="1" x14ac:dyDescent="0.25">
      <c r="A101" s="583"/>
      <c r="B101" s="579"/>
      <c r="C101" s="572" t="s">
        <v>340</v>
      </c>
      <c r="D101" s="573"/>
      <c r="E101" s="579"/>
      <c r="F101" s="588"/>
      <c r="G101" s="589"/>
      <c r="H101" s="589"/>
      <c r="I101" s="590"/>
      <c r="J101" s="595"/>
    </row>
    <row r="102" spans="1:16" s="117" customFormat="1" ht="29.25" customHeight="1" x14ac:dyDescent="0.25">
      <c r="A102" s="583"/>
      <c r="B102" s="579"/>
      <c r="C102" s="539" t="s">
        <v>435</v>
      </c>
      <c r="D102" s="540"/>
      <c r="E102" s="579"/>
      <c r="F102" s="588"/>
      <c r="G102" s="589"/>
      <c r="H102" s="589"/>
      <c r="I102" s="590"/>
      <c r="J102" s="595"/>
    </row>
    <row r="103" spans="1:16" s="117" customFormat="1" ht="40.15" customHeight="1" x14ac:dyDescent="0.25">
      <c r="A103" s="583"/>
      <c r="B103" s="579"/>
      <c r="C103" s="572" t="s">
        <v>185</v>
      </c>
      <c r="D103" s="573"/>
      <c r="E103" s="579"/>
      <c r="F103" s="588"/>
      <c r="G103" s="589"/>
      <c r="H103" s="589"/>
      <c r="I103" s="590"/>
      <c r="J103" s="595"/>
    </row>
    <row r="104" spans="1:16" s="117" customFormat="1" ht="19.149999999999999" customHeight="1" x14ac:dyDescent="0.25">
      <c r="A104" s="584"/>
      <c r="B104" s="580"/>
      <c r="C104" s="574" t="s">
        <v>335</v>
      </c>
      <c r="D104" s="575"/>
      <c r="E104" s="580"/>
      <c r="F104" s="591"/>
      <c r="G104" s="592"/>
      <c r="H104" s="592"/>
      <c r="I104" s="593"/>
      <c r="J104" s="596"/>
    </row>
    <row r="105" spans="1:16" s="117" customFormat="1" ht="30" customHeight="1" x14ac:dyDescent="0.25">
      <c r="A105" s="582">
        <v>22</v>
      </c>
      <c r="B105" s="578" t="s">
        <v>350</v>
      </c>
      <c r="C105" s="570" t="s">
        <v>351</v>
      </c>
      <c r="D105" s="571"/>
      <c r="E105" s="578" t="s">
        <v>352</v>
      </c>
      <c r="F105" s="585" t="s">
        <v>450</v>
      </c>
      <c r="G105" s="586"/>
      <c r="H105" s="586"/>
      <c r="I105" s="587"/>
      <c r="J105" s="594">
        <f>85.45*(0.36*1.3+0.64)*0.5*1000</f>
        <v>47339</v>
      </c>
    </row>
    <row r="106" spans="1:16" s="117" customFormat="1" ht="29.25" customHeight="1" x14ac:dyDescent="0.25">
      <c r="A106" s="583"/>
      <c r="B106" s="579"/>
      <c r="C106" s="539" t="s">
        <v>435</v>
      </c>
      <c r="D106" s="540"/>
      <c r="E106" s="579"/>
      <c r="F106" s="588"/>
      <c r="G106" s="589"/>
      <c r="H106" s="589"/>
      <c r="I106" s="590"/>
      <c r="J106" s="595"/>
    </row>
    <row r="107" spans="1:16" s="117" customFormat="1" ht="40.15" customHeight="1" x14ac:dyDescent="0.25">
      <c r="A107" s="583"/>
      <c r="B107" s="579"/>
      <c r="C107" s="572" t="s">
        <v>185</v>
      </c>
      <c r="D107" s="573"/>
      <c r="E107" s="579"/>
      <c r="F107" s="588"/>
      <c r="G107" s="589"/>
      <c r="H107" s="589"/>
      <c r="I107" s="590"/>
      <c r="J107" s="595"/>
    </row>
    <row r="108" spans="1:16" s="117" customFormat="1" ht="19.149999999999999" customHeight="1" x14ac:dyDescent="0.25">
      <c r="A108" s="584"/>
      <c r="B108" s="580"/>
      <c r="C108" s="574" t="s">
        <v>335</v>
      </c>
      <c r="D108" s="575"/>
      <c r="E108" s="580"/>
      <c r="F108" s="591"/>
      <c r="G108" s="592"/>
      <c r="H108" s="592"/>
      <c r="I108" s="593"/>
      <c r="J108" s="596"/>
    </row>
    <row r="109" spans="1:16" s="117" customFormat="1" ht="30" customHeight="1" x14ac:dyDescent="0.25">
      <c r="A109" s="582">
        <v>23</v>
      </c>
      <c r="B109" s="578" t="s">
        <v>348</v>
      </c>
      <c r="C109" s="570" t="s">
        <v>349</v>
      </c>
      <c r="D109" s="571"/>
      <c r="E109" s="578" t="s">
        <v>188</v>
      </c>
      <c r="F109" s="585" t="s">
        <v>449</v>
      </c>
      <c r="G109" s="586"/>
      <c r="H109" s="586"/>
      <c r="I109" s="587"/>
      <c r="J109" s="594">
        <f>(36.61+4.57*(0.4*12+0.6*24))*1.1* 1000 * (0.36*1.3+0.64) *0.5</f>
        <v>75781</v>
      </c>
    </row>
    <row r="110" spans="1:16" s="117" customFormat="1" ht="45.75" customHeight="1" x14ac:dyDescent="0.25">
      <c r="A110" s="583"/>
      <c r="B110" s="579"/>
      <c r="C110" s="572" t="s">
        <v>340</v>
      </c>
      <c r="D110" s="573"/>
      <c r="E110" s="579"/>
      <c r="F110" s="588"/>
      <c r="G110" s="589"/>
      <c r="H110" s="589"/>
      <c r="I110" s="590"/>
      <c r="J110" s="595"/>
    </row>
    <row r="111" spans="1:16" s="117" customFormat="1" ht="29.25" customHeight="1" x14ac:dyDescent="0.25">
      <c r="A111" s="583"/>
      <c r="B111" s="579"/>
      <c r="C111" s="539" t="s">
        <v>435</v>
      </c>
      <c r="D111" s="540"/>
      <c r="E111" s="579"/>
      <c r="F111" s="588"/>
      <c r="G111" s="589"/>
      <c r="H111" s="589"/>
      <c r="I111" s="590"/>
      <c r="J111" s="595"/>
    </row>
    <row r="112" spans="1:16" s="117" customFormat="1" ht="40.15" customHeight="1" x14ac:dyDescent="0.25">
      <c r="A112" s="583"/>
      <c r="B112" s="579"/>
      <c r="C112" s="572" t="s">
        <v>185</v>
      </c>
      <c r="D112" s="573"/>
      <c r="E112" s="579"/>
      <c r="F112" s="588"/>
      <c r="G112" s="589"/>
      <c r="H112" s="589"/>
      <c r="I112" s="590"/>
      <c r="J112" s="595"/>
    </row>
    <row r="113" spans="1:10" s="117" customFormat="1" ht="19.149999999999999" customHeight="1" x14ac:dyDescent="0.25">
      <c r="A113" s="584"/>
      <c r="B113" s="580"/>
      <c r="C113" s="574" t="s">
        <v>335</v>
      </c>
      <c r="D113" s="575"/>
      <c r="E113" s="580"/>
      <c r="F113" s="591"/>
      <c r="G113" s="592"/>
      <c r="H113" s="592"/>
      <c r="I113" s="593"/>
      <c r="J113" s="596"/>
    </row>
    <row r="114" spans="1:10" s="117" customFormat="1" ht="30" customHeight="1" x14ac:dyDescent="0.25">
      <c r="A114" s="582">
        <v>24</v>
      </c>
      <c r="B114" s="578" t="s">
        <v>587</v>
      </c>
      <c r="C114" s="570" t="s">
        <v>353</v>
      </c>
      <c r="D114" s="571"/>
      <c r="E114" s="578" t="s">
        <v>354</v>
      </c>
      <c r="F114" s="585" t="s">
        <v>586</v>
      </c>
      <c r="G114" s="586"/>
      <c r="H114" s="586"/>
      <c r="I114" s="587"/>
      <c r="J114" s="594">
        <f>2.4*3*(0.36*1.3+0.64)*0.5*1000</f>
        <v>3989</v>
      </c>
    </row>
    <row r="115" spans="1:10" s="117" customFormat="1" ht="29.25" customHeight="1" x14ac:dyDescent="0.25">
      <c r="A115" s="583"/>
      <c r="B115" s="579"/>
      <c r="C115" s="539" t="s">
        <v>435</v>
      </c>
      <c r="D115" s="540"/>
      <c r="E115" s="579"/>
      <c r="F115" s="588"/>
      <c r="G115" s="589"/>
      <c r="H115" s="589"/>
      <c r="I115" s="590"/>
      <c r="J115" s="595"/>
    </row>
    <row r="116" spans="1:10" s="117" customFormat="1" ht="40.15" customHeight="1" x14ac:dyDescent="0.25">
      <c r="A116" s="583"/>
      <c r="B116" s="579"/>
      <c r="C116" s="572" t="s">
        <v>185</v>
      </c>
      <c r="D116" s="573"/>
      <c r="E116" s="579"/>
      <c r="F116" s="588"/>
      <c r="G116" s="589"/>
      <c r="H116" s="589"/>
      <c r="I116" s="590"/>
      <c r="J116" s="595"/>
    </row>
    <row r="117" spans="1:10" s="117" customFormat="1" ht="19.149999999999999" customHeight="1" x14ac:dyDescent="0.25">
      <c r="A117" s="584"/>
      <c r="B117" s="580"/>
      <c r="C117" s="574" t="s">
        <v>335</v>
      </c>
      <c r="D117" s="575"/>
      <c r="E117" s="580"/>
      <c r="F117" s="591"/>
      <c r="G117" s="592"/>
      <c r="H117" s="592"/>
      <c r="I117" s="593"/>
      <c r="J117" s="596"/>
    </row>
    <row r="118" spans="1:10" s="117" customFormat="1" ht="30" customHeight="1" x14ac:dyDescent="0.25">
      <c r="A118" s="582">
        <v>25</v>
      </c>
      <c r="B118" s="578" t="s">
        <v>355</v>
      </c>
      <c r="C118" s="570" t="s">
        <v>356</v>
      </c>
      <c r="D118" s="571"/>
      <c r="E118" s="578" t="s">
        <v>357</v>
      </c>
      <c r="F118" s="585" t="s">
        <v>451</v>
      </c>
      <c r="G118" s="586"/>
      <c r="H118" s="586"/>
      <c r="I118" s="587"/>
      <c r="J118" s="594">
        <f>(34.2+0.79*31)*(0.36*1.3+0.64)
*0.5*1000</f>
        <v>32514</v>
      </c>
    </row>
    <row r="119" spans="1:10" s="117" customFormat="1" ht="29.25" customHeight="1" x14ac:dyDescent="0.25">
      <c r="A119" s="583"/>
      <c r="B119" s="579"/>
      <c r="C119" s="539" t="s">
        <v>435</v>
      </c>
      <c r="D119" s="540"/>
      <c r="E119" s="579"/>
      <c r="F119" s="588"/>
      <c r="G119" s="589"/>
      <c r="H119" s="589"/>
      <c r="I119" s="590"/>
      <c r="J119" s="595"/>
    </row>
    <row r="120" spans="1:10" s="117" customFormat="1" ht="40.15" customHeight="1" x14ac:dyDescent="0.25">
      <c r="A120" s="583"/>
      <c r="B120" s="579"/>
      <c r="C120" s="572" t="s">
        <v>185</v>
      </c>
      <c r="D120" s="573"/>
      <c r="E120" s="579"/>
      <c r="F120" s="588"/>
      <c r="G120" s="589"/>
      <c r="H120" s="589"/>
      <c r="I120" s="590"/>
      <c r="J120" s="595"/>
    </row>
    <row r="121" spans="1:10" s="117" customFormat="1" ht="19.149999999999999" customHeight="1" x14ac:dyDescent="0.25">
      <c r="A121" s="584"/>
      <c r="B121" s="580"/>
      <c r="C121" s="574" t="s">
        <v>335</v>
      </c>
      <c r="D121" s="575"/>
      <c r="E121" s="580"/>
      <c r="F121" s="591"/>
      <c r="G121" s="592"/>
      <c r="H121" s="592"/>
      <c r="I121" s="593"/>
      <c r="J121" s="596"/>
    </row>
    <row r="122" spans="1:10" s="117" customFormat="1" ht="30" customHeight="1" x14ac:dyDescent="0.25">
      <c r="A122" s="582">
        <v>26</v>
      </c>
      <c r="B122" s="578" t="s">
        <v>362</v>
      </c>
      <c r="C122" s="570" t="s">
        <v>339</v>
      </c>
      <c r="D122" s="571"/>
      <c r="E122" s="578" t="s">
        <v>188</v>
      </c>
      <c r="F122" s="585" t="s">
        <v>363</v>
      </c>
      <c r="G122" s="586"/>
      <c r="H122" s="586"/>
      <c r="I122" s="587"/>
      <c r="J122" s="594">
        <f>(36.61+4.57*4)*(0.36*1.3+0.64)*0.5*1000</f>
        <v>30409</v>
      </c>
    </row>
    <row r="123" spans="1:10" s="117" customFormat="1" ht="29.25" customHeight="1" x14ac:dyDescent="0.25">
      <c r="A123" s="583"/>
      <c r="B123" s="579"/>
      <c r="C123" s="539" t="s">
        <v>435</v>
      </c>
      <c r="D123" s="540"/>
      <c r="E123" s="579"/>
      <c r="F123" s="588"/>
      <c r="G123" s="589"/>
      <c r="H123" s="589"/>
      <c r="I123" s="590"/>
      <c r="J123" s="595"/>
    </row>
    <row r="124" spans="1:10" s="117" customFormat="1" ht="40.15" customHeight="1" x14ac:dyDescent="0.25">
      <c r="A124" s="583"/>
      <c r="B124" s="579"/>
      <c r="C124" s="572" t="s">
        <v>185</v>
      </c>
      <c r="D124" s="573"/>
      <c r="E124" s="579"/>
      <c r="F124" s="588"/>
      <c r="G124" s="589"/>
      <c r="H124" s="589"/>
      <c r="I124" s="590"/>
      <c r="J124" s="595"/>
    </row>
    <row r="125" spans="1:10" s="117" customFormat="1" ht="19.149999999999999" customHeight="1" x14ac:dyDescent="0.25">
      <c r="A125" s="584"/>
      <c r="B125" s="580"/>
      <c r="C125" s="574" t="s">
        <v>335</v>
      </c>
      <c r="D125" s="575"/>
      <c r="E125" s="580"/>
      <c r="F125" s="591"/>
      <c r="G125" s="592"/>
      <c r="H125" s="592"/>
      <c r="I125" s="593"/>
      <c r="J125" s="596"/>
    </row>
    <row r="126" spans="1:10" s="117" customFormat="1" ht="27.6" customHeight="1" x14ac:dyDescent="0.25">
      <c r="A126" s="599">
        <v>27</v>
      </c>
      <c r="B126" s="600" t="s">
        <v>189</v>
      </c>
      <c r="C126" s="576" t="s">
        <v>190</v>
      </c>
      <c r="D126" s="577"/>
      <c r="E126" s="563" t="s">
        <v>191</v>
      </c>
      <c r="F126" s="616" t="s">
        <v>366</v>
      </c>
      <c r="G126" s="694"/>
      <c r="H126" s="694"/>
      <c r="I126" s="695"/>
      <c r="J126" s="700">
        <f>4.561*1.2*1.2*1000*(0.97*1.2+0.03)*0.4*0</f>
        <v>0</v>
      </c>
    </row>
    <row r="127" spans="1:10" s="117" customFormat="1" ht="19.149999999999999" customHeight="1" x14ac:dyDescent="0.25">
      <c r="A127" s="599"/>
      <c r="B127" s="600"/>
      <c r="C127" s="564" t="s">
        <v>364</v>
      </c>
      <c r="D127" s="565"/>
      <c r="E127" s="563"/>
      <c r="F127" s="617"/>
      <c r="G127" s="696"/>
      <c r="H127" s="696"/>
      <c r="I127" s="697"/>
      <c r="J127" s="701"/>
    </row>
    <row r="128" spans="1:10" s="117" customFormat="1" ht="19.149999999999999" customHeight="1" x14ac:dyDescent="0.25">
      <c r="A128" s="599"/>
      <c r="B128" s="600"/>
      <c r="C128" s="564" t="s">
        <v>365</v>
      </c>
      <c r="D128" s="565"/>
      <c r="E128" s="563"/>
      <c r="F128" s="617"/>
      <c r="G128" s="696"/>
      <c r="H128" s="696"/>
      <c r="I128" s="697"/>
      <c r="J128" s="701"/>
    </row>
    <row r="129" spans="1:10" s="117" customFormat="1" ht="39.6" customHeight="1" x14ac:dyDescent="0.25">
      <c r="A129" s="599"/>
      <c r="B129" s="600"/>
      <c r="C129" s="564" t="s">
        <v>192</v>
      </c>
      <c r="D129" s="565"/>
      <c r="E129" s="563"/>
      <c r="F129" s="617"/>
      <c r="G129" s="696"/>
      <c r="H129" s="696"/>
      <c r="I129" s="697"/>
      <c r="J129" s="701"/>
    </row>
    <row r="130" spans="1:10" s="117" customFormat="1" ht="34.15" customHeight="1" x14ac:dyDescent="0.25">
      <c r="A130" s="599"/>
      <c r="B130" s="600"/>
      <c r="C130" s="564" t="s">
        <v>193</v>
      </c>
      <c r="D130" s="565"/>
      <c r="E130" s="563"/>
      <c r="F130" s="617"/>
      <c r="G130" s="696"/>
      <c r="H130" s="696"/>
      <c r="I130" s="697"/>
      <c r="J130" s="701"/>
    </row>
    <row r="131" spans="1:10" s="117" customFormat="1" ht="24.6" customHeight="1" x14ac:dyDescent="0.25">
      <c r="A131" s="599"/>
      <c r="B131" s="600"/>
      <c r="C131" s="564" t="s">
        <v>194</v>
      </c>
      <c r="D131" s="565"/>
      <c r="E131" s="563"/>
      <c r="F131" s="617"/>
      <c r="G131" s="696"/>
      <c r="H131" s="696"/>
      <c r="I131" s="697"/>
      <c r="J131" s="701"/>
    </row>
    <row r="132" spans="1:10" s="117" customFormat="1" ht="40.9" customHeight="1" x14ac:dyDescent="0.25">
      <c r="A132" s="599"/>
      <c r="B132" s="600"/>
      <c r="C132" s="566" t="s">
        <v>195</v>
      </c>
      <c r="D132" s="567"/>
      <c r="E132" s="563"/>
      <c r="F132" s="617"/>
      <c r="G132" s="696"/>
      <c r="H132" s="696"/>
      <c r="I132" s="697"/>
      <c r="J132" s="701"/>
    </row>
    <row r="133" spans="1:10" s="117" customFormat="1" ht="19.149999999999999" customHeight="1" x14ac:dyDescent="0.25">
      <c r="A133" s="599"/>
      <c r="B133" s="600"/>
      <c r="C133" s="568" t="s">
        <v>196</v>
      </c>
      <c r="D133" s="569"/>
      <c r="E133" s="563"/>
      <c r="F133" s="618"/>
      <c r="G133" s="698"/>
      <c r="H133" s="698"/>
      <c r="I133" s="699"/>
      <c r="J133" s="702"/>
    </row>
    <row r="134" spans="1:10" s="117" customFormat="1" ht="25.5" hidden="1" customHeight="1" x14ac:dyDescent="0.25">
      <c r="A134" s="624">
        <v>5</v>
      </c>
      <c r="B134" s="655" t="s">
        <v>174</v>
      </c>
      <c r="C134" s="534" t="s">
        <v>171</v>
      </c>
      <c r="D134" s="535"/>
      <c r="E134" s="550" t="s">
        <v>136</v>
      </c>
      <c r="F134" s="623" t="s">
        <v>176</v>
      </c>
      <c r="G134" s="553"/>
      <c r="H134" s="553"/>
      <c r="I134" s="554"/>
      <c r="J134" s="594">
        <f>(7.763+0.042*200)*1000*(0.68*1.2+0.32)*0.4*0</f>
        <v>0</v>
      </c>
    </row>
    <row r="135" spans="1:10" s="117" customFormat="1" ht="20.45" hidden="1" customHeight="1" x14ac:dyDescent="0.25">
      <c r="A135" s="625"/>
      <c r="B135" s="656"/>
      <c r="C135" s="541" t="s">
        <v>175</v>
      </c>
      <c r="D135" s="542"/>
      <c r="E135" s="551"/>
      <c r="F135" s="555"/>
      <c r="G135" s="556"/>
      <c r="H135" s="556"/>
      <c r="I135" s="557"/>
      <c r="J135" s="595"/>
    </row>
    <row r="136" spans="1:10" s="117" customFormat="1" ht="45" hidden="1" customHeight="1" x14ac:dyDescent="0.25">
      <c r="A136" s="625"/>
      <c r="B136" s="656"/>
      <c r="C136" s="541" t="s">
        <v>107</v>
      </c>
      <c r="D136" s="542"/>
      <c r="E136" s="551"/>
      <c r="F136" s="555"/>
      <c r="G136" s="556"/>
      <c r="H136" s="556"/>
      <c r="I136" s="557"/>
      <c r="J136" s="595"/>
    </row>
    <row r="137" spans="1:10" s="117" customFormat="1" ht="54" hidden="1" customHeight="1" x14ac:dyDescent="0.25">
      <c r="A137" s="625"/>
      <c r="B137" s="656"/>
      <c r="C137" s="541" t="s">
        <v>172</v>
      </c>
      <c r="D137" s="542"/>
      <c r="E137" s="551"/>
      <c r="F137" s="555"/>
      <c r="G137" s="556"/>
      <c r="H137" s="556"/>
      <c r="I137" s="557"/>
      <c r="J137" s="595"/>
    </row>
    <row r="138" spans="1:10" s="117" customFormat="1" ht="25.5" hidden="1" customHeight="1" x14ac:dyDescent="0.25">
      <c r="A138" s="625"/>
      <c r="B138" s="656"/>
      <c r="C138" s="543" t="s">
        <v>173</v>
      </c>
      <c r="D138" s="544"/>
      <c r="E138" s="552"/>
      <c r="F138" s="555"/>
      <c r="G138" s="556"/>
      <c r="H138" s="556"/>
      <c r="I138" s="557"/>
      <c r="J138" s="595"/>
    </row>
    <row r="139" spans="1:10" s="117" customFormat="1" ht="75" hidden="1" customHeight="1" x14ac:dyDescent="0.25">
      <c r="A139" s="582">
        <v>6</v>
      </c>
      <c r="B139" s="578" t="s">
        <v>96</v>
      </c>
      <c r="C139" s="601" t="s">
        <v>101</v>
      </c>
      <c r="D139" s="602"/>
      <c r="E139" s="691" t="s">
        <v>105</v>
      </c>
      <c r="F139" s="585" t="s">
        <v>144</v>
      </c>
      <c r="G139" s="586"/>
      <c r="H139" s="586"/>
      <c r="I139" s="587"/>
      <c r="J139" s="688">
        <f>30500 *0.9*0</f>
        <v>0</v>
      </c>
    </row>
    <row r="140" spans="1:10" s="117" customFormat="1" ht="25.5" hidden="1" customHeight="1" x14ac:dyDescent="0.25">
      <c r="A140" s="583"/>
      <c r="B140" s="579"/>
      <c r="C140" s="603" t="s">
        <v>143</v>
      </c>
      <c r="D140" s="602"/>
      <c r="E140" s="692"/>
      <c r="F140" s="588"/>
      <c r="G140" s="589"/>
      <c r="H140" s="589"/>
      <c r="I140" s="590"/>
      <c r="J140" s="689"/>
    </row>
    <row r="141" spans="1:10" s="117" customFormat="1" ht="25.5" hidden="1" customHeight="1" x14ac:dyDescent="0.25">
      <c r="A141" s="583"/>
      <c r="B141" s="579"/>
      <c r="C141" s="603" t="s">
        <v>138</v>
      </c>
      <c r="D141" s="602"/>
      <c r="E141" s="692"/>
      <c r="F141" s="588"/>
      <c r="G141" s="589"/>
      <c r="H141" s="589"/>
      <c r="I141" s="590"/>
      <c r="J141" s="689"/>
    </row>
    <row r="142" spans="1:10" s="117" customFormat="1" ht="33" hidden="1" customHeight="1" x14ac:dyDescent="0.25">
      <c r="A142" s="583"/>
      <c r="B142" s="579"/>
      <c r="C142" s="603" t="s">
        <v>137</v>
      </c>
      <c r="D142" s="602"/>
      <c r="E142" s="692"/>
      <c r="F142" s="588"/>
      <c r="G142" s="589"/>
      <c r="H142" s="589"/>
      <c r="I142" s="590"/>
      <c r="J142" s="689"/>
    </row>
    <row r="143" spans="1:10" s="117" customFormat="1" ht="33" hidden="1" customHeight="1" x14ac:dyDescent="0.25">
      <c r="A143" s="583"/>
      <c r="B143" s="579"/>
      <c r="C143" s="603" t="s">
        <v>97</v>
      </c>
      <c r="D143" s="602"/>
      <c r="E143" s="692"/>
      <c r="F143" s="588"/>
      <c r="G143" s="589"/>
      <c r="H143" s="589"/>
      <c r="I143" s="590"/>
      <c r="J143" s="689"/>
    </row>
    <row r="144" spans="1:10" s="117" customFormat="1" ht="78.75" hidden="1" customHeight="1" x14ac:dyDescent="0.25">
      <c r="A144" s="583"/>
      <c r="B144" s="579"/>
      <c r="C144" s="603" t="s">
        <v>98</v>
      </c>
      <c r="D144" s="602"/>
      <c r="E144" s="692"/>
      <c r="F144" s="588"/>
      <c r="G144" s="589"/>
      <c r="H144" s="589"/>
      <c r="I144" s="590"/>
      <c r="J144" s="689"/>
    </row>
    <row r="145" spans="1:23" s="117" customFormat="1" ht="57" hidden="1" customHeight="1" x14ac:dyDescent="0.25">
      <c r="A145" s="583"/>
      <c r="B145" s="579"/>
      <c r="C145" s="603" t="s">
        <v>139</v>
      </c>
      <c r="D145" s="602"/>
      <c r="E145" s="692"/>
      <c r="F145" s="588"/>
      <c r="G145" s="589"/>
      <c r="H145" s="589"/>
      <c r="I145" s="590"/>
      <c r="J145" s="689"/>
    </row>
    <row r="146" spans="1:23" s="117" customFormat="1" ht="28.5" hidden="1" customHeight="1" x14ac:dyDescent="0.25">
      <c r="A146" s="584"/>
      <c r="B146" s="580"/>
      <c r="C146" s="597" t="s">
        <v>106</v>
      </c>
      <c r="D146" s="598"/>
      <c r="E146" s="693"/>
      <c r="F146" s="591"/>
      <c r="G146" s="592"/>
      <c r="H146" s="592"/>
      <c r="I146" s="593"/>
      <c r="J146" s="690"/>
    </row>
    <row r="147" spans="1:23" s="117" customFormat="1" ht="192.75" customHeight="1" x14ac:dyDescent="0.25">
      <c r="A147" s="221">
        <v>28</v>
      </c>
      <c r="B147" s="224" t="s">
        <v>452</v>
      </c>
      <c r="C147" s="683" t="s">
        <v>453</v>
      </c>
      <c r="D147" s="684"/>
      <c r="E147" s="216" t="s">
        <v>331</v>
      </c>
      <c r="F147" s="680" t="s">
        <v>454</v>
      </c>
      <c r="G147" s="681"/>
      <c r="H147" s="681"/>
      <c r="I147" s="682"/>
      <c r="J147" s="220">
        <f>334.88*(0.35*1.24+0.65)*0.35
*(1+0.2*3)*1000*0.29</f>
        <v>58953</v>
      </c>
    </row>
    <row r="148" spans="1:23" s="117" customFormat="1" ht="192.75" customHeight="1" x14ac:dyDescent="0.25">
      <c r="A148" s="230">
        <v>29</v>
      </c>
      <c r="B148" s="357" t="s">
        <v>456</v>
      </c>
      <c r="C148" s="683" t="s">
        <v>462</v>
      </c>
      <c r="D148" s="684"/>
      <c r="E148" s="358" t="s">
        <v>331</v>
      </c>
      <c r="F148" s="680" t="s">
        <v>461</v>
      </c>
      <c r="G148" s="681"/>
      <c r="H148" s="681"/>
      <c r="I148" s="682"/>
      <c r="J148" s="231">
        <f>334.88*(0.29*1.24+0.0621)*0.75
*(1+0.2)*1000*0.29</f>
        <v>36858</v>
      </c>
      <c r="N148" s="230">
        <v>23</v>
      </c>
      <c r="O148" s="357" t="s">
        <v>460</v>
      </c>
      <c r="P148" s="683" t="s">
        <v>458</v>
      </c>
      <c r="Q148" s="684"/>
      <c r="R148" s="358" t="s">
        <v>457</v>
      </c>
      <c r="S148" s="680" t="s">
        <v>459</v>
      </c>
      <c r="T148" s="681"/>
      <c r="U148" s="681"/>
      <c r="V148" s="682"/>
      <c r="W148" s="231">
        <f>(89.55+0.08*4)
*(0.34*1.3+0.19)*(1+0.2)*0.4*1000</f>
        <v>27263</v>
      </c>
    </row>
    <row r="149" spans="1:23" s="401" customFormat="1" ht="53.25" customHeight="1" x14ac:dyDescent="0.2">
      <c r="A149" s="399">
        <v>30</v>
      </c>
      <c r="B149" s="397" t="s">
        <v>589</v>
      </c>
      <c r="C149" s="529" t="s">
        <v>590</v>
      </c>
      <c r="D149" s="530"/>
      <c r="E149" s="399"/>
      <c r="F149" s="397"/>
      <c r="G149" s="402"/>
      <c r="H149" s="402"/>
      <c r="I149" s="398"/>
      <c r="J149" s="400">
        <f>(SUM(J10:J148)+L150)*4%</f>
        <v>161961</v>
      </c>
      <c r="K149" s="360"/>
      <c r="L149" s="360"/>
      <c r="M149" s="403"/>
      <c r="N149" s="360"/>
      <c r="O149" s="404">
        <f>(7+0.122*(0.4*750+0.6*730))*(0.796*1.2+0.204)*0.3*1000</f>
        <v>33745.24</v>
      </c>
    </row>
    <row r="150" spans="1:23" s="103" customFormat="1" ht="17.25" customHeight="1" x14ac:dyDescent="0.25">
      <c r="A150" s="222"/>
      <c r="B150" s="225" t="s">
        <v>108</v>
      </c>
      <c r="C150" s="676"/>
      <c r="D150" s="677"/>
      <c r="E150" s="145"/>
      <c r="F150" s="533"/>
      <c r="G150" s="678"/>
      <c r="H150" s="678"/>
      <c r="I150" s="679"/>
      <c r="J150" s="146">
        <f>SUM(J10:J149)-J151</f>
        <v>1781571</v>
      </c>
      <c r="L150" s="103">
        <f>SUM(J10:J148)/40*60</f>
        <v>2429415</v>
      </c>
    </row>
    <row r="151" spans="1:23" s="117" customFormat="1" ht="17.25" customHeight="1" x14ac:dyDescent="0.25">
      <c r="A151" s="222"/>
      <c r="B151" s="225" t="s">
        <v>233</v>
      </c>
      <c r="C151" s="676"/>
      <c r="D151" s="677"/>
      <c r="E151" s="145"/>
      <c r="F151" s="533"/>
      <c r="G151" s="678"/>
      <c r="H151" s="678"/>
      <c r="I151" s="679"/>
      <c r="J151" s="146">
        <f>J126</f>
        <v>0</v>
      </c>
    </row>
    <row r="152" spans="1:23" s="103" customFormat="1" ht="53.25" customHeight="1" x14ac:dyDescent="0.25">
      <c r="A152" s="223"/>
      <c r="B152" s="399" t="s">
        <v>588</v>
      </c>
      <c r="C152" s="621" t="s">
        <v>591</v>
      </c>
      <c r="D152" s="575"/>
      <c r="E152" s="145"/>
      <c r="F152" s="533"/>
      <c r="G152" s="678"/>
      <c r="H152" s="678"/>
      <c r="I152" s="679"/>
      <c r="J152" s="147">
        <f>J150*4.47+J151*34.25</f>
        <v>7963622</v>
      </c>
      <c r="L152" s="117">
        <f>L150*4.47</f>
        <v>10859485.050000001</v>
      </c>
    </row>
    <row r="154" spans="1:23" x14ac:dyDescent="0.25">
      <c r="B154" s="227"/>
      <c r="C154" s="98"/>
    </row>
    <row r="155" spans="1:23" x14ac:dyDescent="0.25">
      <c r="B155" s="227"/>
      <c r="C155" s="98"/>
    </row>
    <row r="157" spans="1:23" x14ac:dyDescent="0.25">
      <c r="B157" s="227"/>
    </row>
    <row r="159" spans="1:23" x14ac:dyDescent="0.25">
      <c r="B159" s="227"/>
    </row>
  </sheetData>
  <mergeCells count="353">
    <mergeCell ref="J40:J44"/>
    <mergeCell ref="L40:L44"/>
    <mergeCell ref="M40:M44"/>
    <mergeCell ref="N40:O40"/>
    <mergeCell ref="P40:P44"/>
    <mergeCell ref="Q40:T44"/>
    <mergeCell ref="U40:U44"/>
    <mergeCell ref="C41:D41"/>
    <mergeCell ref="N41:O41"/>
    <mergeCell ref="C42:D42"/>
    <mergeCell ref="N42:O42"/>
    <mergeCell ref="C43:D43"/>
    <mergeCell ref="N43:O43"/>
    <mergeCell ref="C44:D44"/>
    <mergeCell ref="N44:O44"/>
    <mergeCell ref="P35:P39"/>
    <mergeCell ref="Q35:T39"/>
    <mergeCell ref="U35:U39"/>
    <mergeCell ref="C36:D36"/>
    <mergeCell ref="N36:O36"/>
    <mergeCell ref="C37:D37"/>
    <mergeCell ref="N37:O37"/>
    <mergeCell ref="C38:D38"/>
    <mergeCell ref="N38:O38"/>
    <mergeCell ref="C39:D39"/>
    <mergeCell ref="N39:O39"/>
    <mergeCell ref="F35:I39"/>
    <mergeCell ref="J35:J39"/>
    <mergeCell ref="S148:V148"/>
    <mergeCell ref="L30:L34"/>
    <mergeCell ref="M30:M34"/>
    <mergeCell ref="N30:O30"/>
    <mergeCell ref="P30:P34"/>
    <mergeCell ref="Q30:T34"/>
    <mergeCell ref="U30:U34"/>
    <mergeCell ref="N31:O31"/>
    <mergeCell ref="N32:O32"/>
    <mergeCell ref="N33:O33"/>
    <mergeCell ref="N34:O34"/>
    <mergeCell ref="L45:L49"/>
    <mergeCell ref="M45:M49"/>
    <mergeCell ref="N45:O45"/>
    <mergeCell ref="P45:P49"/>
    <mergeCell ref="Q45:T49"/>
    <mergeCell ref="U45:U49"/>
    <mergeCell ref="N46:O46"/>
    <mergeCell ref="N47:O47"/>
    <mergeCell ref="N48:O48"/>
    <mergeCell ref="N49:O49"/>
    <mergeCell ref="L35:L39"/>
    <mergeCell ref="M35:M39"/>
    <mergeCell ref="N35:O35"/>
    <mergeCell ref="K93:P93"/>
    <mergeCell ref="K97:P97"/>
    <mergeCell ref="F148:I148"/>
    <mergeCell ref="P148:Q148"/>
    <mergeCell ref="J139:J146"/>
    <mergeCell ref="E139:E146"/>
    <mergeCell ref="C88:D88"/>
    <mergeCell ref="C89:D89"/>
    <mergeCell ref="C90:D90"/>
    <mergeCell ref="C91:D91"/>
    <mergeCell ref="E88:E91"/>
    <mergeCell ref="J92:J95"/>
    <mergeCell ref="E96:E99"/>
    <mergeCell ref="F96:I99"/>
    <mergeCell ref="E92:E95"/>
    <mergeCell ref="C93:D93"/>
    <mergeCell ref="F92:I95"/>
    <mergeCell ref="J105:J108"/>
    <mergeCell ref="F126:I133"/>
    <mergeCell ref="J126:J133"/>
    <mergeCell ref="J96:J99"/>
    <mergeCell ref="J100:J104"/>
    <mergeCell ref="J88:J91"/>
    <mergeCell ref="C32:D32"/>
    <mergeCell ref="C33:D33"/>
    <mergeCell ref="C34:D34"/>
    <mergeCell ref="A26:A29"/>
    <mergeCell ref="B26:B29"/>
    <mergeCell ref="C26:D26"/>
    <mergeCell ref="E26:E29"/>
    <mergeCell ref="C11:D11"/>
    <mergeCell ref="A30:A34"/>
    <mergeCell ref="C27:D27"/>
    <mergeCell ref="C28:D28"/>
    <mergeCell ref="A18:A21"/>
    <mergeCell ref="C19:D19"/>
    <mergeCell ref="C20:D20"/>
    <mergeCell ref="C21:D21"/>
    <mergeCell ref="C151:D151"/>
    <mergeCell ref="F151:I151"/>
    <mergeCell ref="C152:D152"/>
    <mergeCell ref="C150:D150"/>
    <mergeCell ref="A134:A138"/>
    <mergeCell ref="F134:I138"/>
    <mergeCell ref="J134:J138"/>
    <mergeCell ref="C136:D136"/>
    <mergeCell ref="B134:B138"/>
    <mergeCell ref="C134:D134"/>
    <mergeCell ref="E134:E138"/>
    <mergeCell ref="C137:D137"/>
    <mergeCell ref="C138:D138"/>
    <mergeCell ref="F152:I152"/>
    <mergeCell ref="F147:I147"/>
    <mergeCell ref="F150:I150"/>
    <mergeCell ref="F139:I146"/>
    <mergeCell ref="C142:D142"/>
    <mergeCell ref="C147:D147"/>
    <mergeCell ref="C148:D148"/>
    <mergeCell ref="C143:D143"/>
    <mergeCell ref="C144:D144"/>
    <mergeCell ref="C145:D145"/>
    <mergeCell ref="C135:D135"/>
    <mergeCell ref="B35:B39"/>
    <mergeCell ref="C35:D35"/>
    <mergeCell ref="C29:D29"/>
    <mergeCell ref="B18:B21"/>
    <mergeCell ref="C18:D18"/>
    <mergeCell ref="E18:E21"/>
    <mergeCell ref="F18:I21"/>
    <mergeCell ref="J18:J21"/>
    <mergeCell ref="A1:E1"/>
    <mergeCell ref="H1:J1"/>
    <mergeCell ref="A2:J2"/>
    <mergeCell ref="A3:J3"/>
    <mergeCell ref="A4:B4"/>
    <mergeCell ref="C4:J4"/>
    <mergeCell ref="A5:B5"/>
    <mergeCell ref="C5:J5"/>
    <mergeCell ref="A6:B6"/>
    <mergeCell ref="C6:J6"/>
    <mergeCell ref="A10:A13"/>
    <mergeCell ref="B10:B13"/>
    <mergeCell ref="C13:D13"/>
    <mergeCell ref="C30:D30"/>
    <mergeCell ref="E30:E34"/>
    <mergeCell ref="C31:D31"/>
    <mergeCell ref="E14:E17"/>
    <mergeCell ref="J30:J34"/>
    <mergeCell ref="F9:I9"/>
    <mergeCell ref="F10:I13"/>
    <mergeCell ref="C48:D48"/>
    <mergeCell ref="F30:I34"/>
    <mergeCell ref="J45:J49"/>
    <mergeCell ref="B45:B49"/>
    <mergeCell ref="J10:J13"/>
    <mergeCell ref="B22:B25"/>
    <mergeCell ref="C22:D22"/>
    <mergeCell ref="E22:E25"/>
    <mergeCell ref="F22:I25"/>
    <mergeCell ref="J22:J25"/>
    <mergeCell ref="C23:D23"/>
    <mergeCell ref="E35:E39"/>
    <mergeCell ref="B30:B34"/>
    <mergeCell ref="F14:I17"/>
    <mergeCell ref="J14:J17"/>
    <mergeCell ref="C15:D15"/>
    <mergeCell ref="C16:D16"/>
    <mergeCell ref="C17:D17"/>
    <mergeCell ref="F26:I29"/>
    <mergeCell ref="J26:J29"/>
    <mergeCell ref="A88:A91"/>
    <mergeCell ref="B88:B91"/>
    <mergeCell ref="A60:A64"/>
    <mergeCell ref="B60:B64"/>
    <mergeCell ref="C60:D60"/>
    <mergeCell ref="E60:E64"/>
    <mergeCell ref="F60:I64"/>
    <mergeCell ref="J65:J68"/>
    <mergeCell ref="A7:B7"/>
    <mergeCell ref="C7:J7"/>
    <mergeCell ref="A8:B8"/>
    <mergeCell ref="C8:J8"/>
    <mergeCell ref="C9:D9"/>
    <mergeCell ref="A45:A49"/>
    <mergeCell ref="A35:A39"/>
    <mergeCell ref="A22:A25"/>
    <mergeCell ref="C24:D24"/>
    <mergeCell ref="C25:D25"/>
    <mergeCell ref="C12:D12"/>
    <mergeCell ref="C10:D10"/>
    <mergeCell ref="E10:E13"/>
    <mergeCell ref="A14:A17"/>
    <mergeCell ref="B14:B17"/>
    <mergeCell ref="C14:D14"/>
    <mergeCell ref="E50:E54"/>
    <mergeCell ref="C52:D52"/>
    <mergeCell ref="C53:D53"/>
    <mergeCell ref="C54:D54"/>
    <mergeCell ref="C51:D51"/>
    <mergeCell ref="J69:J73"/>
    <mergeCell ref="F50:I54"/>
    <mergeCell ref="J50:J54"/>
    <mergeCell ref="J55:J59"/>
    <mergeCell ref="C56:D56"/>
    <mergeCell ref="C57:D57"/>
    <mergeCell ref="C58:D58"/>
    <mergeCell ref="A40:A44"/>
    <mergeCell ref="B40:B44"/>
    <mergeCell ref="C40:D40"/>
    <mergeCell ref="E40:E44"/>
    <mergeCell ref="C46:D46"/>
    <mergeCell ref="C47:D47"/>
    <mergeCell ref="C45:D45"/>
    <mergeCell ref="E45:E49"/>
    <mergeCell ref="F40:I44"/>
    <mergeCell ref="F45:I49"/>
    <mergeCell ref="A55:A59"/>
    <mergeCell ref="B55:B59"/>
    <mergeCell ref="C55:D55"/>
    <mergeCell ref="C49:D49"/>
    <mergeCell ref="F65:I68"/>
    <mergeCell ref="C69:D69"/>
    <mergeCell ref="E69:E73"/>
    <mergeCell ref="C71:D71"/>
    <mergeCell ref="C72:D72"/>
    <mergeCell ref="C73:D73"/>
    <mergeCell ref="C70:D70"/>
    <mergeCell ref="A65:A68"/>
    <mergeCell ref="B65:B68"/>
    <mergeCell ref="A69:A73"/>
    <mergeCell ref="B69:B73"/>
    <mergeCell ref="F69:I73"/>
    <mergeCell ref="C59:D59"/>
    <mergeCell ref="E55:E59"/>
    <mergeCell ref="F55:I59"/>
    <mergeCell ref="E65:E68"/>
    <mergeCell ref="C68:D68"/>
    <mergeCell ref="A50:A54"/>
    <mergeCell ref="B50:B54"/>
    <mergeCell ref="C50:D50"/>
    <mergeCell ref="B105:B108"/>
    <mergeCell ref="C105:D105"/>
    <mergeCell ref="E105:E108"/>
    <mergeCell ref="F105:I108"/>
    <mergeCell ref="C106:D106"/>
    <mergeCell ref="F88:I91"/>
    <mergeCell ref="B100:B104"/>
    <mergeCell ref="C100:D100"/>
    <mergeCell ref="E100:E104"/>
    <mergeCell ref="F100:I104"/>
    <mergeCell ref="C101:D101"/>
    <mergeCell ref="C103:D103"/>
    <mergeCell ref="C104:D104"/>
    <mergeCell ref="C96:D96"/>
    <mergeCell ref="C102:D102"/>
    <mergeCell ref="A92:A95"/>
    <mergeCell ref="B92:B95"/>
    <mergeCell ref="C94:D94"/>
    <mergeCell ref="C95:D95"/>
    <mergeCell ref="A139:A146"/>
    <mergeCell ref="C146:D146"/>
    <mergeCell ref="C65:D65"/>
    <mergeCell ref="C66:D66"/>
    <mergeCell ref="C67:D67"/>
    <mergeCell ref="A109:A113"/>
    <mergeCell ref="B109:B113"/>
    <mergeCell ref="C109:D109"/>
    <mergeCell ref="A126:A133"/>
    <mergeCell ref="B126:B133"/>
    <mergeCell ref="B139:B146"/>
    <mergeCell ref="C139:D139"/>
    <mergeCell ref="C140:D140"/>
    <mergeCell ref="C141:D141"/>
    <mergeCell ref="C97:D97"/>
    <mergeCell ref="C98:D98"/>
    <mergeCell ref="C99:D99"/>
    <mergeCell ref="A100:A104"/>
    <mergeCell ref="A96:A99"/>
    <mergeCell ref="B96:B99"/>
    <mergeCell ref="F109:I113"/>
    <mergeCell ref="J109:J113"/>
    <mergeCell ref="C110:D110"/>
    <mergeCell ref="C111:D111"/>
    <mergeCell ref="C112:D112"/>
    <mergeCell ref="C113:D113"/>
    <mergeCell ref="A114:A117"/>
    <mergeCell ref="B114:B117"/>
    <mergeCell ref="C114:D114"/>
    <mergeCell ref="E114:E117"/>
    <mergeCell ref="F114:I117"/>
    <mergeCell ref="J114:J117"/>
    <mergeCell ref="C115:D115"/>
    <mergeCell ref="C116:D116"/>
    <mergeCell ref="C117:D117"/>
    <mergeCell ref="J60:J64"/>
    <mergeCell ref="C61:D61"/>
    <mergeCell ref="C62:D62"/>
    <mergeCell ref="C63:D63"/>
    <mergeCell ref="C64:D64"/>
    <mergeCell ref="A122:A125"/>
    <mergeCell ref="B122:B125"/>
    <mergeCell ref="C122:D122"/>
    <mergeCell ref="E122:E125"/>
    <mergeCell ref="F122:I125"/>
    <mergeCell ref="J122:J125"/>
    <mergeCell ref="C123:D123"/>
    <mergeCell ref="C124:D124"/>
    <mergeCell ref="C125:D125"/>
    <mergeCell ref="A118:A121"/>
    <mergeCell ref="B118:B121"/>
    <mergeCell ref="C118:D118"/>
    <mergeCell ref="E118:E121"/>
    <mergeCell ref="F118:I121"/>
    <mergeCell ref="J118:J121"/>
    <mergeCell ref="C119:D119"/>
    <mergeCell ref="C120:D120"/>
    <mergeCell ref="C121:D121"/>
    <mergeCell ref="A105:A108"/>
    <mergeCell ref="A74:A77"/>
    <mergeCell ref="B74:B77"/>
    <mergeCell ref="C74:D74"/>
    <mergeCell ref="E74:E77"/>
    <mergeCell ref="F74:I77"/>
    <mergeCell ref="J74:J77"/>
    <mergeCell ref="C75:D75"/>
    <mergeCell ref="C76:D76"/>
    <mergeCell ref="C77:D77"/>
    <mergeCell ref="A78:A82"/>
    <mergeCell ref="B78:B82"/>
    <mergeCell ref="C78:D78"/>
    <mergeCell ref="E78:E82"/>
    <mergeCell ref="F78:I82"/>
    <mergeCell ref="J78:J82"/>
    <mergeCell ref="C79:D79"/>
    <mergeCell ref="C80:D80"/>
    <mergeCell ref="C81:D81"/>
    <mergeCell ref="C82:D82"/>
    <mergeCell ref="C149:D149"/>
    <mergeCell ref="A83:A87"/>
    <mergeCell ref="B83:B87"/>
    <mergeCell ref="C83:D83"/>
    <mergeCell ref="E83:E87"/>
    <mergeCell ref="F83:I87"/>
    <mergeCell ref="J83:J87"/>
    <mergeCell ref="C84:D84"/>
    <mergeCell ref="C85:D85"/>
    <mergeCell ref="C86:D86"/>
    <mergeCell ref="C87:D87"/>
    <mergeCell ref="E126:E133"/>
    <mergeCell ref="C128:D128"/>
    <mergeCell ref="C129:D129"/>
    <mergeCell ref="C130:D130"/>
    <mergeCell ref="C131:D131"/>
    <mergeCell ref="C132:D132"/>
    <mergeCell ref="C133:D133"/>
    <mergeCell ref="C92:D92"/>
    <mergeCell ref="C107:D107"/>
    <mergeCell ref="C108:D108"/>
    <mergeCell ref="C126:D126"/>
    <mergeCell ref="C127:D127"/>
    <mergeCell ref="E109:E113"/>
  </mergeCells>
  <pageMargins left="0.7" right="0.7" top="0.75" bottom="0.75" header="0.3" footer="0.3"/>
  <pageSetup paperSize="9" scale="66" fitToHeight="0" orientation="portrait" r:id="rId1"/>
  <rowBreaks count="4" manualBreakCount="4">
    <brk id="29" max="9" man="1"/>
    <brk id="59" max="9" man="1"/>
    <brk id="91" max="9" man="1"/>
    <brk id="125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9" zoomScale="60" zoomScaleNormal="100" workbookViewId="0">
      <selection activeCell="M21" sqref="M21"/>
    </sheetView>
  </sheetViews>
  <sheetFormatPr defaultColWidth="9.140625" defaultRowHeight="15" x14ac:dyDescent="0.25"/>
  <cols>
    <col min="1" max="1" width="5.28515625" style="90" customWidth="1"/>
    <col min="2" max="2" width="26.14062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 x14ac:dyDescent="0.25">
      <c r="A1" s="316"/>
      <c r="B1" s="317"/>
      <c r="C1" s="318"/>
      <c r="D1" s="318"/>
      <c r="E1" s="318"/>
      <c r="F1" s="317"/>
      <c r="G1" s="317"/>
      <c r="H1" s="319"/>
    </row>
    <row r="2" spans="1:8" ht="15.75" x14ac:dyDescent="0.25">
      <c r="A2" s="724" t="s">
        <v>123</v>
      </c>
      <c r="B2" s="720"/>
      <c r="C2" s="720"/>
      <c r="D2" s="720"/>
      <c r="E2" s="720"/>
      <c r="F2" s="720"/>
      <c r="G2" s="720"/>
      <c r="H2" s="720"/>
    </row>
    <row r="3" spans="1:8" ht="15.75" x14ac:dyDescent="0.25">
      <c r="A3" s="725"/>
      <c r="B3" s="720"/>
      <c r="C3" s="720"/>
      <c r="D3" s="720"/>
      <c r="E3" s="720"/>
      <c r="F3" s="720"/>
      <c r="G3" s="720"/>
      <c r="H3" s="720"/>
    </row>
    <row r="4" spans="1:8" ht="55.9" customHeight="1" x14ac:dyDescent="0.25">
      <c r="A4" s="722" t="s">
        <v>79</v>
      </c>
      <c r="B4" s="720"/>
      <c r="C4" s="726" t="str">
        <f>'ПД '!C4:J4</f>
        <v>Всесезонный туристско-рекреационный комплекс «Эльбрус», Кабардино-Балкарская Республика.  Открытая плоскостная парковка на 800 машино/мест</v>
      </c>
      <c r="D4" s="726"/>
      <c r="E4" s="726"/>
      <c r="F4" s="727"/>
      <c r="G4" s="727"/>
      <c r="H4" s="727"/>
    </row>
    <row r="5" spans="1:8" ht="17.25" customHeight="1" x14ac:dyDescent="0.25">
      <c r="A5" s="722" t="s">
        <v>80</v>
      </c>
      <c r="B5" s="720"/>
      <c r="C5" s="721"/>
      <c r="D5" s="721"/>
      <c r="E5" s="721"/>
      <c r="F5" s="720"/>
      <c r="G5" s="720"/>
      <c r="H5" s="720"/>
    </row>
    <row r="6" spans="1:8" ht="30" customHeight="1" x14ac:dyDescent="0.25">
      <c r="A6" s="719" t="s">
        <v>82</v>
      </c>
      <c r="B6" s="720"/>
      <c r="C6" s="721" t="s">
        <v>88</v>
      </c>
      <c r="D6" s="721"/>
      <c r="E6" s="721"/>
      <c r="F6" s="720"/>
      <c r="G6" s="720"/>
      <c r="H6" s="720"/>
    </row>
    <row r="7" spans="1:8" ht="15.75" x14ac:dyDescent="0.25">
      <c r="A7" s="722" t="s">
        <v>83</v>
      </c>
      <c r="B7" s="720"/>
      <c r="C7" s="723"/>
      <c r="D7" s="723"/>
      <c r="E7" s="723"/>
      <c r="F7" s="720"/>
      <c r="G7" s="720"/>
      <c r="H7" s="720"/>
    </row>
    <row r="8" spans="1:8" ht="15.75" x14ac:dyDescent="0.25">
      <c r="A8" s="722" t="s">
        <v>84</v>
      </c>
      <c r="B8" s="720"/>
      <c r="C8" s="723" t="s">
        <v>48</v>
      </c>
      <c r="D8" s="723"/>
      <c r="E8" s="723"/>
      <c r="F8" s="720"/>
      <c r="G8" s="720"/>
      <c r="H8" s="720"/>
    </row>
    <row r="9" spans="1:8" ht="15.75" x14ac:dyDescent="0.25">
      <c r="A9" s="316"/>
      <c r="B9" s="317"/>
      <c r="C9" s="318"/>
      <c r="D9" s="318"/>
      <c r="E9" s="318"/>
      <c r="F9" s="317"/>
      <c r="G9" s="317"/>
      <c r="H9" s="319"/>
    </row>
    <row r="10" spans="1:8" ht="94.5" x14ac:dyDescent="0.25">
      <c r="A10" s="320" t="s">
        <v>2</v>
      </c>
      <c r="B10" s="320" t="s">
        <v>35</v>
      </c>
      <c r="C10" s="707" t="s">
        <v>85</v>
      </c>
      <c r="D10" s="708"/>
      <c r="E10" s="708"/>
      <c r="F10" s="320" t="s">
        <v>36</v>
      </c>
      <c r="G10" s="320" t="s">
        <v>86</v>
      </c>
      <c r="H10" s="321" t="s">
        <v>87</v>
      </c>
    </row>
    <row r="11" spans="1:8" ht="15" customHeight="1" x14ac:dyDescent="0.25">
      <c r="A11" s="709">
        <v>1</v>
      </c>
      <c r="B11" s="711" t="s">
        <v>10</v>
      </c>
      <c r="C11" s="713"/>
      <c r="D11" s="714"/>
      <c r="E11" s="715"/>
      <c r="F11" s="322"/>
      <c r="G11" s="716"/>
      <c r="H11" s="704"/>
    </row>
    <row r="12" spans="1:8" ht="31.5" x14ac:dyDescent="0.25">
      <c r="A12" s="710"/>
      <c r="B12" s="712"/>
      <c r="C12" s="323" t="s">
        <v>323</v>
      </c>
      <c r="D12" s="324">
        <f>'Cводная смета ПИР'!G19</f>
        <v>7067191</v>
      </c>
      <c r="E12" s="325" t="s">
        <v>90</v>
      </c>
      <c r="F12" s="326"/>
      <c r="G12" s="717"/>
      <c r="H12" s="705"/>
    </row>
    <row r="13" spans="1:8" ht="15.75" x14ac:dyDescent="0.25">
      <c r="A13" s="710"/>
      <c r="B13" s="712"/>
      <c r="C13" s="323" t="s">
        <v>321</v>
      </c>
      <c r="D13" s="327">
        <v>4.55</v>
      </c>
      <c r="E13" s="328"/>
      <c r="F13" s="326"/>
      <c r="G13" s="717"/>
      <c r="H13" s="705"/>
    </row>
    <row r="14" spans="1:8" ht="31.5" x14ac:dyDescent="0.25">
      <c r="A14" s="710"/>
      <c r="B14" s="712"/>
      <c r="C14" s="323" t="s">
        <v>234</v>
      </c>
      <c r="D14" s="324">
        <f>D12/D13</f>
        <v>1553229</v>
      </c>
      <c r="E14" s="325" t="s">
        <v>90</v>
      </c>
      <c r="F14" s="326"/>
      <c r="G14" s="717"/>
      <c r="H14" s="705"/>
    </row>
    <row r="15" spans="1:8" ht="15" customHeight="1" x14ac:dyDescent="0.25">
      <c r="A15" s="709">
        <v>2</v>
      </c>
      <c r="B15" s="711" t="s">
        <v>81</v>
      </c>
      <c r="C15" s="713"/>
      <c r="D15" s="714"/>
      <c r="E15" s="715"/>
      <c r="F15" s="322"/>
      <c r="G15" s="717"/>
      <c r="H15" s="705"/>
    </row>
    <row r="16" spans="1:8" ht="32.450000000000003" customHeight="1" x14ac:dyDescent="0.25">
      <c r="A16" s="710"/>
      <c r="B16" s="712"/>
      <c r="C16" s="323" t="s">
        <v>322</v>
      </c>
      <c r="D16" s="324">
        <f>'Cводная смета ПИР'!G22</f>
        <v>7963622</v>
      </c>
      <c r="E16" s="325" t="s">
        <v>90</v>
      </c>
      <c r="F16" s="326"/>
      <c r="G16" s="717"/>
      <c r="H16" s="705"/>
    </row>
    <row r="17" spans="1:15" ht="25.9" customHeight="1" x14ac:dyDescent="0.25">
      <c r="A17" s="710"/>
      <c r="B17" s="712"/>
      <c r="C17" s="323" t="s">
        <v>321</v>
      </c>
      <c r="D17" s="329">
        <v>4.47</v>
      </c>
      <c r="E17" s="328"/>
      <c r="F17" s="326"/>
      <c r="G17" s="717"/>
      <c r="H17" s="705"/>
    </row>
    <row r="18" spans="1:15" ht="47.25" x14ac:dyDescent="0.25">
      <c r="A18" s="710"/>
      <c r="B18" s="712"/>
      <c r="C18" s="323" t="s">
        <v>235</v>
      </c>
      <c r="D18" s="324">
        <f>D16/D17</f>
        <v>1781571</v>
      </c>
      <c r="E18" s="325" t="s">
        <v>90</v>
      </c>
      <c r="F18" s="326"/>
      <c r="G18" s="718"/>
      <c r="H18" s="706"/>
      <c r="O18" s="89" t="s">
        <v>99</v>
      </c>
    </row>
    <row r="19" spans="1:15" ht="39.75" customHeight="1" x14ac:dyDescent="0.25">
      <c r="A19" s="330"/>
      <c r="B19" s="331"/>
      <c r="C19" s="332" t="s">
        <v>102</v>
      </c>
      <c r="D19" s="333">
        <f>D14+D18</f>
        <v>3334800</v>
      </c>
      <c r="E19" s="334" t="s">
        <v>90</v>
      </c>
      <c r="F19" s="335"/>
      <c r="G19" s="336" t="s">
        <v>513</v>
      </c>
      <c r="H19" s="337"/>
    </row>
    <row r="20" spans="1:15" ht="66.75" customHeight="1" x14ac:dyDescent="0.25">
      <c r="A20" s="338"/>
      <c r="B20" s="339" t="s">
        <v>89</v>
      </c>
      <c r="C20" s="340" t="s">
        <v>91</v>
      </c>
      <c r="D20" s="341">
        <v>0.10979999999999999</v>
      </c>
      <c r="E20" s="342"/>
      <c r="F20" s="343"/>
      <c r="G20" s="344"/>
      <c r="H20" s="351">
        <f>D19*D20</f>
        <v>366161</v>
      </c>
    </row>
    <row r="21" spans="1:15" ht="57" customHeight="1" x14ac:dyDescent="0.25">
      <c r="A21" s="338"/>
      <c r="B21" s="345"/>
      <c r="C21" s="346" t="s">
        <v>514</v>
      </c>
      <c r="D21" s="350">
        <v>5.44</v>
      </c>
      <c r="E21" s="347"/>
      <c r="F21" s="348"/>
      <c r="G21" s="276"/>
      <c r="H21" s="352">
        <f>H20*D21</f>
        <v>1991916</v>
      </c>
    </row>
    <row r="22" spans="1:15" x14ac:dyDescent="0.25">
      <c r="A22" s="111"/>
      <c r="B22" s="112"/>
      <c r="C22" s="112"/>
      <c r="D22" s="112"/>
      <c r="E22" s="112"/>
      <c r="F22" s="112"/>
      <c r="G22" s="112"/>
      <c r="H22" s="113"/>
    </row>
    <row r="23" spans="1:15" x14ac:dyDescent="0.25">
      <c r="A23" s="111"/>
      <c r="B23" s="112"/>
      <c r="C23" s="112"/>
      <c r="D23" s="148"/>
      <c r="E23" s="112"/>
      <c r="F23" s="112"/>
      <c r="G23" s="112"/>
      <c r="H23" s="113"/>
    </row>
    <row r="24" spans="1:15" x14ac:dyDescent="0.25">
      <c r="A24" s="111"/>
      <c r="B24" s="112"/>
      <c r="C24" s="112"/>
      <c r="D24" s="112"/>
      <c r="E24" s="112"/>
      <c r="F24" s="112"/>
      <c r="G24" s="112"/>
      <c r="H24" s="113"/>
    </row>
    <row r="25" spans="1:15" x14ac:dyDescent="0.25">
      <c r="A25" s="111"/>
      <c r="B25" s="112"/>
      <c r="C25" s="112"/>
      <c r="D25" s="112"/>
      <c r="E25" s="112"/>
      <c r="F25" s="112"/>
      <c r="G25" s="112"/>
      <c r="H25" s="113"/>
    </row>
    <row r="26" spans="1:15" x14ac:dyDescent="0.25">
      <c r="A26" s="111"/>
      <c r="B26" s="112"/>
      <c r="C26" s="112"/>
      <c r="D26" s="112"/>
      <c r="E26" s="112"/>
      <c r="F26" s="112"/>
      <c r="G26" s="112"/>
      <c r="H26" s="113"/>
    </row>
    <row r="27" spans="1:15" x14ac:dyDescent="0.25">
      <c r="A27" s="111"/>
      <c r="B27" s="112"/>
      <c r="C27" s="112"/>
      <c r="D27" s="112"/>
      <c r="E27" s="112"/>
      <c r="F27" s="112"/>
      <c r="G27" s="112"/>
      <c r="H27" s="113"/>
    </row>
    <row r="28" spans="1:15" x14ac:dyDescent="0.25">
      <c r="A28" s="111"/>
      <c r="B28" s="112"/>
      <c r="C28" s="112"/>
      <c r="D28" s="112"/>
      <c r="E28" s="112"/>
      <c r="F28" s="112"/>
      <c r="G28" s="112"/>
      <c r="H28" s="113"/>
    </row>
    <row r="29" spans="1:15" x14ac:dyDescent="0.25">
      <c r="A29" s="111"/>
      <c r="B29" s="112"/>
      <c r="C29" s="112"/>
      <c r="D29" s="112"/>
      <c r="E29" s="112"/>
      <c r="F29" s="112"/>
      <c r="G29" s="112"/>
      <c r="H29" s="113"/>
    </row>
    <row r="30" spans="1:15" x14ac:dyDescent="0.25">
      <c r="A30" s="111"/>
      <c r="B30" s="112"/>
      <c r="C30" s="112"/>
      <c r="D30" s="112"/>
      <c r="E30" s="112"/>
      <c r="F30" s="112"/>
      <c r="G30" s="112"/>
      <c r="H30" s="113"/>
    </row>
    <row r="31" spans="1:15" x14ac:dyDescent="0.25">
      <c r="A31" s="111"/>
      <c r="B31" s="112"/>
      <c r="C31" s="112"/>
      <c r="D31" s="112"/>
      <c r="E31" s="112"/>
      <c r="F31" s="112"/>
      <c r="G31" s="112"/>
      <c r="H31" s="113"/>
    </row>
    <row r="32" spans="1:15" x14ac:dyDescent="0.25">
      <c r="A32" s="111"/>
      <c r="B32" s="112"/>
      <c r="C32" s="112"/>
      <c r="D32" s="112"/>
      <c r="E32" s="112"/>
      <c r="F32" s="112"/>
      <c r="G32" s="112"/>
      <c r="H32" s="113"/>
    </row>
    <row r="33" spans="1:8" x14ac:dyDescent="0.25">
      <c r="A33" s="111"/>
      <c r="B33" s="112"/>
      <c r="C33" s="112"/>
      <c r="D33" s="112"/>
      <c r="E33" s="112"/>
      <c r="F33" s="112"/>
      <c r="G33" s="112"/>
      <c r="H33" s="113"/>
    </row>
    <row r="34" spans="1:8" x14ac:dyDescent="0.25">
      <c r="A34" s="111"/>
      <c r="B34" s="112"/>
      <c r="C34" s="112"/>
      <c r="D34" s="112"/>
      <c r="E34" s="112"/>
      <c r="F34" s="112"/>
      <c r="G34" s="112"/>
      <c r="H34" s="113"/>
    </row>
    <row r="35" spans="1:8" x14ac:dyDescent="0.25">
      <c r="A35" s="111"/>
      <c r="B35" s="112"/>
      <c r="C35" s="112"/>
      <c r="D35" s="112"/>
      <c r="E35" s="112"/>
      <c r="F35" s="112"/>
      <c r="G35" s="112"/>
      <c r="H35" s="113"/>
    </row>
    <row r="36" spans="1:8" x14ac:dyDescent="0.25">
      <c r="A36" s="111"/>
      <c r="B36" s="112"/>
      <c r="C36" s="112"/>
      <c r="D36" s="112"/>
      <c r="E36" s="112"/>
      <c r="F36" s="112"/>
      <c r="G36" s="112"/>
      <c r="H36" s="113"/>
    </row>
    <row r="37" spans="1:8" x14ac:dyDescent="0.25">
      <c r="A37" s="111"/>
      <c r="B37" s="112"/>
      <c r="C37" s="112"/>
      <c r="D37" s="112"/>
      <c r="E37" s="112"/>
      <c r="F37" s="112"/>
      <c r="G37" s="112"/>
      <c r="H37" s="113"/>
    </row>
    <row r="38" spans="1:8" x14ac:dyDescent="0.25">
      <c r="A38" s="111"/>
      <c r="B38" s="112"/>
      <c r="C38" s="112"/>
      <c r="D38" s="112"/>
      <c r="E38" s="112"/>
      <c r="F38" s="112"/>
      <c r="G38" s="112"/>
      <c r="H38" s="113"/>
    </row>
    <row r="39" spans="1:8" x14ac:dyDescent="0.25">
      <c r="A39" s="111"/>
      <c r="B39" s="112"/>
      <c r="C39" s="112"/>
      <c r="D39" s="112"/>
      <c r="E39" s="112"/>
      <c r="F39" s="112"/>
      <c r="G39" s="112"/>
      <c r="H39" s="113"/>
    </row>
    <row r="40" spans="1:8" x14ac:dyDescent="0.25">
      <c r="A40" s="111"/>
      <c r="B40" s="112"/>
      <c r="C40" s="112"/>
      <c r="D40" s="112"/>
      <c r="E40" s="112"/>
      <c r="F40" s="112"/>
      <c r="G40" s="112"/>
      <c r="H40" s="113"/>
    </row>
    <row r="41" spans="1:8" x14ac:dyDescent="0.25">
      <c r="A41" s="111"/>
      <c r="B41" s="112"/>
      <c r="C41" s="112"/>
      <c r="D41" s="112"/>
      <c r="E41" s="112"/>
      <c r="F41" s="112"/>
      <c r="G41" s="112"/>
      <c r="H41" s="113"/>
    </row>
    <row r="42" spans="1:8" x14ac:dyDescent="0.25">
      <c r="A42" s="111"/>
      <c r="B42" s="112"/>
      <c r="C42" s="112"/>
      <c r="D42" s="112"/>
      <c r="E42" s="112"/>
      <c r="F42" s="112"/>
      <c r="G42" s="112"/>
      <c r="H42" s="113"/>
    </row>
    <row r="43" spans="1:8" x14ac:dyDescent="0.25">
      <c r="A43" s="111"/>
      <c r="B43" s="112"/>
      <c r="C43" s="112"/>
      <c r="D43" s="112"/>
      <c r="E43" s="112"/>
      <c r="F43" s="112"/>
      <c r="G43" s="112"/>
      <c r="H43" s="113"/>
    </row>
    <row r="44" spans="1:8" x14ac:dyDescent="0.25">
      <c r="A44" s="111"/>
      <c r="B44" s="112"/>
      <c r="C44" s="112"/>
      <c r="D44" s="112"/>
      <c r="E44" s="112"/>
      <c r="F44" s="112"/>
      <c r="G44" s="112"/>
      <c r="H44" s="113"/>
    </row>
    <row r="45" spans="1:8" x14ac:dyDescent="0.25">
      <c r="A45" s="111"/>
      <c r="B45" s="112"/>
      <c r="C45" s="112"/>
      <c r="D45" s="112"/>
      <c r="E45" s="112"/>
      <c r="F45" s="112"/>
      <c r="G45" s="112"/>
      <c r="H45" s="113"/>
    </row>
    <row r="46" spans="1:8" x14ac:dyDescent="0.25">
      <c r="A46" s="111"/>
      <c r="B46" s="112"/>
      <c r="C46" s="112"/>
      <c r="D46" s="112"/>
      <c r="E46" s="112"/>
      <c r="F46" s="112"/>
      <c r="G46" s="112"/>
      <c r="H46" s="113"/>
    </row>
    <row r="47" spans="1:8" x14ac:dyDescent="0.25">
      <c r="A47" s="111"/>
      <c r="B47" s="112"/>
      <c r="C47" s="112"/>
      <c r="D47" s="112"/>
      <c r="E47" s="112"/>
      <c r="F47" s="112"/>
      <c r="G47" s="112"/>
      <c r="H47" s="113"/>
    </row>
    <row r="48" spans="1:8" x14ac:dyDescent="0.25">
      <c r="A48" s="111"/>
      <c r="B48" s="112"/>
      <c r="C48" s="112"/>
      <c r="D48" s="112"/>
      <c r="E48" s="112"/>
      <c r="F48" s="112"/>
      <c r="G48" s="112"/>
      <c r="H48" s="113"/>
    </row>
    <row r="49" spans="1:8" x14ac:dyDescent="0.25">
      <c r="A49" s="111"/>
      <c r="B49" s="112"/>
      <c r="C49" s="112"/>
      <c r="D49" s="112"/>
      <c r="E49" s="112"/>
      <c r="F49" s="112"/>
      <c r="G49" s="112"/>
      <c r="H49" s="113"/>
    </row>
    <row r="50" spans="1:8" x14ac:dyDescent="0.25">
      <c r="A50" s="111"/>
      <c r="B50" s="112"/>
      <c r="C50" s="112"/>
      <c r="D50" s="112"/>
      <c r="E50" s="112"/>
      <c r="F50" s="112"/>
      <c r="G50" s="112"/>
      <c r="H50" s="113"/>
    </row>
    <row r="51" spans="1:8" x14ac:dyDescent="0.25">
      <c r="A51" s="111"/>
      <c r="B51" s="112"/>
      <c r="C51" s="112"/>
      <c r="D51" s="112"/>
      <c r="E51" s="112"/>
      <c r="F51" s="112"/>
      <c r="G51" s="112"/>
      <c r="H51" s="113"/>
    </row>
    <row r="52" spans="1:8" x14ac:dyDescent="0.25">
      <c r="A52" s="111"/>
      <c r="B52" s="112"/>
      <c r="C52" s="112"/>
      <c r="D52" s="112"/>
      <c r="E52" s="112"/>
      <c r="F52" s="112"/>
      <c r="G52" s="112"/>
      <c r="H52" s="113"/>
    </row>
    <row r="53" spans="1:8" x14ac:dyDescent="0.25">
      <c r="A53" s="111"/>
      <c r="B53" s="112"/>
      <c r="C53" s="112"/>
      <c r="D53" s="112"/>
      <c r="E53" s="112"/>
      <c r="F53" s="112"/>
      <c r="G53" s="112"/>
      <c r="H53" s="113"/>
    </row>
    <row r="54" spans="1:8" x14ac:dyDescent="0.25">
      <c r="A54" s="111"/>
      <c r="B54" s="112"/>
      <c r="C54" s="112"/>
      <c r="D54" s="112"/>
      <c r="E54" s="112"/>
      <c r="F54" s="112"/>
      <c r="G54" s="112"/>
      <c r="H54" s="113"/>
    </row>
    <row r="55" spans="1:8" x14ac:dyDescent="0.25">
      <c r="A55" s="111"/>
      <c r="B55" s="112"/>
      <c r="C55" s="112"/>
      <c r="D55" s="112"/>
      <c r="E55" s="112"/>
      <c r="F55" s="112"/>
      <c r="G55" s="112"/>
      <c r="H55" s="113"/>
    </row>
    <row r="56" spans="1:8" x14ac:dyDescent="0.25">
      <c r="A56" s="111"/>
      <c r="B56" s="112"/>
      <c r="C56" s="112"/>
      <c r="D56" s="112"/>
      <c r="E56" s="112"/>
      <c r="F56" s="112"/>
      <c r="G56" s="112"/>
      <c r="H56" s="113"/>
    </row>
    <row r="57" spans="1:8" x14ac:dyDescent="0.25">
      <c r="A57" s="111"/>
      <c r="B57" s="112"/>
      <c r="C57" s="112"/>
      <c r="D57" s="112"/>
      <c r="E57" s="112"/>
      <c r="F57" s="112"/>
      <c r="G57" s="112"/>
      <c r="H57" s="113"/>
    </row>
    <row r="58" spans="1:8" x14ac:dyDescent="0.25">
      <c r="A58" s="111"/>
      <c r="B58" s="112"/>
      <c r="C58" s="112"/>
      <c r="D58" s="112"/>
      <c r="E58" s="112"/>
      <c r="F58" s="112"/>
      <c r="G58" s="112"/>
      <c r="H58" s="113"/>
    </row>
    <row r="59" spans="1:8" x14ac:dyDescent="0.25">
      <c r="A59" s="111"/>
      <c r="B59" s="112"/>
      <c r="C59" s="112"/>
      <c r="D59" s="112"/>
      <c r="E59" s="112"/>
      <c r="F59" s="112"/>
      <c r="G59" s="112"/>
      <c r="H59" s="113"/>
    </row>
    <row r="60" spans="1:8" x14ac:dyDescent="0.25">
      <c r="A60" s="111"/>
      <c r="B60" s="112"/>
      <c r="C60" s="112"/>
      <c r="D60" s="112"/>
      <c r="E60" s="112"/>
      <c r="F60" s="112"/>
      <c r="G60" s="112"/>
      <c r="H60" s="113"/>
    </row>
    <row r="61" spans="1:8" x14ac:dyDescent="0.25">
      <c r="A61" s="111"/>
      <c r="B61" s="112"/>
      <c r="C61" s="112"/>
      <c r="D61" s="112"/>
      <c r="E61" s="112"/>
      <c r="F61" s="112"/>
      <c r="G61" s="112"/>
      <c r="H61" s="113"/>
    </row>
    <row r="62" spans="1:8" x14ac:dyDescent="0.25">
      <c r="A62" s="111"/>
      <c r="B62" s="112"/>
      <c r="C62" s="112"/>
      <c r="D62" s="112"/>
      <c r="E62" s="112"/>
      <c r="F62" s="112"/>
      <c r="G62" s="112"/>
      <c r="H62" s="113"/>
    </row>
    <row r="63" spans="1:8" x14ac:dyDescent="0.25">
      <c r="A63" s="111"/>
      <c r="B63" s="112"/>
      <c r="C63" s="112"/>
      <c r="D63" s="112"/>
      <c r="E63" s="112"/>
      <c r="F63" s="112"/>
      <c r="G63" s="112"/>
      <c r="H63" s="113"/>
    </row>
    <row r="64" spans="1:8" x14ac:dyDescent="0.25">
      <c r="A64" s="111"/>
      <c r="B64" s="112"/>
      <c r="C64" s="112"/>
      <c r="D64" s="112"/>
      <c r="E64" s="112"/>
      <c r="F64" s="112"/>
      <c r="G64" s="112"/>
      <c r="H64" s="113"/>
    </row>
    <row r="65" spans="1:8" x14ac:dyDescent="0.25">
      <c r="A65" s="111"/>
      <c r="B65" s="112"/>
      <c r="C65" s="112"/>
      <c r="D65" s="112"/>
      <c r="E65" s="112"/>
      <c r="F65" s="112"/>
      <c r="G65" s="112"/>
      <c r="H65" s="113"/>
    </row>
    <row r="66" spans="1:8" x14ac:dyDescent="0.25">
      <c r="A66" s="111"/>
      <c r="B66" s="112"/>
      <c r="C66" s="112"/>
      <c r="D66" s="112"/>
      <c r="E66" s="112"/>
      <c r="F66" s="112"/>
      <c r="G66" s="112"/>
      <c r="H66" s="113"/>
    </row>
    <row r="67" spans="1:8" x14ac:dyDescent="0.25">
      <c r="A67" s="111"/>
      <c r="B67" s="112"/>
      <c r="C67" s="112"/>
      <c r="D67" s="112"/>
      <c r="E67" s="112"/>
      <c r="F67" s="112"/>
      <c r="G67" s="112"/>
      <c r="H67" s="113"/>
    </row>
    <row r="68" spans="1:8" x14ac:dyDescent="0.25">
      <c r="A68" s="111"/>
      <c r="B68" s="112"/>
      <c r="C68" s="112"/>
      <c r="D68" s="112"/>
      <c r="E68" s="112"/>
      <c r="F68" s="112"/>
      <c r="G68" s="112"/>
      <c r="H68" s="113"/>
    </row>
    <row r="69" spans="1:8" x14ac:dyDescent="0.25">
      <c r="A69" s="111"/>
      <c r="B69" s="112"/>
      <c r="C69" s="112"/>
      <c r="D69" s="112"/>
      <c r="E69" s="112"/>
      <c r="F69" s="112"/>
      <c r="G69" s="112"/>
      <c r="H69" s="113"/>
    </row>
    <row r="70" spans="1:8" x14ac:dyDescent="0.25">
      <c r="A70" s="111"/>
      <c r="B70" s="112"/>
      <c r="C70" s="112"/>
      <c r="D70" s="112"/>
      <c r="E70" s="112"/>
      <c r="F70" s="112"/>
      <c r="G70" s="112"/>
      <c r="H70" s="113"/>
    </row>
    <row r="71" spans="1:8" x14ac:dyDescent="0.25">
      <c r="A71" s="111"/>
      <c r="B71" s="112"/>
      <c r="C71" s="112"/>
      <c r="D71" s="112"/>
      <c r="E71" s="112"/>
      <c r="F71" s="112"/>
      <c r="G71" s="112"/>
      <c r="H71" s="113"/>
    </row>
    <row r="72" spans="1:8" x14ac:dyDescent="0.25">
      <c r="A72" s="111"/>
      <c r="B72" s="112"/>
      <c r="C72" s="112"/>
      <c r="D72" s="112"/>
      <c r="E72" s="112"/>
      <c r="F72" s="112"/>
      <c r="G72" s="112"/>
      <c r="H72" s="113"/>
    </row>
    <row r="73" spans="1:8" x14ac:dyDescent="0.25">
      <c r="A73" s="111"/>
      <c r="B73" s="112"/>
      <c r="C73" s="112"/>
      <c r="D73" s="112"/>
      <c r="E73" s="112"/>
      <c r="F73" s="112"/>
      <c r="G73" s="112"/>
      <c r="H73" s="113"/>
    </row>
    <row r="74" spans="1:8" x14ac:dyDescent="0.25">
      <c r="A74" s="111"/>
      <c r="B74" s="112"/>
      <c r="C74" s="112"/>
      <c r="D74" s="112"/>
      <c r="E74" s="112"/>
      <c r="F74" s="112"/>
      <c r="G74" s="112"/>
      <c r="H74" s="113"/>
    </row>
    <row r="75" spans="1:8" x14ac:dyDescent="0.25">
      <c r="A75" s="111"/>
      <c r="B75" s="112"/>
      <c r="C75" s="112"/>
      <c r="D75" s="112"/>
      <c r="E75" s="112"/>
      <c r="F75" s="112"/>
      <c r="G75" s="112"/>
      <c r="H75" s="113"/>
    </row>
    <row r="76" spans="1:8" x14ac:dyDescent="0.25">
      <c r="A76" s="111"/>
      <c r="B76" s="112"/>
      <c r="C76" s="112"/>
      <c r="D76" s="112"/>
      <c r="E76" s="112"/>
      <c r="F76" s="112"/>
      <c r="G76" s="112"/>
      <c r="H76" s="113"/>
    </row>
    <row r="77" spans="1:8" x14ac:dyDescent="0.25">
      <c r="A77" s="111"/>
      <c r="B77" s="112"/>
      <c r="C77" s="112"/>
      <c r="D77" s="112"/>
      <c r="E77" s="112"/>
      <c r="F77" s="112"/>
      <c r="G77" s="112"/>
      <c r="H77" s="113"/>
    </row>
    <row r="78" spans="1:8" x14ac:dyDescent="0.25">
      <c r="A78" s="111"/>
      <c r="B78" s="112"/>
      <c r="C78" s="112"/>
      <c r="D78" s="112"/>
      <c r="E78" s="112"/>
      <c r="F78" s="112"/>
      <c r="G78" s="112"/>
      <c r="H78" s="113"/>
    </row>
    <row r="79" spans="1:8" x14ac:dyDescent="0.25">
      <c r="A79" s="111"/>
      <c r="B79" s="112"/>
      <c r="C79" s="112"/>
      <c r="D79" s="112"/>
      <c r="E79" s="112"/>
      <c r="F79" s="112"/>
      <c r="G79" s="112"/>
      <c r="H79" s="113"/>
    </row>
    <row r="80" spans="1:8" x14ac:dyDescent="0.25">
      <c r="A80" s="111"/>
      <c r="B80" s="112"/>
      <c r="C80" s="112"/>
      <c r="D80" s="112"/>
      <c r="E80" s="112"/>
      <c r="F80" s="112"/>
      <c r="G80" s="112"/>
      <c r="H80" s="113"/>
    </row>
    <row r="81" spans="1:8" x14ac:dyDescent="0.25">
      <c r="A81" s="111"/>
      <c r="B81" s="112"/>
      <c r="C81" s="112"/>
      <c r="D81" s="112"/>
      <c r="E81" s="112"/>
      <c r="F81" s="112"/>
      <c r="G81" s="112"/>
      <c r="H81" s="113"/>
    </row>
    <row r="82" spans="1:8" x14ac:dyDescent="0.25">
      <c r="A82" s="111"/>
      <c r="B82" s="112"/>
      <c r="C82" s="112"/>
      <c r="D82" s="112"/>
      <c r="E82" s="112"/>
      <c r="F82" s="112"/>
      <c r="G82" s="112"/>
      <c r="H82" s="113"/>
    </row>
    <row r="83" spans="1:8" x14ac:dyDescent="0.25">
      <c r="A83" s="111"/>
      <c r="B83" s="112"/>
      <c r="C83" s="112"/>
      <c r="D83" s="112"/>
      <c r="E83" s="112"/>
      <c r="F83" s="112"/>
      <c r="G83" s="112"/>
      <c r="H83" s="113"/>
    </row>
    <row r="84" spans="1:8" x14ac:dyDescent="0.25">
      <c r="A84" s="111"/>
      <c r="B84" s="112"/>
      <c r="C84" s="112"/>
      <c r="D84" s="112"/>
      <c r="E84" s="112"/>
      <c r="F84" s="112"/>
      <c r="G84" s="112"/>
      <c r="H84" s="113"/>
    </row>
    <row r="85" spans="1:8" x14ac:dyDescent="0.25">
      <c r="A85" s="111"/>
      <c r="B85" s="112"/>
      <c r="C85" s="112"/>
      <c r="D85" s="112"/>
      <c r="E85" s="112"/>
      <c r="F85" s="112"/>
      <c r="G85" s="112"/>
      <c r="H85" s="113"/>
    </row>
    <row r="86" spans="1:8" x14ac:dyDescent="0.25">
      <c r="A86" s="111"/>
      <c r="B86" s="112"/>
      <c r="C86" s="112"/>
      <c r="D86" s="112"/>
      <c r="E86" s="112"/>
      <c r="F86" s="112"/>
      <c r="G86" s="112"/>
      <c r="H86" s="113"/>
    </row>
    <row r="87" spans="1:8" x14ac:dyDescent="0.25">
      <c r="A87" s="111"/>
      <c r="B87" s="112"/>
      <c r="C87" s="112"/>
      <c r="D87" s="112"/>
      <c r="E87" s="112"/>
      <c r="F87" s="112"/>
      <c r="G87" s="112"/>
      <c r="H87" s="113"/>
    </row>
  </sheetData>
  <mergeCells count="21">
    <mergeCell ref="A2:H2"/>
    <mergeCell ref="A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</mergeCell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sqref="A1:R2"/>
    </sheetView>
  </sheetViews>
  <sheetFormatPr defaultColWidth="9.140625" defaultRowHeight="15" x14ac:dyDescent="0.25"/>
  <cols>
    <col min="1" max="1" width="9.140625" style="168"/>
    <col min="2" max="2" width="46.42578125" style="168" customWidth="1"/>
    <col min="3" max="5" width="9.140625" style="168"/>
    <col min="6" max="18" width="5.28515625" style="168" customWidth="1"/>
    <col min="19" max="16384" width="9.140625" style="168"/>
  </cols>
  <sheetData>
    <row r="1" spans="1:18" x14ac:dyDescent="0.25">
      <c r="A1" s="428" t="s">
        <v>557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34.5" customHeight="1" x14ac:dyDescent="0.25">
      <c r="A2" s="429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</row>
    <row r="3" spans="1:18" x14ac:dyDescent="0.25">
      <c r="A3" s="422" t="s">
        <v>2</v>
      </c>
      <c r="B3" s="423" t="s">
        <v>537</v>
      </c>
      <c r="C3" s="422" t="s">
        <v>286</v>
      </c>
      <c r="D3" s="422"/>
      <c r="E3" s="422"/>
      <c r="F3" s="424">
        <v>2020</v>
      </c>
      <c r="G3" s="425"/>
      <c r="H3" s="430">
        <v>2021</v>
      </c>
      <c r="I3" s="431"/>
      <c r="J3" s="431"/>
      <c r="K3" s="431"/>
      <c r="L3" s="431"/>
      <c r="M3" s="431"/>
      <c r="N3" s="431"/>
      <c r="O3" s="431"/>
      <c r="P3" s="431"/>
      <c r="Q3" s="431"/>
      <c r="R3" s="432"/>
    </row>
    <row r="4" spans="1:18" x14ac:dyDescent="0.25">
      <c r="A4" s="422"/>
      <c r="B4" s="423"/>
      <c r="C4" s="422"/>
      <c r="D4" s="422"/>
      <c r="E4" s="422"/>
      <c r="F4" s="426"/>
      <c r="G4" s="427"/>
      <c r="H4" s="433"/>
      <c r="I4" s="434"/>
      <c r="J4" s="434"/>
      <c r="K4" s="434"/>
      <c r="L4" s="434"/>
      <c r="M4" s="434"/>
      <c r="N4" s="434"/>
      <c r="O4" s="434"/>
      <c r="P4" s="434"/>
      <c r="Q4" s="434"/>
      <c r="R4" s="435"/>
    </row>
    <row r="5" spans="1:18" ht="55.5" customHeight="1" x14ac:dyDescent="0.25">
      <c r="A5" s="422"/>
      <c r="B5" s="423"/>
      <c r="C5" s="383" t="s">
        <v>287</v>
      </c>
      <c r="D5" s="383" t="s">
        <v>288</v>
      </c>
      <c r="E5" s="383" t="s">
        <v>538</v>
      </c>
      <c r="F5" s="384" t="s">
        <v>539</v>
      </c>
      <c r="G5" s="384" t="s">
        <v>540</v>
      </c>
      <c r="H5" s="384" t="s">
        <v>541</v>
      </c>
      <c r="I5" s="384" t="s">
        <v>542</v>
      </c>
      <c r="J5" s="384" t="s">
        <v>543</v>
      </c>
      <c r="K5" s="384" t="s">
        <v>544</v>
      </c>
      <c r="L5" s="384" t="s">
        <v>545</v>
      </c>
      <c r="M5" s="384" t="s">
        <v>546</v>
      </c>
      <c r="N5" s="384" t="s">
        <v>547</v>
      </c>
      <c r="O5" s="384" t="s">
        <v>548</v>
      </c>
      <c r="P5" s="384" t="s">
        <v>549</v>
      </c>
      <c r="Q5" s="384" t="s">
        <v>550</v>
      </c>
      <c r="R5" s="384" t="s">
        <v>539</v>
      </c>
    </row>
    <row r="6" spans="1:18" x14ac:dyDescent="0.25">
      <c r="A6" s="383">
        <v>1</v>
      </c>
      <c r="B6" s="383">
        <v>2</v>
      </c>
      <c r="C6" s="383">
        <v>3</v>
      </c>
      <c r="D6" s="383">
        <v>4</v>
      </c>
      <c r="E6" s="383">
        <v>5</v>
      </c>
      <c r="F6" s="383">
        <v>6</v>
      </c>
      <c r="G6" s="383">
        <v>7</v>
      </c>
      <c r="H6" s="383">
        <v>8</v>
      </c>
      <c r="I6" s="383">
        <v>9</v>
      </c>
      <c r="J6" s="383">
        <v>10</v>
      </c>
      <c r="K6" s="383">
        <v>11</v>
      </c>
      <c r="L6" s="383">
        <v>12</v>
      </c>
      <c r="M6" s="383">
        <v>13</v>
      </c>
      <c r="N6" s="383">
        <v>14</v>
      </c>
      <c r="O6" s="383">
        <v>15</v>
      </c>
      <c r="P6" s="383">
        <v>16</v>
      </c>
      <c r="Q6" s="383">
        <v>17</v>
      </c>
      <c r="R6" s="383">
        <v>18</v>
      </c>
    </row>
    <row r="7" spans="1:18" x14ac:dyDescent="0.25">
      <c r="A7" s="385">
        <v>1</v>
      </c>
      <c r="B7" s="386" t="s">
        <v>118</v>
      </c>
      <c r="C7" s="129" t="s">
        <v>402</v>
      </c>
      <c r="D7" s="129" t="s">
        <v>558</v>
      </c>
      <c r="E7" s="129">
        <v>70</v>
      </c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25.5" x14ac:dyDescent="0.25">
      <c r="A8" s="385">
        <v>2</v>
      </c>
      <c r="B8" s="387" t="s">
        <v>551</v>
      </c>
      <c r="C8" s="129" t="s">
        <v>552</v>
      </c>
      <c r="D8" s="129" t="s">
        <v>555</v>
      </c>
      <c r="E8" s="129">
        <v>75</v>
      </c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25.5" x14ac:dyDescent="0.25">
      <c r="A9" s="385">
        <v>3</v>
      </c>
      <c r="B9" s="387" t="s">
        <v>553</v>
      </c>
      <c r="C9" s="129" t="s">
        <v>559</v>
      </c>
      <c r="D9" s="129" t="s">
        <v>560</v>
      </c>
      <c r="E9" s="129">
        <v>60</v>
      </c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8" x14ac:dyDescent="0.25">
      <c r="A10" s="385">
        <v>4</v>
      </c>
      <c r="B10" s="388" t="s">
        <v>554</v>
      </c>
      <c r="C10" s="129" t="s">
        <v>558</v>
      </c>
      <c r="D10" s="129" t="s">
        <v>561</v>
      </c>
      <c r="E10" s="129">
        <v>60</v>
      </c>
      <c r="F10" s="153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</row>
  </sheetData>
  <mergeCells count="6">
    <mergeCell ref="A3:A5"/>
    <mergeCell ref="B3:B5"/>
    <mergeCell ref="C3:E4"/>
    <mergeCell ref="F3:G4"/>
    <mergeCell ref="A1:R2"/>
    <mergeCell ref="H3:R4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sqref="A1:G1"/>
    </sheetView>
  </sheetViews>
  <sheetFormatPr defaultRowHeight="15" x14ac:dyDescent="0.25"/>
  <cols>
    <col min="1" max="1" width="4.140625" customWidth="1"/>
    <col min="2" max="2" width="26.42578125" customWidth="1"/>
    <col min="3" max="3" width="26.7109375" customWidth="1"/>
    <col min="4" max="4" width="11.28515625" customWidth="1"/>
    <col min="5" max="5" width="8.28515625" customWidth="1"/>
    <col min="6" max="6" width="20.7109375" customWidth="1"/>
    <col min="7" max="7" width="27.140625" customWidth="1"/>
    <col min="10" max="10" width="33.42578125" customWidth="1"/>
    <col min="13" max="13" width="13.85546875" customWidth="1"/>
  </cols>
  <sheetData>
    <row r="1" spans="1:10" ht="42.75" customHeight="1" x14ac:dyDescent="0.25">
      <c r="A1" s="436" t="s">
        <v>564</v>
      </c>
      <c r="B1" s="436"/>
      <c r="C1" s="436"/>
      <c r="D1" s="436"/>
      <c r="E1" s="436"/>
      <c r="F1" s="436"/>
      <c r="G1" s="436"/>
    </row>
    <row r="2" spans="1:10" x14ac:dyDescent="0.25">
      <c r="A2" s="176"/>
    </row>
    <row r="3" spans="1:10" ht="51" x14ac:dyDescent="0.25">
      <c r="A3" s="177" t="s">
        <v>2</v>
      </c>
      <c r="B3" s="178" t="s">
        <v>293</v>
      </c>
      <c r="C3" s="178" t="s">
        <v>294</v>
      </c>
      <c r="D3" s="178" t="s">
        <v>36</v>
      </c>
      <c r="E3" s="178" t="s">
        <v>295</v>
      </c>
      <c r="F3" s="179" t="s">
        <v>300</v>
      </c>
      <c r="G3" s="179" t="s">
        <v>296</v>
      </c>
    </row>
    <row r="4" spans="1:10" ht="51" x14ac:dyDescent="0.25">
      <c r="A4" s="180" t="s">
        <v>297</v>
      </c>
      <c r="B4" s="363" t="s">
        <v>407</v>
      </c>
      <c r="C4" s="181" t="s">
        <v>370</v>
      </c>
      <c r="D4" s="182"/>
      <c r="E4" s="182"/>
      <c r="F4" s="182"/>
      <c r="G4" s="182"/>
    </row>
    <row r="5" spans="1:10" ht="51.75" customHeight="1" x14ac:dyDescent="0.25">
      <c r="A5" s="183"/>
      <c r="B5" s="199" t="s">
        <v>469</v>
      </c>
      <c r="C5" s="361" t="s">
        <v>470</v>
      </c>
      <c r="D5" s="184" t="s">
        <v>177</v>
      </c>
      <c r="E5" s="184">
        <v>20000</v>
      </c>
      <c r="F5" s="184">
        <v>3.57</v>
      </c>
      <c r="G5" s="185">
        <f>E5*F5</f>
        <v>71400</v>
      </c>
      <c r="I5" s="105"/>
      <c r="J5" s="175">
        <f>3*20000</f>
        <v>60000</v>
      </c>
    </row>
    <row r="6" spans="1:10" ht="38.25" x14ac:dyDescent="0.25">
      <c r="A6" s="186"/>
      <c r="B6" s="187" t="s">
        <v>298</v>
      </c>
      <c r="C6" s="184"/>
      <c r="D6" s="184"/>
      <c r="E6" s="184"/>
      <c r="F6" s="185"/>
      <c r="G6" s="188">
        <f>G5</f>
        <v>71400</v>
      </c>
      <c r="J6" s="175"/>
    </row>
    <row r="7" spans="1:10" ht="25.5" x14ac:dyDescent="0.25">
      <c r="A7" s="189"/>
      <c r="B7" s="190" t="s">
        <v>301</v>
      </c>
      <c r="C7" s="182"/>
      <c r="D7" s="182"/>
      <c r="E7" s="182"/>
      <c r="F7" s="182"/>
      <c r="G7" s="182"/>
    </row>
    <row r="8" spans="1:10" ht="63" x14ac:dyDescent="0.25">
      <c r="A8" s="191"/>
      <c r="B8" s="200" t="s">
        <v>467</v>
      </c>
      <c r="C8" s="201" t="s">
        <v>389</v>
      </c>
      <c r="D8" s="202"/>
      <c r="E8" s="202">
        <v>0.9</v>
      </c>
      <c r="F8" s="202"/>
      <c r="G8" s="202"/>
    </row>
    <row r="9" spans="1:10" ht="63" x14ac:dyDescent="0.25">
      <c r="A9" s="192"/>
      <c r="B9" s="203" t="s">
        <v>299</v>
      </c>
      <c r="C9" s="201" t="s">
        <v>468</v>
      </c>
      <c r="D9" s="202"/>
      <c r="E9" s="202">
        <v>0.99</v>
      </c>
      <c r="F9" s="204"/>
      <c r="G9" s="202"/>
    </row>
    <row r="10" spans="1:10" ht="31.5" x14ac:dyDescent="0.25">
      <c r="A10" s="193"/>
      <c r="B10" s="203" t="s">
        <v>302</v>
      </c>
      <c r="C10" s="201"/>
      <c r="D10" s="205"/>
      <c r="E10" s="205">
        <v>1</v>
      </c>
      <c r="F10" s="204"/>
      <c r="G10" s="202"/>
    </row>
    <row r="11" spans="1:10" ht="15.75" x14ac:dyDescent="0.25">
      <c r="A11" s="194"/>
      <c r="B11" s="206" t="s">
        <v>303</v>
      </c>
      <c r="C11" s="207"/>
      <c r="D11" s="208"/>
      <c r="E11" s="208"/>
      <c r="F11" s="209"/>
      <c r="G11" s="210"/>
    </row>
    <row r="12" spans="1:10" ht="15.75" x14ac:dyDescent="0.25">
      <c r="A12" s="183"/>
      <c r="B12" s="211" t="s">
        <v>16</v>
      </c>
      <c r="C12" s="212"/>
      <c r="D12" s="212"/>
      <c r="E12" s="212"/>
      <c r="F12" s="213"/>
      <c r="G12" s="214">
        <f>G6*E8*E9*E10</f>
        <v>63617.4</v>
      </c>
    </row>
    <row r="13" spans="1:10" ht="60" x14ac:dyDescent="0.25">
      <c r="A13" s="195"/>
      <c r="B13" s="196" t="s">
        <v>332</v>
      </c>
      <c r="C13" s="159" t="s">
        <v>333</v>
      </c>
      <c r="D13" s="167"/>
      <c r="E13" s="167"/>
      <c r="F13" s="167"/>
      <c r="G13" s="197">
        <f>G12*1.036*1.037</f>
        <v>68346.210000000006</v>
      </c>
    </row>
    <row r="14" spans="1:10" x14ac:dyDescent="0.25">
      <c r="A14" s="198"/>
    </row>
    <row r="15" spans="1:10" x14ac:dyDescent="0.25">
      <c r="A15" s="180">
        <v>2</v>
      </c>
      <c r="B15" s="180" t="s">
        <v>493</v>
      </c>
      <c r="C15" s="181" t="s">
        <v>370</v>
      </c>
      <c r="D15" s="361"/>
      <c r="E15" s="361"/>
      <c r="F15" s="361"/>
      <c r="G15" s="361"/>
    </row>
    <row r="16" spans="1:10" ht="38.25" x14ac:dyDescent="0.25">
      <c r="A16" s="367"/>
      <c r="B16" s="199" t="s">
        <v>491</v>
      </c>
      <c r="C16" s="361" t="s">
        <v>492</v>
      </c>
      <c r="D16" s="184" t="s">
        <v>177</v>
      </c>
      <c r="E16" s="184">
        <v>120</v>
      </c>
      <c r="F16" s="184">
        <v>10.35</v>
      </c>
      <c r="G16" s="185">
        <f>E16*F16</f>
        <v>1242</v>
      </c>
    </row>
    <row r="17" spans="1:11" ht="38.25" x14ac:dyDescent="0.25">
      <c r="A17" s="368"/>
      <c r="B17" s="187" t="s">
        <v>298</v>
      </c>
      <c r="C17" s="184"/>
      <c r="D17" s="184"/>
      <c r="E17" s="184"/>
      <c r="F17" s="185"/>
      <c r="G17" s="369">
        <f>G16</f>
        <v>1242</v>
      </c>
    </row>
    <row r="18" spans="1:11" ht="25.5" x14ac:dyDescent="0.25">
      <c r="A18" s="189"/>
      <c r="B18" s="190" t="s">
        <v>301</v>
      </c>
      <c r="C18" s="361"/>
      <c r="D18" s="361"/>
      <c r="E18" s="361"/>
      <c r="F18" s="361"/>
      <c r="G18" s="361"/>
    </row>
    <row r="19" spans="1:11" ht="63" x14ac:dyDescent="0.25">
      <c r="A19" s="191"/>
      <c r="B19" s="200" t="s">
        <v>467</v>
      </c>
      <c r="C19" s="201" t="s">
        <v>305</v>
      </c>
      <c r="D19" s="202"/>
      <c r="E19" s="202">
        <v>0.69</v>
      </c>
      <c r="F19" s="202"/>
      <c r="G19" s="202"/>
    </row>
    <row r="20" spans="1:11" ht="47.25" x14ac:dyDescent="0.25">
      <c r="A20" s="370"/>
      <c r="B20" s="203" t="s">
        <v>299</v>
      </c>
      <c r="C20" s="201" t="s">
        <v>306</v>
      </c>
      <c r="D20" s="202"/>
      <c r="E20" s="202">
        <v>0.99</v>
      </c>
      <c r="F20" s="204"/>
      <c r="G20" s="202"/>
    </row>
    <row r="21" spans="1:11" ht="31.5" x14ac:dyDescent="0.25">
      <c r="A21" s="371"/>
      <c r="B21" s="203" t="s">
        <v>302</v>
      </c>
      <c r="C21" s="201" t="s">
        <v>307</v>
      </c>
      <c r="D21" s="205"/>
      <c r="E21" s="205">
        <v>1.03</v>
      </c>
      <c r="F21" s="204"/>
      <c r="G21" s="202"/>
    </row>
    <row r="22" spans="1:11" ht="15.75" x14ac:dyDescent="0.25">
      <c r="A22" s="194"/>
      <c r="B22" s="206" t="s">
        <v>303</v>
      </c>
      <c r="C22" s="207"/>
      <c r="D22" s="208"/>
      <c r="E22" s="208"/>
      <c r="F22" s="209"/>
      <c r="G22" s="210"/>
    </row>
    <row r="23" spans="1:11" ht="15.75" x14ac:dyDescent="0.25">
      <c r="A23" s="367"/>
      <c r="B23" s="211" t="s">
        <v>16</v>
      </c>
      <c r="C23" s="212"/>
      <c r="D23" s="212"/>
      <c r="E23" s="212"/>
      <c r="F23" s="213"/>
      <c r="G23" s="214">
        <f>G17*E19*E20*E21</f>
        <v>873.86</v>
      </c>
    </row>
    <row r="24" spans="1:11" ht="60" x14ac:dyDescent="0.25">
      <c r="A24" s="195"/>
      <c r="B24" s="196" t="s">
        <v>332</v>
      </c>
      <c r="C24" s="159" t="s">
        <v>333</v>
      </c>
      <c r="D24" s="167"/>
      <c r="E24" s="167"/>
      <c r="F24" s="167"/>
      <c r="G24" s="197">
        <f>G23*1.036*1.037</f>
        <v>938.82</v>
      </c>
    </row>
    <row r="26" spans="1:11" x14ac:dyDescent="0.25">
      <c r="A26" s="180">
        <v>3</v>
      </c>
      <c r="B26" s="180" t="s">
        <v>489</v>
      </c>
      <c r="C26" s="181" t="s">
        <v>370</v>
      </c>
      <c r="D26" s="361"/>
      <c r="E26" s="361"/>
      <c r="F26" s="361"/>
      <c r="G26" s="361"/>
      <c r="J26" t="s">
        <v>494</v>
      </c>
      <c r="K26">
        <v>31.2</v>
      </c>
    </row>
    <row r="27" spans="1:11" ht="51" x14ac:dyDescent="0.25">
      <c r="A27" s="367"/>
      <c r="B27" s="199" t="s">
        <v>497</v>
      </c>
      <c r="C27" s="361" t="s">
        <v>495</v>
      </c>
      <c r="D27" s="184" t="s">
        <v>496</v>
      </c>
      <c r="E27" s="184">
        <v>45</v>
      </c>
      <c r="F27" s="184">
        <v>66.680000000000007</v>
      </c>
      <c r="G27" s="185">
        <f>E27*F27</f>
        <v>3000.6</v>
      </c>
      <c r="J27" t="s">
        <v>495</v>
      </c>
      <c r="K27">
        <v>66.680000000000007</v>
      </c>
    </row>
    <row r="28" spans="1:11" ht="38.25" x14ac:dyDescent="0.25">
      <c r="A28" s="368"/>
      <c r="B28" s="187" t="s">
        <v>298</v>
      </c>
      <c r="C28" s="184"/>
      <c r="D28" s="184"/>
      <c r="E28" s="184"/>
      <c r="F28" s="185"/>
      <c r="G28" s="369">
        <f>G27</f>
        <v>3000.6</v>
      </c>
    </row>
    <row r="29" spans="1:11" ht="25.5" x14ac:dyDescent="0.25">
      <c r="A29" s="189"/>
      <c r="B29" s="190" t="s">
        <v>301</v>
      </c>
      <c r="C29" s="361"/>
      <c r="D29" s="361"/>
      <c r="E29" s="361"/>
      <c r="F29" s="361"/>
      <c r="G29" s="361"/>
    </row>
    <row r="30" spans="1:11" ht="63" x14ac:dyDescent="0.25">
      <c r="A30" s="191"/>
      <c r="B30" s="200" t="s">
        <v>467</v>
      </c>
      <c r="C30" s="201" t="s">
        <v>305</v>
      </c>
      <c r="D30" s="202"/>
      <c r="E30" s="202">
        <v>0.69</v>
      </c>
      <c r="F30" s="202"/>
      <c r="G30" s="202"/>
    </row>
    <row r="31" spans="1:11" ht="47.25" x14ac:dyDescent="0.25">
      <c r="A31" s="370"/>
      <c r="B31" s="203" t="s">
        <v>299</v>
      </c>
      <c r="C31" s="201" t="s">
        <v>306</v>
      </c>
      <c r="D31" s="202"/>
      <c r="E31" s="202">
        <v>0.99</v>
      </c>
      <c r="F31" s="204"/>
      <c r="G31" s="202"/>
    </row>
    <row r="32" spans="1:11" ht="31.5" x14ac:dyDescent="0.25">
      <c r="A32" s="371"/>
      <c r="B32" s="203" t="s">
        <v>302</v>
      </c>
      <c r="C32" s="201" t="s">
        <v>307</v>
      </c>
      <c r="D32" s="205"/>
      <c r="E32" s="205">
        <v>1.03</v>
      </c>
      <c r="F32" s="204"/>
      <c r="G32" s="202"/>
    </row>
    <row r="33" spans="1:7" ht="15.75" x14ac:dyDescent="0.25">
      <c r="A33" s="194"/>
      <c r="B33" s="206" t="s">
        <v>303</v>
      </c>
      <c r="C33" s="207"/>
      <c r="D33" s="208"/>
      <c r="E33" s="208"/>
      <c r="F33" s="209"/>
      <c r="G33" s="210"/>
    </row>
    <row r="34" spans="1:7" ht="15.75" x14ac:dyDescent="0.25">
      <c r="A34" s="367"/>
      <c r="B34" s="211" t="s">
        <v>16</v>
      </c>
      <c r="C34" s="212"/>
      <c r="D34" s="212"/>
      <c r="E34" s="212"/>
      <c r="F34" s="213"/>
      <c r="G34" s="214">
        <f>G28*E30*E31*E32</f>
        <v>2111.1999999999998</v>
      </c>
    </row>
    <row r="35" spans="1:7" ht="60" x14ac:dyDescent="0.25">
      <c r="A35" s="195"/>
      <c r="B35" s="196" t="s">
        <v>332</v>
      </c>
      <c r="C35" s="159" t="s">
        <v>333</v>
      </c>
      <c r="D35" s="167"/>
      <c r="E35" s="167"/>
      <c r="F35" s="167"/>
      <c r="G35" s="197">
        <f>G34*1.036*1.037</f>
        <v>2268.13</v>
      </c>
    </row>
    <row r="37" spans="1:7" ht="25.5" x14ac:dyDescent="0.25">
      <c r="A37" s="180">
        <v>4</v>
      </c>
      <c r="B37" s="180" t="s">
        <v>568</v>
      </c>
      <c r="C37" s="181" t="s">
        <v>370</v>
      </c>
      <c r="D37" s="361"/>
      <c r="E37" s="361"/>
      <c r="F37" s="361"/>
      <c r="G37" s="361"/>
    </row>
    <row r="38" spans="1:7" ht="51" x14ac:dyDescent="0.25">
      <c r="A38" s="367"/>
      <c r="B38" s="199" t="s">
        <v>497</v>
      </c>
      <c r="C38" s="361" t="s">
        <v>495</v>
      </c>
      <c r="D38" s="184" t="s">
        <v>496</v>
      </c>
      <c r="E38" s="184">
        <v>45</v>
      </c>
      <c r="F38" s="184">
        <v>66.680000000000007</v>
      </c>
      <c r="G38" s="185">
        <f>E38*F38</f>
        <v>3000.6</v>
      </c>
    </row>
    <row r="39" spans="1:7" ht="38.25" x14ac:dyDescent="0.25">
      <c r="A39" s="368"/>
      <c r="B39" s="187" t="s">
        <v>298</v>
      </c>
      <c r="C39" s="184"/>
      <c r="D39" s="184"/>
      <c r="E39" s="184"/>
      <c r="F39" s="185"/>
      <c r="G39" s="369">
        <f>G38</f>
        <v>3000.6</v>
      </c>
    </row>
    <row r="40" spans="1:7" ht="25.5" x14ac:dyDescent="0.25">
      <c r="A40" s="189"/>
      <c r="B40" s="190" t="s">
        <v>301</v>
      </c>
      <c r="C40" s="361"/>
      <c r="D40" s="361"/>
      <c r="E40" s="361"/>
      <c r="F40" s="361"/>
      <c r="G40" s="361"/>
    </row>
    <row r="41" spans="1:7" ht="63" x14ac:dyDescent="0.25">
      <c r="A41" s="191"/>
      <c r="B41" s="200" t="s">
        <v>467</v>
      </c>
      <c r="C41" s="201" t="s">
        <v>305</v>
      </c>
      <c r="D41" s="202"/>
      <c r="E41" s="202">
        <v>0.69</v>
      </c>
      <c r="F41" s="202"/>
      <c r="G41" s="202"/>
    </row>
    <row r="42" spans="1:7" ht="47.25" x14ac:dyDescent="0.25">
      <c r="A42" s="370"/>
      <c r="B42" s="203" t="s">
        <v>299</v>
      </c>
      <c r="C42" s="201" t="s">
        <v>306</v>
      </c>
      <c r="D42" s="202"/>
      <c r="E42" s="202">
        <v>0.99</v>
      </c>
      <c r="F42" s="204"/>
      <c r="G42" s="202"/>
    </row>
    <row r="43" spans="1:7" ht="31.5" x14ac:dyDescent="0.25">
      <c r="A43" s="371"/>
      <c r="B43" s="203" t="s">
        <v>302</v>
      </c>
      <c r="C43" s="201" t="s">
        <v>307</v>
      </c>
      <c r="D43" s="205"/>
      <c r="E43" s="205">
        <v>1.03</v>
      </c>
      <c r="F43" s="204"/>
      <c r="G43" s="202"/>
    </row>
    <row r="44" spans="1:7" ht="15.75" x14ac:dyDescent="0.25">
      <c r="A44" s="194"/>
      <c r="B44" s="206" t="s">
        <v>303</v>
      </c>
      <c r="C44" s="207"/>
      <c r="D44" s="208"/>
      <c r="E44" s="208"/>
      <c r="F44" s="209"/>
      <c r="G44" s="210"/>
    </row>
    <row r="45" spans="1:7" ht="15.75" x14ac:dyDescent="0.25">
      <c r="A45" s="367"/>
      <c r="B45" s="211" t="s">
        <v>16</v>
      </c>
      <c r="C45" s="212"/>
      <c r="D45" s="212"/>
      <c r="E45" s="212"/>
      <c r="F45" s="213"/>
      <c r="G45" s="214">
        <f>G39*E41*E42*E43</f>
        <v>2111.1999999999998</v>
      </c>
    </row>
    <row r="46" spans="1:7" ht="60" x14ac:dyDescent="0.25">
      <c r="A46" s="195"/>
      <c r="B46" s="196" t="s">
        <v>332</v>
      </c>
      <c r="C46" s="159" t="s">
        <v>333</v>
      </c>
      <c r="D46" s="167"/>
      <c r="E46" s="167"/>
      <c r="F46" s="167"/>
      <c r="G46" s="197">
        <f>G45*1.036*1.037</f>
        <v>2268.13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workbookViewId="0">
      <selection sqref="A1:G1"/>
    </sheetView>
  </sheetViews>
  <sheetFormatPr defaultRowHeight="15" x14ac:dyDescent="0.25"/>
  <cols>
    <col min="1" max="1" width="4.140625" customWidth="1"/>
    <col min="2" max="2" width="26.42578125" customWidth="1"/>
    <col min="3" max="3" width="26.7109375" customWidth="1"/>
    <col min="4" max="4" width="11.28515625" customWidth="1"/>
    <col min="5" max="5" width="8.28515625" customWidth="1"/>
    <col min="6" max="6" width="20.7109375" customWidth="1"/>
    <col min="7" max="7" width="27.140625" customWidth="1"/>
    <col min="9" max="9" width="11.42578125" bestFit="1" customWidth="1"/>
  </cols>
  <sheetData>
    <row r="1" spans="1:7" ht="42.75" customHeight="1" x14ac:dyDescent="0.25">
      <c r="A1" s="436" t="s">
        <v>564</v>
      </c>
      <c r="B1" s="436"/>
      <c r="C1" s="436"/>
      <c r="D1" s="436"/>
      <c r="E1" s="436"/>
      <c r="F1" s="436"/>
      <c r="G1" s="436"/>
    </row>
    <row r="2" spans="1:7" x14ac:dyDescent="0.25">
      <c r="A2" s="176"/>
    </row>
    <row r="3" spans="1:7" ht="51" x14ac:dyDescent="0.25">
      <c r="A3" s="177" t="s">
        <v>2</v>
      </c>
      <c r="B3" s="178" t="s">
        <v>293</v>
      </c>
      <c r="C3" s="178" t="s">
        <v>294</v>
      </c>
      <c r="D3" s="178" t="s">
        <v>36</v>
      </c>
      <c r="E3" s="178" t="s">
        <v>295</v>
      </c>
      <c r="F3" s="179" t="s">
        <v>300</v>
      </c>
      <c r="G3" s="179" t="s">
        <v>296</v>
      </c>
    </row>
    <row r="4" spans="1:7" ht="157.5" x14ac:dyDescent="0.25">
      <c r="A4" s="211">
        <v>1</v>
      </c>
      <c r="B4" s="211" t="s">
        <v>472</v>
      </c>
      <c r="C4" s="204" t="s">
        <v>312</v>
      </c>
      <c r="D4" s="213" t="s">
        <v>309</v>
      </c>
      <c r="E4" s="213">
        <v>0.5</v>
      </c>
      <c r="F4" s="215">
        <v>7465.41</v>
      </c>
      <c r="G4" s="215">
        <f>E4*F4</f>
        <v>3732.71</v>
      </c>
    </row>
    <row r="5" spans="1:7" ht="157.5" x14ac:dyDescent="0.25">
      <c r="A5" s="211">
        <v>2</v>
      </c>
      <c r="B5" s="211" t="s">
        <v>471</v>
      </c>
      <c r="C5" s="204" t="s">
        <v>315</v>
      </c>
      <c r="D5" s="213" t="s">
        <v>309</v>
      </c>
      <c r="E5" s="213">
        <v>0.2</v>
      </c>
      <c r="F5" s="215">
        <v>4599.59</v>
      </c>
      <c r="G5" s="215">
        <f>E5*F5</f>
        <v>919.92</v>
      </c>
    </row>
    <row r="6" spans="1:7" ht="25.5" x14ac:dyDescent="0.25">
      <c r="A6" s="189"/>
      <c r="B6" s="190" t="s">
        <v>301</v>
      </c>
      <c r="C6" s="182"/>
      <c r="D6" s="182"/>
      <c r="E6" s="182"/>
      <c r="F6" s="182"/>
      <c r="G6" s="182"/>
    </row>
    <row r="7" spans="1:7" ht="63" x14ac:dyDescent="0.25">
      <c r="A7" s="191"/>
      <c r="B7" s="200" t="s">
        <v>467</v>
      </c>
      <c r="C7" s="201" t="s">
        <v>310</v>
      </c>
      <c r="D7" s="202"/>
      <c r="E7" s="202">
        <v>0.93</v>
      </c>
      <c r="F7" s="202"/>
      <c r="G7" s="202"/>
    </row>
    <row r="8" spans="1:7" ht="47.25" x14ac:dyDescent="0.25">
      <c r="A8" s="192"/>
      <c r="B8" s="203" t="s">
        <v>299</v>
      </c>
      <c r="C8" s="201" t="s">
        <v>313</v>
      </c>
      <c r="D8" s="202"/>
      <c r="E8" s="202">
        <v>0.98</v>
      </c>
      <c r="F8" s="204"/>
      <c r="G8" s="202"/>
    </row>
    <row r="9" spans="1:7" ht="31.5" x14ac:dyDescent="0.25">
      <c r="A9" s="193"/>
      <c r="B9" s="203" t="s">
        <v>302</v>
      </c>
      <c r="C9" s="201" t="s">
        <v>311</v>
      </c>
      <c r="D9" s="205"/>
      <c r="E9" s="205">
        <v>1</v>
      </c>
      <c r="F9" s="204"/>
      <c r="G9" s="202"/>
    </row>
    <row r="10" spans="1:7" ht="15.75" x14ac:dyDescent="0.25">
      <c r="A10" s="194"/>
      <c r="B10" s="206" t="s">
        <v>303</v>
      </c>
      <c r="C10" s="207"/>
      <c r="D10" s="208"/>
      <c r="E10" s="208"/>
      <c r="F10" s="209"/>
      <c r="G10" s="210"/>
    </row>
    <row r="11" spans="1:7" ht="15.75" x14ac:dyDescent="0.25">
      <c r="A11" s="183"/>
      <c r="B11" s="211" t="s">
        <v>16</v>
      </c>
      <c r="C11" s="212"/>
      <c r="D11" s="212"/>
      <c r="E11" s="212"/>
      <c r="F11" s="213"/>
      <c r="G11" s="214">
        <f>(G4+G5)*E7*E8*E9</f>
        <v>4240.41</v>
      </c>
    </row>
    <row r="12" spans="1:7" ht="60" x14ac:dyDescent="0.25">
      <c r="A12" s="195"/>
      <c r="B12" s="196" t="s">
        <v>332</v>
      </c>
      <c r="C12" s="159" t="s">
        <v>333</v>
      </c>
      <c r="D12" s="167"/>
      <c r="E12" s="167"/>
      <c r="F12" s="167"/>
      <c r="G12" s="197">
        <f>G11*1.036*1.037</f>
        <v>4555.6099999999997</v>
      </c>
    </row>
    <row r="13" spans="1:7" x14ac:dyDescent="0.25">
      <c r="A13" s="198"/>
    </row>
    <row r="15" spans="1:7" ht="157.5" x14ac:dyDescent="0.25">
      <c r="A15" s="211">
        <v>3</v>
      </c>
      <c r="B15" s="211" t="s">
        <v>473</v>
      </c>
      <c r="C15" s="204" t="s">
        <v>317</v>
      </c>
      <c r="D15" s="213" t="s">
        <v>309</v>
      </c>
      <c r="E15" s="213">
        <v>0.15</v>
      </c>
      <c r="F15" s="215">
        <v>4456.13</v>
      </c>
      <c r="G15" s="215">
        <f>E15*F15</f>
        <v>668.42</v>
      </c>
    </row>
    <row r="16" spans="1:7" ht="25.5" x14ac:dyDescent="0.25">
      <c r="A16" s="189"/>
      <c r="B16" s="190" t="s">
        <v>301</v>
      </c>
      <c r="C16" s="182"/>
      <c r="D16" s="182"/>
      <c r="E16" s="182"/>
      <c r="F16" s="182"/>
      <c r="G16" s="182"/>
    </row>
    <row r="17" spans="1:7" ht="31.5" x14ac:dyDescent="0.25">
      <c r="A17" s="191"/>
      <c r="B17" s="200" t="s">
        <v>318</v>
      </c>
      <c r="C17" s="201" t="s">
        <v>319</v>
      </c>
      <c r="D17" s="202"/>
      <c r="E17" s="202">
        <v>1.72</v>
      </c>
      <c r="F17" s="202"/>
      <c r="G17" s="202"/>
    </row>
    <row r="18" spans="1:7" ht="63" x14ac:dyDescent="0.25">
      <c r="A18" s="191"/>
      <c r="B18" s="200" t="s">
        <v>467</v>
      </c>
      <c r="C18" s="201" t="s">
        <v>310</v>
      </c>
      <c r="D18" s="202"/>
      <c r="E18" s="202">
        <v>0.9</v>
      </c>
      <c r="F18" s="202"/>
      <c r="G18" s="202"/>
    </row>
    <row r="19" spans="1:7" ht="47.25" x14ac:dyDescent="0.25">
      <c r="A19" s="192"/>
      <c r="B19" s="203" t="s">
        <v>299</v>
      </c>
      <c r="C19" s="201" t="s">
        <v>313</v>
      </c>
      <c r="D19" s="202"/>
      <c r="E19" s="202">
        <v>0.98</v>
      </c>
      <c r="F19" s="204"/>
      <c r="G19" s="202"/>
    </row>
    <row r="20" spans="1:7" ht="31.5" x14ac:dyDescent="0.25">
      <c r="A20" s="193"/>
      <c r="B20" s="203" t="s">
        <v>302</v>
      </c>
      <c r="C20" s="201" t="s">
        <v>311</v>
      </c>
      <c r="D20" s="205"/>
      <c r="E20" s="205">
        <v>1.01</v>
      </c>
      <c r="F20" s="204"/>
      <c r="G20" s="202"/>
    </row>
    <row r="21" spans="1:7" ht="15.75" x14ac:dyDescent="0.25">
      <c r="A21" s="194"/>
      <c r="B21" s="206" t="s">
        <v>303</v>
      </c>
      <c r="C21" s="207"/>
      <c r="D21" s="208"/>
      <c r="E21" s="208"/>
      <c r="F21" s="209"/>
      <c r="G21" s="210"/>
    </row>
    <row r="22" spans="1:7" ht="15.75" x14ac:dyDescent="0.25">
      <c r="A22" s="183"/>
      <c r="B22" s="211" t="s">
        <v>16</v>
      </c>
      <c r="C22" s="212"/>
      <c r="D22" s="212"/>
      <c r="E22" s="212"/>
      <c r="F22" s="213"/>
      <c r="G22" s="214">
        <f>(G15)*E17*E18*E19*E20</f>
        <v>1024.1600000000001</v>
      </c>
    </row>
    <row r="23" spans="1:7" ht="60" x14ac:dyDescent="0.25">
      <c r="A23" s="195"/>
      <c r="B23" s="196" t="s">
        <v>332</v>
      </c>
      <c r="C23" s="159" t="s">
        <v>333</v>
      </c>
      <c r="D23" s="167"/>
      <c r="E23" s="167"/>
      <c r="F23" s="167"/>
      <c r="G23" s="197">
        <f>G22*1.036*1.037</f>
        <v>1100.29</v>
      </c>
    </row>
    <row r="25" spans="1:7" ht="157.5" x14ac:dyDescent="0.25">
      <c r="A25" s="211">
        <v>4</v>
      </c>
      <c r="B25" s="211" t="s">
        <v>474</v>
      </c>
      <c r="C25" s="204" t="s">
        <v>371</v>
      </c>
      <c r="D25" s="213" t="s">
        <v>309</v>
      </c>
      <c r="E25" s="213">
        <v>0.1</v>
      </c>
      <c r="F25" s="215">
        <v>28031.9</v>
      </c>
      <c r="G25" s="215">
        <f>E25*F25</f>
        <v>2803.19</v>
      </c>
    </row>
    <row r="26" spans="1:7" ht="25.5" x14ac:dyDescent="0.25">
      <c r="A26" s="189"/>
      <c r="B26" s="190" t="s">
        <v>301</v>
      </c>
      <c r="C26" s="182"/>
      <c r="D26" s="182"/>
      <c r="E26" s="182"/>
      <c r="F26" s="182"/>
      <c r="G26" s="182"/>
    </row>
    <row r="27" spans="1:7" ht="63" x14ac:dyDescent="0.25">
      <c r="A27" s="191"/>
      <c r="B27" s="200" t="s">
        <v>467</v>
      </c>
      <c r="C27" s="201" t="s">
        <v>310</v>
      </c>
      <c r="D27" s="202"/>
      <c r="E27" s="202">
        <v>0.93</v>
      </c>
      <c r="F27" s="202"/>
      <c r="G27" s="202"/>
    </row>
    <row r="28" spans="1:7" ht="47.25" x14ac:dyDescent="0.25">
      <c r="A28" s="192"/>
      <c r="B28" s="203" t="s">
        <v>299</v>
      </c>
      <c r="C28" s="201" t="s">
        <v>313</v>
      </c>
      <c r="D28" s="202"/>
      <c r="E28" s="202">
        <v>0.98</v>
      </c>
      <c r="F28" s="204"/>
      <c r="G28" s="202"/>
    </row>
    <row r="29" spans="1:7" ht="31.5" x14ac:dyDescent="0.25">
      <c r="A29" s="193"/>
      <c r="B29" s="203" t="s">
        <v>302</v>
      </c>
      <c r="C29" s="201" t="s">
        <v>311</v>
      </c>
      <c r="D29" s="205"/>
      <c r="E29" s="205">
        <v>1</v>
      </c>
      <c r="F29" s="204"/>
      <c r="G29" s="202"/>
    </row>
    <row r="30" spans="1:7" ht="15.75" x14ac:dyDescent="0.25">
      <c r="A30" s="194"/>
      <c r="B30" s="206" t="s">
        <v>303</v>
      </c>
      <c r="C30" s="207"/>
      <c r="D30" s="208"/>
      <c r="E30" s="208"/>
      <c r="F30" s="209"/>
      <c r="G30" s="210"/>
    </row>
    <row r="31" spans="1:7" ht="15.75" x14ac:dyDescent="0.25">
      <c r="A31" s="183"/>
      <c r="B31" s="211" t="s">
        <v>16</v>
      </c>
      <c r="C31" s="212"/>
      <c r="D31" s="212"/>
      <c r="E31" s="212"/>
      <c r="F31" s="213"/>
      <c r="G31" s="214">
        <f>(G24+G25)*E27*E28*E29</f>
        <v>2554.83</v>
      </c>
    </row>
    <row r="32" spans="1:7" ht="60" x14ac:dyDescent="0.25">
      <c r="A32" s="195"/>
      <c r="B32" s="196" t="s">
        <v>332</v>
      </c>
      <c r="C32" s="159" t="s">
        <v>333</v>
      </c>
      <c r="D32" s="167"/>
      <c r="E32" s="167"/>
      <c r="F32" s="167"/>
      <c r="G32" s="197">
        <f>G31*1.036*1.037</f>
        <v>2744.74</v>
      </c>
    </row>
    <row r="34" spans="1:7" ht="94.5" x14ac:dyDescent="0.25">
      <c r="A34" s="211">
        <v>5</v>
      </c>
      <c r="B34" s="211" t="s">
        <v>373</v>
      </c>
      <c r="C34" s="204" t="s">
        <v>374</v>
      </c>
      <c r="D34" s="213" t="s">
        <v>375</v>
      </c>
      <c r="E34" s="213">
        <v>15</v>
      </c>
      <c r="F34" s="215">
        <v>117.84</v>
      </c>
      <c r="G34" s="215">
        <f>E34*F34</f>
        <v>1767.6</v>
      </c>
    </row>
    <row r="35" spans="1:7" ht="25.5" x14ac:dyDescent="0.25">
      <c r="A35" s="189"/>
      <c r="B35" s="190" t="s">
        <v>301</v>
      </c>
      <c r="C35" s="232"/>
      <c r="D35" s="232"/>
      <c r="E35" s="232"/>
      <c r="F35" s="232"/>
      <c r="G35" s="232"/>
    </row>
    <row r="36" spans="1:7" ht="63" x14ac:dyDescent="0.25">
      <c r="A36" s="191"/>
      <c r="B36" s="200" t="s">
        <v>467</v>
      </c>
      <c r="C36" s="201" t="s">
        <v>376</v>
      </c>
      <c r="D36" s="202"/>
      <c r="E36" s="202">
        <v>0.9</v>
      </c>
      <c r="F36" s="202"/>
      <c r="G36" s="202"/>
    </row>
    <row r="37" spans="1:7" ht="47.25" x14ac:dyDescent="0.25">
      <c r="A37" s="233"/>
      <c r="B37" s="203" t="s">
        <v>299</v>
      </c>
      <c r="C37" s="201"/>
      <c r="D37" s="202"/>
      <c r="E37" s="202">
        <v>1</v>
      </c>
      <c r="F37" s="204"/>
      <c r="G37" s="202"/>
    </row>
    <row r="38" spans="1:7" ht="31.5" x14ac:dyDescent="0.25">
      <c r="A38" s="234"/>
      <c r="B38" s="203" t="s">
        <v>302</v>
      </c>
      <c r="C38" s="201" t="s">
        <v>377</v>
      </c>
      <c r="D38" s="205"/>
      <c r="E38" s="205">
        <v>1</v>
      </c>
      <c r="F38" s="204"/>
      <c r="G38" s="202"/>
    </row>
    <row r="39" spans="1:7" ht="15.75" x14ac:dyDescent="0.25">
      <c r="A39" s="194"/>
      <c r="B39" s="206" t="s">
        <v>303</v>
      </c>
      <c r="C39" s="207"/>
      <c r="D39" s="208"/>
      <c r="E39" s="208"/>
      <c r="F39" s="209"/>
      <c r="G39" s="210"/>
    </row>
    <row r="40" spans="1:7" ht="15.75" x14ac:dyDescent="0.25">
      <c r="A40" s="235"/>
      <c r="B40" s="211" t="s">
        <v>16</v>
      </c>
      <c r="C40" s="212"/>
      <c r="D40" s="212"/>
      <c r="E40" s="212"/>
      <c r="F40" s="213"/>
      <c r="G40" s="214">
        <f>(G34)*E36*E37*E38</f>
        <v>1590.84</v>
      </c>
    </row>
    <row r="41" spans="1:7" ht="60" x14ac:dyDescent="0.25">
      <c r="A41" s="195"/>
      <c r="B41" s="196" t="s">
        <v>332</v>
      </c>
      <c r="C41" s="159" t="s">
        <v>333</v>
      </c>
      <c r="D41" s="167"/>
      <c r="E41" s="167"/>
      <c r="F41" s="167"/>
      <c r="G41" s="197">
        <f>G40*1.036*1.037</f>
        <v>1709.09</v>
      </c>
    </row>
    <row r="43" spans="1:7" ht="78.75" x14ac:dyDescent="0.25">
      <c r="A43" s="211">
        <v>6</v>
      </c>
      <c r="B43" s="211" t="s">
        <v>487</v>
      </c>
      <c r="C43" s="204" t="s">
        <v>378</v>
      </c>
      <c r="D43" s="213" t="s">
        <v>375</v>
      </c>
      <c r="E43" s="213">
        <v>2</v>
      </c>
      <c r="F43" s="215">
        <v>295.25</v>
      </c>
      <c r="G43" s="215">
        <f>E43*F43</f>
        <v>590.5</v>
      </c>
    </row>
    <row r="44" spans="1:7" ht="25.5" x14ac:dyDescent="0.25">
      <c r="A44" s="189"/>
      <c r="B44" s="190" t="s">
        <v>301</v>
      </c>
      <c r="C44" s="232"/>
      <c r="D44" s="232"/>
      <c r="E44" s="232"/>
      <c r="F44" s="232"/>
      <c r="G44" s="232"/>
    </row>
    <row r="45" spans="1:7" ht="63" x14ac:dyDescent="0.25">
      <c r="A45" s="191"/>
      <c r="B45" s="200" t="s">
        <v>467</v>
      </c>
      <c r="C45" s="201" t="s">
        <v>379</v>
      </c>
      <c r="D45" s="202"/>
      <c r="E45" s="202">
        <v>0.9</v>
      </c>
      <c r="F45" s="202"/>
      <c r="G45" s="202"/>
    </row>
    <row r="46" spans="1:7" ht="47.25" x14ac:dyDescent="0.25">
      <c r="A46" s="233"/>
      <c r="B46" s="203" t="s">
        <v>299</v>
      </c>
      <c r="C46" s="201" t="s">
        <v>380</v>
      </c>
      <c r="D46" s="202"/>
      <c r="E46" s="202">
        <v>0.99</v>
      </c>
      <c r="F46" s="204"/>
      <c r="G46" s="202"/>
    </row>
    <row r="47" spans="1:7" ht="31.5" x14ac:dyDescent="0.25">
      <c r="A47" s="234"/>
      <c r="B47" s="203" t="s">
        <v>302</v>
      </c>
      <c r="C47" s="201" t="s">
        <v>381</v>
      </c>
      <c r="D47" s="205"/>
      <c r="E47" s="205">
        <v>1</v>
      </c>
      <c r="F47" s="204"/>
      <c r="G47" s="202"/>
    </row>
    <row r="48" spans="1:7" ht="15.75" x14ac:dyDescent="0.25">
      <c r="A48" s="194"/>
      <c r="B48" s="206" t="s">
        <v>303</v>
      </c>
      <c r="C48" s="207"/>
      <c r="D48" s="208"/>
      <c r="E48" s="208"/>
      <c r="F48" s="209"/>
      <c r="G48" s="210"/>
    </row>
    <row r="49" spans="1:13" ht="15.75" x14ac:dyDescent="0.25">
      <c r="A49" s="235"/>
      <c r="B49" s="211" t="s">
        <v>16</v>
      </c>
      <c r="C49" s="212"/>
      <c r="D49" s="212"/>
      <c r="E49" s="212"/>
      <c r="F49" s="213"/>
      <c r="G49" s="214">
        <f>(G43)*E45*E46*E47</f>
        <v>526.14</v>
      </c>
    </row>
    <row r="50" spans="1:13" ht="60" x14ac:dyDescent="0.25">
      <c r="A50" s="195"/>
      <c r="B50" s="196" t="s">
        <v>332</v>
      </c>
      <c r="C50" s="159" t="s">
        <v>333</v>
      </c>
      <c r="D50" s="167"/>
      <c r="E50" s="167"/>
      <c r="F50" s="167"/>
      <c r="G50" s="197">
        <f>G49*1.036*1.037</f>
        <v>565.25</v>
      </c>
    </row>
    <row r="52" spans="1:13" ht="141.75" x14ac:dyDescent="0.25">
      <c r="A52" s="211">
        <v>7</v>
      </c>
      <c r="B52" s="211" t="s">
        <v>499</v>
      </c>
      <c r="C52" s="204" t="s">
        <v>500</v>
      </c>
      <c r="D52" s="213" t="s">
        <v>385</v>
      </c>
      <c r="E52" s="213">
        <v>62208</v>
      </c>
      <c r="F52" s="215">
        <v>2.48</v>
      </c>
      <c r="G52" s="215">
        <f>E52*F52</f>
        <v>154275.84</v>
      </c>
      <c r="I52" s="102">
        <f>1498.95*2592</f>
        <v>3885278.4</v>
      </c>
      <c r="J52">
        <f>2.55*62208</f>
        <v>158630.39999999999</v>
      </c>
      <c r="L52">
        <v>220000</v>
      </c>
      <c r="M52">
        <v>0.6</v>
      </c>
    </row>
    <row r="53" spans="1:13" ht="25.5" x14ac:dyDescent="0.25">
      <c r="A53" s="189"/>
      <c r="B53" s="190" t="s">
        <v>301</v>
      </c>
      <c r="C53" s="232"/>
      <c r="D53" s="232"/>
      <c r="E53" s="232"/>
      <c r="F53" s="232"/>
      <c r="G53" s="232"/>
    </row>
    <row r="54" spans="1:13" ht="63" x14ac:dyDescent="0.25">
      <c r="A54" s="191"/>
      <c r="B54" s="200" t="s">
        <v>467</v>
      </c>
      <c r="C54" s="201" t="s">
        <v>383</v>
      </c>
      <c r="D54" s="202"/>
      <c r="E54" s="202">
        <v>0.88</v>
      </c>
      <c r="F54" s="202"/>
      <c r="G54" s="202"/>
      <c r="K54">
        <f>0.6-(220000-62208)*((0.6-2.55)/(220000-56000))</f>
        <v>2.4761853658536599</v>
      </c>
    </row>
    <row r="55" spans="1:13" ht="47.25" x14ac:dyDescent="0.25">
      <c r="A55" s="233"/>
      <c r="B55" s="203" t="s">
        <v>299</v>
      </c>
      <c r="C55" s="201" t="s">
        <v>384</v>
      </c>
      <c r="D55" s="202"/>
      <c r="E55" s="202">
        <v>0.99</v>
      </c>
      <c r="F55" s="204"/>
      <c r="G55" s="202"/>
    </row>
    <row r="56" spans="1:13" ht="31.5" x14ac:dyDescent="0.25">
      <c r="A56" s="234"/>
      <c r="B56" s="203" t="s">
        <v>302</v>
      </c>
      <c r="C56" s="201" t="s">
        <v>381</v>
      </c>
      <c r="D56" s="205"/>
      <c r="E56" s="205">
        <v>1</v>
      </c>
      <c r="F56" s="204"/>
      <c r="G56" s="202"/>
    </row>
    <row r="57" spans="1:13" ht="15.75" x14ac:dyDescent="0.25">
      <c r="A57" s="194"/>
      <c r="B57" s="206" t="s">
        <v>303</v>
      </c>
      <c r="C57" s="207"/>
      <c r="D57" s="208"/>
      <c r="E57" s="208"/>
      <c r="F57" s="209"/>
      <c r="G57" s="210"/>
    </row>
    <row r="58" spans="1:13" ht="15.75" x14ac:dyDescent="0.25">
      <c r="A58" s="235"/>
      <c r="B58" s="211" t="s">
        <v>16</v>
      </c>
      <c r="C58" s="212"/>
      <c r="D58" s="212"/>
      <c r="E58" s="212"/>
      <c r="F58" s="213"/>
      <c r="G58" s="214">
        <f>(G52)*E54*E55*E56</f>
        <v>134405.10999999999</v>
      </c>
    </row>
    <row r="59" spans="1:13" ht="60" x14ac:dyDescent="0.25">
      <c r="A59" s="195"/>
      <c r="B59" s="196" t="s">
        <v>332</v>
      </c>
      <c r="C59" s="159" t="s">
        <v>333</v>
      </c>
      <c r="D59" s="167"/>
      <c r="E59" s="167"/>
      <c r="F59" s="167"/>
      <c r="G59" s="197">
        <f>G58*1.036*1.037</f>
        <v>144395.71</v>
      </c>
    </row>
    <row r="60" spans="1:13" ht="30" x14ac:dyDescent="0.25">
      <c r="A60" s="195"/>
      <c r="B60" s="196" t="s">
        <v>504</v>
      </c>
      <c r="C60" s="159"/>
      <c r="D60" s="167"/>
      <c r="E60" s="167">
        <f>0.60633</f>
        <v>0.60633000000000004</v>
      </c>
      <c r="F60" s="167"/>
      <c r="G60" s="197">
        <f>G59*E60</f>
        <v>87551.45</v>
      </c>
    </row>
    <row r="62" spans="1:13" ht="78.75" x14ac:dyDescent="0.25">
      <c r="A62" s="211">
        <v>7</v>
      </c>
      <c r="B62" s="211" t="s">
        <v>386</v>
      </c>
      <c r="C62" s="204" t="s">
        <v>387</v>
      </c>
      <c r="D62" s="213" t="s">
        <v>388</v>
      </c>
      <c r="E62" s="213">
        <v>255</v>
      </c>
      <c r="F62" s="215">
        <v>75.650000000000006</v>
      </c>
      <c r="G62" s="215">
        <f>E62*F62</f>
        <v>19290.75</v>
      </c>
    </row>
    <row r="63" spans="1:13" ht="25.5" x14ac:dyDescent="0.25">
      <c r="A63" s="189"/>
      <c r="B63" s="190" t="s">
        <v>301</v>
      </c>
      <c r="C63" s="232"/>
      <c r="D63" s="232"/>
      <c r="E63" s="232"/>
      <c r="F63" s="232"/>
      <c r="G63" s="232"/>
    </row>
    <row r="64" spans="1:13" ht="63" x14ac:dyDescent="0.25">
      <c r="A64" s="191"/>
      <c r="B64" s="200" t="s">
        <v>467</v>
      </c>
      <c r="C64" s="201" t="s">
        <v>389</v>
      </c>
      <c r="D64" s="202"/>
      <c r="E64" s="202">
        <v>0.86</v>
      </c>
      <c r="F64" s="202"/>
      <c r="G64" s="202"/>
    </row>
    <row r="65" spans="1:7" ht="47.25" x14ac:dyDescent="0.25">
      <c r="A65" s="233"/>
      <c r="B65" s="203" t="s">
        <v>299</v>
      </c>
      <c r="C65" s="201" t="s">
        <v>390</v>
      </c>
      <c r="D65" s="202"/>
      <c r="E65" s="202">
        <v>0.98</v>
      </c>
      <c r="F65" s="204"/>
      <c r="G65" s="202"/>
    </row>
    <row r="66" spans="1:7" ht="31.5" x14ac:dyDescent="0.25">
      <c r="A66" s="234"/>
      <c r="B66" s="203" t="s">
        <v>302</v>
      </c>
      <c r="C66" s="201"/>
      <c r="D66" s="205"/>
      <c r="E66" s="205">
        <v>1</v>
      </c>
      <c r="F66" s="204"/>
      <c r="G66" s="202"/>
    </row>
    <row r="67" spans="1:7" ht="15.75" x14ac:dyDescent="0.25">
      <c r="A67" s="194"/>
      <c r="B67" s="206" t="s">
        <v>303</v>
      </c>
      <c r="C67" s="207"/>
      <c r="D67" s="208"/>
      <c r="E67" s="208"/>
      <c r="F67" s="209"/>
      <c r="G67" s="210"/>
    </row>
    <row r="68" spans="1:7" ht="15.75" x14ac:dyDescent="0.25">
      <c r="A68" s="235"/>
      <c r="B68" s="211" t="s">
        <v>16</v>
      </c>
      <c r="C68" s="212"/>
      <c r="D68" s="212"/>
      <c r="E68" s="212"/>
      <c r="F68" s="213"/>
      <c r="G68" s="214">
        <f>(G62)*E64*E65*E66</f>
        <v>16258.24</v>
      </c>
    </row>
    <row r="69" spans="1:7" ht="60" x14ac:dyDescent="0.25">
      <c r="A69" s="195"/>
      <c r="B69" s="196" t="s">
        <v>332</v>
      </c>
      <c r="C69" s="159" t="s">
        <v>333</v>
      </c>
      <c r="D69" s="167"/>
      <c r="E69" s="167"/>
      <c r="F69" s="167"/>
      <c r="G69" s="197">
        <f>G68*1.036*1.037</f>
        <v>17466.75</v>
      </c>
    </row>
    <row r="71" spans="1:7" ht="141.75" x14ac:dyDescent="0.25">
      <c r="A71" s="211">
        <v>8</v>
      </c>
      <c r="B71" s="211" t="s">
        <v>488</v>
      </c>
      <c r="C71" s="204" t="s">
        <v>391</v>
      </c>
      <c r="D71" s="213" t="s">
        <v>309</v>
      </c>
      <c r="E71" s="213">
        <v>0.3</v>
      </c>
      <c r="F71" s="215">
        <v>14458.31</v>
      </c>
      <c r="G71" s="215">
        <f>E71*F71</f>
        <v>4337.49</v>
      </c>
    </row>
    <row r="72" spans="1:7" ht="25.5" x14ac:dyDescent="0.25">
      <c r="A72" s="189"/>
      <c r="B72" s="190" t="s">
        <v>301</v>
      </c>
      <c r="C72" s="232"/>
      <c r="D72" s="232"/>
      <c r="E72" s="232"/>
      <c r="F72" s="232"/>
      <c r="G72" s="232"/>
    </row>
    <row r="73" spans="1:7" ht="63" x14ac:dyDescent="0.25">
      <c r="A73" s="191"/>
      <c r="B73" s="200" t="s">
        <v>467</v>
      </c>
      <c r="C73" s="201" t="s">
        <v>389</v>
      </c>
      <c r="D73" s="202"/>
      <c r="E73" s="202">
        <v>0.9</v>
      </c>
      <c r="F73" s="202"/>
      <c r="G73" s="202"/>
    </row>
    <row r="74" spans="1:7" ht="47.25" x14ac:dyDescent="0.25">
      <c r="A74" s="233"/>
      <c r="B74" s="203" t="s">
        <v>299</v>
      </c>
      <c r="C74" s="201" t="s">
        <v>390</v>
      </c>
      <c r="D74" s="202"/>
      <c r="E74" s="202">
        <v>0.98</v>
      </c>
      <c r="F74" s="204"/>
      <c r="G74" s="202"/>
    </row>
    <row r="75" spans="1:7" ht="31.5" x14ac:dyDescent="0.25">
      <c r="A75" s="234"/>
      <c r="B75" s="203" t="s">
        <v>302</v>
      </c>
      <c r="C75" s="201"/>
      <c r="D75" s="205"/>
      <c r="E75" s="205">
        <v>1</v>
      </c>
      <c r="F75" s="204"/>
      <c r="G75" s="202"/>
    </row>
    <row r="76" spans="1:7" ht="15.75" x14ac:dyDescent="0.25">
      <c r="A76" s="194"/>
      <c r="B76" s="206" t="s">
        <v>303</v>
      </c>
      <c r="C76" s="207"/>
      <c r="D76" s="208"/>
      <c r="E76" s="208"/>
      <c r="F76" s="209"/>
      <c r="G76" s="210"/>
    </row>
    <row r="77" spans="1:7" ht="15.75" x14ac:dyDescent="0.25">
      <c r="A77" s="235"/>
      <c r="B77" s="211" t="s">
        <v>16</v>
      </c>
      <c r="C77" s="212"/>
      <c r="D77" s="212"/>
      <c r="E77" s="212"/>
      <c r="F77" s="213"/>
      <c r="G77" s="214">
        <f>(G71)*E73*E74*E75</f>
        <v>3825.67</v>
      </c>
    </row>
    <row r="78" spans="1:7" ht="60" x14ac:dyDescent="0.25">
      <c r="A78" s="195"/>
      <c r="B78" s="196" t="s">
        <v>332</v>
      </c>
      <c r="C78" s="159" t="s">
        <v>333</v>
      </c>
      <c r="D78" s="167"/>
      <c r="E78" s="167"/>
      <c r="F78" s="167"/>
      <c r="G78" s="197">
        <f>G77*1.036*1.037</f>
        <v>4110.04</v>
      </c>
    </row>
    <row r="81" spans="1:7" ht="25.5" x14ac:dyDescent="0.25">
      <c r="A81" s="180">
        <v>10</v>
      </c>
      <c r="B81" s="180" t="s">
        <v>393</v>
      </c>
      <c r="C81" s="181" t="s">
        <v>394</v>
      </c>
      <c r="D81" s="182"/>
      <c r="E81" s="182"/>
      <c r="F81" s="182"/>
      <c r="G81" s="182"/>
    </row>
    <row r="82" spans="1:7" ht="63.75" x14ac:dyDescent="0.25">
      <c r="A82" s="183"/>
      <c r="B82" s="199" t="s">
        <v>395</v>
      </c>
      <c r="C82" s="232" t="s">
        <v>398</v>
      </c>
      <c r="D82" s="184" t="s">
        <v>388</v>
      </c>
      <c r="E82" s="184">
        <v>19</v>
      </c>
      <c r="F82" s="184">
        <v>1086.81</v>
      </c>
      <c r="G82" s="185">
        <f>E82*F82</f>
        <v>20649.39</v>
      </c>
    </row>
    <row r="83" spans="1:7" ht="38.25" x14ac:dyDescent="0.25">
      <c r="A83" s="186"/>
      <c r="B83" s="187" t="s">
        <v>298</v>
      </c>
      <c r="C83" s="184"/>
      <c r="D83" s="184"/>
      <c r="E83" s="184"/>
      <c r="F83" s="185"/>
      <c r="G83" s="188">
        <f>G82</f>
        <v>20649.39</v>
      </c>
    </row>
    <row r="84" spans="1:7" ht="25.5" x14ac:dyDescent="0.25">
      <c r="A84" s="189"/>
      <c r="B84" s="190" t="s">
        <v>301</v>
      </c>
      <c r="C84" s="182"/>
      <c r="D84" s="182"/>
      <c r="E84" s="182"/>
      <c r="F84" s="182"/>
      <c r="G84" s="182"/>
    </row>
    <row r="85" spans="1:7" ht="63" x14ac:dyDescent="0.25">
      <c r="A85" s="191"/>
      <c r="B85" s="200" t="s">
        <v>304</v>
      </c>
      <c r="C85" s="201" t="s">
        <v>396</v>
      </c>
      <c r="D85" s="202"/>
      <c r="E85" s="202">
        <v>0.87</v>
      </c>
      <c r="F85" s="202"/>
      <c r="G85" s="202"/>
    </row>
    <row r="86" spans="1:7" ht="47.25" x14ac:dyDescent="0.25">
      <c r="A86" s="192"/>
      <c r="B86" s="203" t="s">
        <v>299</v>
      </c>
      <c r="C86" s="201" t="s">
        <v>397</v>
      </c>
      <c r="D86" s="202"/>
      <c r="E86" s="202">
        <v>0.99</v>
      </c>
      <c r="F86" s="204"/>
      <c r="G86" s="202"/>
    </row>
    <row r="87" spans="1:7" ht="31.5" x14ac:dyDescent="0.25">
      <c r="A87" s="193"/>
      <c r="B87" s="203" t="s">
        <v>302</v>
      </c>
      <c r="C87" s="201" t="s">
        <v>307</v>
      </c>
      <c r="D87" s="205"/>
      <c r="E87" s="205">
        <v>1.03</v>
      </c>
      <c r="F87" s="204"/>
      <c r="G87" s="202"/>
    </row>
    <row r="88" spans="1:7" ht="15.75" x14ac:dyDescent="0.25">
      <c r="A88" s="194"/>
      <c r="B88" s="206" t="s">
        <v>303</v>
      </c>
      <c r="C88" s="207"/>
      <c r="D88" s="208"/>
      <c r="E88" s="208"/>
      <c r="F88" s="209"/>
      <c r="G88" s="210"/>
    </row>
    <row r="89" spans="1:7" ht="15.75" x14ac:dyDescent="0.25">
      <c r="A89" s="183"/>
      <c r="B89" s="211" t="s">
        <v>16</v>
      </c>
      <c r="C89" s="212"/>
      <c r="D89" s="212"/>
      <c r="E89" s="212"/>
      <c r="F89" s="213"/>
      <c r="G89" s="214">
        <f>G83*E85*E86*E87</f>
        <v>18318.88</v>
      </c>
    </row>
    <row r="90" spans="1:7" ht="60" x14ac:dyDescent="0.25">
      <c r="A90" s="195"/>
      <c r="B90" s="196" t="s">
        <v>332</v>
      </c>
      <c r="C90" s="159" t="s">
        <v>333</v>
      </c>
      <c r="D90" s="167"/>
      <c r="E90" s="167"/>
      <c r="F90" s="167"/>
      <c r="G90" s="197">
        <f>G89*1.036*1.037</f>
        <v>19680.560000000001</v>
      </c>
    </row>
    <row r="92" spans="1:7" ht="25.5" x14ac:dyDescent="0.25">
      <c r="A92" s="180">
        <v>10</v>
      </c>
      <c r="B92" s="180" t="s">
        <v>456</v>
      </c>
      <c r="C92" s="181" t="s">
        <v>463</v>
      </c>
      <c r="D92" s="182"/>
      <c r="E92" s="182"/>
      <c r="F92" s="182"/>
      <c r="G92" s="182"/>
    </row>
    <row r="93" spans="1:7" ht="45" x14ac:dyDescent="0.25">
      <c r="A93" s="183"/>
      <c r="B93" s="199" t="s">
        <v>465</v>
      </c>
      <c r="C93" s="361" t="s">
        <v>466</v>
      </c>
      <c r="D93" s="184" t="s">
        <v>464</v>
      </c>
      <c r="E93" s="184">
        <v>2</v>
      </c>
      <c r="F93" s="184">
        <v>757.33</v>
      </c>
      <c r="G93" s="185">
        <f>E93*F93</f>
        <v>1514.66</v>
      </c>
    </row>
    <row r="94" spans="1:7" ht="38.25" x14ac:dyDescent="0.25">
      <c r="A94" s="186"/>
      <c r="B94" s="187" t="s">
        <v>298</v>
      </c>
      <c r="C94" s="184"/>
      <c r="D94" s="184"/>
      <c r="E94" s="184"/>
      <c r="F94" s="185"/>
      <c r="G94" s="188">
        <f>G93</f>
        <v>1514.66</v>
      </c>
    </row>
    <row r="95" spans="1:7" ht="25.5" x14ac:dyDescent="0.25">
      <c r="A95" s="189"/>
      <c r="B95" s="190" t="s">
        <v>301</v>
      </c>
      <c r="C95" s="182"/>
      <c r="D95" s="182"/>
      <c r="E95" s="182"/>
      <c r="F95" s="182"/>
      <c r="G95" s="182"/>
    </row>
    <row r="96" spans="1:7" ht="63" x14ac:dyDescent="0.25">
      <c r="A96" s="191"/>
      <c r="B96" s="200" t="s">
        <v>467</v>
      </c>
      <c r="C96" s="201" t="s">
        <v>389</v>
      </c>
      <c r="D96" s="202"/>
      <c r="E96" s="202">
        <v>0.9</v>
      </c>
      <c r="F96" s="202"/>
      <c r="G96" s="202"/>
    </row>
    <row r="97" spans="1:7" ht="63" x14ac:dyDescent="0.25">
      <c r="A97" s="192"/>
      <c r="B97" s="203" t="s">
        <v>299</v>
      </c>
      <c r="C97" s="201" t="s">
        <v>468</v>
      </c>
      <c r="D97" s="202"/>
      <c r="E97" s="202">
        <v>0.99</v>
      </c>
      <c r="F97" s="204"/>
      <c r="G97" s="202"/>
    </row>
    <row r="98" spans="1:7" ht="31.5" x14ac:dyDescent="0.25">
      <c r="A98" s="193"/>
      <c r="B98" s="203" t="s">
        <v>302</v>
      </c>
      <c r="C98" s="201" t="s">
        <v>307</v>
      </c>
      <c r="D98" s="205"/>
      <c r="E98" s="205">
        <v>1.03</v>
      </c>
      <c r="F98" s="204"/>
      <c r="G98" s="202"/>
    </row>
    <row r="99" spans="1:7" ht="15.75" x14ac:dyDescent="0.25">
      <c r="A99" s="194"/>
      <c r="B99" s="206" t="s">
        <v>303</v>
      </c>
      <c r="C99" s="207"/>
      <c r="D99" s="208"/>
      <c r="E99" s="208"/>
      <c r="F99" s="209"/>
      <c r="G99" s="210"/>
    </row>
    <row r="100" spans="1:7" ht="15.75" x14ac:dyDescent="0.25">
      <c r="A100" s="183"/>
      <c r="B100" s="211" t="s">
        <v>16</v>
      </c>
      <c r="C100" s="212"/>
      <c r="D100" s="212"/>
      <c r="E100" s="212"/>
      <c r="F100" s="213"/>
      <c r="G100" s="214">
        <f>G94*E96*E97*E98</f>
        <v>1390.05</v>
      </c>
    </row>
    <row r="101" spans="1:7" ht="60" x14ac:dyDescent="0.25">
      <c r="A101" s="195"/>
      <c r="B101" s="196" t="s">
        <v>332</v>
      </c>
      <c r="C101" s="159" t="s">
        <v>333</v>
      </c>
      <c r="D101" s="167"/>
      <c r="E101" s="167"/>
      <c r="F101" s="167"/>
      <c r="G101" s="197">
        <f>G100*1.036*1.037</f>
        <v>1493.38</v>
      </c>
    </row>
    <row r="103" spans="1:7" x14ac:dyDescent="0.25">
      <c r="A103" s="180">
        <v>10</v>
      </c>
      <c r="B103" s="180" t="s">
        <v>479</v>
      </c>
      <c r="C103" s="181" t="s">
        <v>477</v>
      </c>
      <c r="D103" s="182"/>
      <c r="E103" s="182"/>
      <c r="F103" s="182"/>
      <c r="G103" s="182"/>
    </row>
    <row r="104" spans="1:7" ht="114.75" x14ac:dyDescent="0.25">
      <c r="A104" s="183"/>
      <c r="B104" s="199" t="s">
        <v>480</v>
      </c>
      <c r="C104" s="361" t="s">
        <v>481</v>
      </c>
      <c r="D104" s="184" t="s">
        <v>478</v>
      </c>
      <c r="E104" s="184">
        <v>0.35</v>
      </c>
      <c r="F104" s="184">
        <v>2023.9</v>
      </c>
      <c r="G104" s="185">
        <f>E104*F104</f>
        <v>708.37</v>
      </c>
    </row>
    <row r="105" spans="1:7" ht="38.25" x14ac:dyDescent="0.25">
      <c r="A105" s="186"/>
      <c r="B105" s="187" t="s">
        <v>298</v>
      </c>
      <c r="C105" s="184"/>
      <c r="D105" s="184"/>
      <c r="E105" s="184"/>
      <c r="F105" s="185"/>
      <c r="G105" s="188">
        <f>G104</f>
        <v>708.37</v>
      </c>
    </row>
    <row r="106" spans="1:7" ht="25.5" x14ac:dyDescent="0.25">
      <c r="A106" s="189"/>
      <c r="B106" s="190" t="s">
        <v>301</v>
      </c>
      <c r="C106" s="182"/>
      <c r="D106" s="182"/>
      <c r="E106" s="182"/>
      <c r="F106" s="182"/>
      <c r="G106" s="182"/>
    </row>
    <row r="107" spans="1:7" ht="47.25" x14ac:dyDescent="0.25">
      <c r="A107" s="189"/>
      <c r="B107" s="200" t="s">
        <v>482</v>
      </c>
      <c r="C107" s="201" t="s">
        <v>483</v>
      </c>
      <c r="D107" s="182"/>
      <c r="E107" s="202">
        <f>1+0.17+0.04</f>
        <v>1.21</v>
      </c>
      <c r="F107" s="182"/>
      <c r="G107" s="182"/>
    </row>
    <row r="108" spans="1:7" ht="63" x14ac:dyDescent="0.25">
      <c r="A108" s="191"/>
      <c r="B108" s="200" t="s">
        <v>467</v>
      </c>
      <c r="C108" s="201" t="s">
        <v>484</v>
      </c>
      <c r="D108" s="202"/>
      <c r="E108" s="202">
        <v>0.77</v>
      </c>
      <c r="F108" s="202"/>
      <c r="G108" s="202"/>
    </row>
    <row r="109" spans="1:7" ht="47.25" x14ac:dyDescent="0.25">
      <c r="A109" s="192"/>
      <c r="B109" s="203" t="s">
        <v>299</v>
      </c>
      <c r="C109" s="201" t="s">
        <v>485</v>
      </c>
      <c r="D109" s="202"/>
      <c r="E109" s="202">
        <v>0.99</v>
      </c>
      <c r="F109" s="204"/>
      <c r="G109" s="202"/>
    </row>
    <row r="110" spans="1:7" ht="31.5" x14ac:dyDescent="0.25">
      <c r="A110" s="193"/>
      <c r="B110" s="203" t="s">
        <v>302</v>
      </c>
      <c r="C110" s="201" t="s">
        <v>311</v>
      </c>
      <c r="D110" s="205"/>
      <c r="E110" s="205">
        <v>1</v>
      </c>
      <c r="F110" s="204"/>
      <c r="G110" s="202"/>
    </row>
    <row r="111" spans="1:7" ht="15.75" x14ac:dyDescent="0.25">
      <c r="A111" s="194"/>
      <c r="B111" s="206" t="s">
        <v>303</v>
      </c>
      <c r="C111" s="207"/>
      <c r="D111" s="208"/>
      <c r="E111" s="208"/>
      <c r="F111" s="209"/>
      <c r="G111" s="210"/>
    </row>
    <row r="112" spans="1:7" ht="15.75" x14ac:dyDescent="0.25">
      <c r="A112" s="183"/>
      <c r="B112" s="211" t="s">
        <v>16</v>
      </c>
      <c r="C112" s="212"/>
      <c r="D112" s="212"/>
      <c r="E112" s="212"/>
      <c r="F112" s="213"/>
      <c r="G112" s="214">
        <f>G105*E107*E108*E109*E110</f>
        <v>653.39</v>
      </c>
    </row>
    <row r="113" spans="1:7" ht="60" x14ac:dyDescent="0.25">
      <c r="A113" s="195"/>
      <c r="B113" s="196" t="s">
        <v>332</v>
      </c>
      <c r="C113" s="159" t="s">
        <v>333</v>
      </c>
      <c r="D113" s="167"/>
      <c r="E113" s="167"/>
      <c r="F113" s="167"/>
      <c r="G113" s="197">
        <f>G112*1.036*1.037</f>
        <v>701.96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19" zoomScale="80" zoomScaleNormal="80" workbookViewId="0">
      <selection activeCell="B20" sqref="B20"/>
    </sheetView>
  </sheetViews>
  <sheetFormatPr defaultRowHeight="15" x14ac:dyDescent="0.25"/>
  <cols>
    <col min="2" max="2" width="30.7109375" customWidth="1"/>
    <col min="3" max="3" width="13.85546875" customWidth="1"/>
    <col min="4" max="4" width="11" customWidth="1"/>
    <col min="5" max="5" width="31.42578125" customWidth="1"/>
    <col min="6" max="6" width="12.140625" customWidth="1"/>
    <col min="7" max="7" width="12.7109375" customWidth="1"/>
    <col min="8" max="8" width="11.28515625" customWidth="1"/>
    <col min="9" max="9" width="12.42578125" customWidth="1"/>
    <col min="10" max="10" width="17.85546875" customWidth="1"/>
    <col min="11" max="11" width="15" customWidth="1"/>
    <col min="12" max="12" width="12.42578125" customWidth="1"/>
    <col min="13" max="13" width="13.85546875" customWidth="1"/>
    <col min="14" max="14" width="12.42578125" bestFit="1" customWidth="1"/>
    <col min="15" max="15" width="36.42578125" customWidth="1"/>
  </cols>
  <sheetData>
    <row r="1" spans="1:15" ht="30.75" customHeight="1" x14ac:dyDescent="0.25">
      <c r="A1" s="449" t="s">
        <v>565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3" spans="1:15" x14ac:dyDescent="0.25">
      <c r="A3" s="450" t="s">
        <v>214</v>
      </c>
      <c r="B3" s="450" t="s">
        <v>215</v>
      </c>
      <c r="C3" s="441" t="s">
        <v>226</v>
      </c>
      <c r="D3" s="451" t="s">
        <v>225</v>
      </c>
      <c r="E3" s="452" t="s">
        <v>216</v>
      </c>
      <c r="F3" s="453"/>
      <c r="G3" s="453"/>
      <c r="H3" s="453"/>
      <c r="I3" s="454"/>
      <c r="J3" s="441" t="s">
        <v>217</v>
      </c>
      <c r="K3" s="441" t="s">
        <v>598</v>
      </c>
      <c r="L3" s="441" t="s">
        <v>218</v>
      </c>
      <c r="M3" s="441" t="s">
        <v>219</v>
      </c>
    </row>
    <row r="4" spans="1:15" ht="99.75" customHeight="1" x14ac:dyDescent="0.25">
      <c r="A4" s="450"/>
      <c r="B4" s="450"/>
      <c r="C4" s="442"/>
      <c r="D4" s="451"/>
      <c r="E4" s="152" t="s">
        <v>220</v>
      </c>
      <c r="F4" s="119" t="s">
        <v>221</v>
      </c>
      <c r="G4" s="153" t="s">
        <v>222</v>
      </c>
      <c r="H4" s="153" t="s">
        <v>225</v>
      </c>
      <c r="I4" s="153" t="s">
        <v>227</v>
      </c>
      <c r="J4" s="442"/>
      <c r="K4" s="442"/>
      <c r="L4" s="442"/>
      <c r="M4" s="442"/>
    </row>
    <row r="5" spans="1:15" ht="45" x14ac:dyDescent="0.25">
      <c r="A5" s="171">
        <v>1</v>
      </c>
      <c r="B5" s="362" t="s">
        <v>407</v>
      </c>
      <c r="C5" s="172" t="s">
        <v>177</v>
      </c>
      <c r="D5" s="171">
        <v>20000</v>
      </c>
      <c r="E5" s="172" t="s">
        <v>308</v>
      </c>
      <c r="F5" s="172"/>
      <c r="G5" s="154"/>
      <c r="H5" s="171"/>
      <c r="I5" s="154"/>
      <c r="J5" s="154"/>
      <c r="K5" s="155"/>
      <c r="L5" s="154">
        <f>'Парковка УНЦС'!G13</f>
        <v>68346.210000000006</v>
      </c>
      <c r="M5" s="154">
        <f t="shared" ref="M5:M20" si="0">L5*1.2</f>
        <v>82015.45</v>
      </c>
      <c r="N5" s="102"/>
      <c r="O5" s="175"/>
    </row>
    <row r="6" spans="1:15" x14ac:dyDescent="0.25">
      <c r="A6" s="364">
        <v>2</v>
      </c>
      <c r="B6" s="365" t="s">
        <v>489</v>
      </c>
      <c r="C6" s="366" t="s">
        <v>498</v>
      </c>
      <c r="D6" s="372" t="s">
        <v>600</v>
      </c>
      <c r="E6" s="229" t="s">
        <v>308</v>
      </c>
      <c r="F6" s="229"/>
      <c r="G6" s="154"/>
      <c r="H6" s="228"/>
      <c r="I6" s="154"/>
      <c r="J6" s="154"/>
      <c r="K6" s="155"/>
      <c r="L6" s="154">
        <f>'Парковка УНЦС'!G35</f>
        <v>2268.13</v>
      </c>
      <c r="M6" s="154">
        <f t="shared" ref="M6" si="1">L6*1.2</f>
        <v>2721.76</v>
      </c>
      <c r="N6" s="102"/>
      <c r="O6" s="175"/>
    </row>
    <row r="7" spans="1:15" ht="30" x14ac:dyDescent="0.25">
      <c r="A7" s="395">
        <v>3</v>
      </c>
      <c r="B7" s="365" t="s">
        <v>568</v>
      </c>
      <c r="C7" s="366" t="s">
        <v>498</v>
      </c>
      <c r="D7" s="372" t="s">
        <v>600</v>
      </c>
      <c r="E7" s="396" t="s">
        <v>308</v>
      </c>
      <c r="F7" s="396"/>
      <c r="G7" s="154"/>
      <c r="H7" s="395"/>
      <c r="I7" s="154"/>
      <c r="J7" s="154"/>
      <c r="K7" s="155"/>
      <c r="L7" s="154">
        <f>'Парковка УНЦС'!G46</f>
        <v>2268.13</v>
      </c>
      <c r="M7" s="154">
        <f t="shared" ref="M7" si="2">L7*1.2</f>
        <v>2721.76</v>
      </c>
      <c r="N7" s="102"/>
      <c r="O7" s="175"/>
    </row>
    <row r="8" spans="1:15" x14ac:dyDescent="0.25">
      <c r="A8" s="364">
        <v>4</v>
      </c>
      <c r="B8" s="365" t="s">
        <v>490</v>
      </c>
      <c r="C8" s="366" t="s">
        <v>177</v>
      </c>
      <c r="D8" s="364">
        <v>120</v>
      </c>
      <c r="E8" s="356" t="s">
        <v>308</v>
      </c>
      <c r="F8" s="356"/>
      <c r="G8" s="154"/>
      <c r="H8" s="355"/>
      <c r="I8" s="154"/>
      <c r="J8" s="154"/>
      <c r="K8" s="155"/>
      <c r="L8" s="154">
        <f>'Парковка УНЦС'!G24</f>
        <v>938.82</v>
      </c>
      <c r="M8" s="154">
        <f t="shared" ref="M8" si="3">L8*1.2</f>
        <v>1126.58</v>
      </c>
      <c r="N8" s="102"/>
      <c r="O8" s="175"/>
    </row>
    <row r="9" spans="1:15" ht="45" x14ac:dyDescent="0.25">
      <c r="A9" s="395">
        <v>5</v>
      </c>
      <c r="B9" s="153" t="s">
        <v>316</v>
      </c>
      <c r="C9" s="172" t="s">
        <v>104</v>
      </c>
      <c r="D9" s="171" t="s">
        <v>475</v>
      </c>
      <c r="E9" s="172" t="s">
        <v>308</v>
      </c>
      <c r="F9" s="172"/>
      <c r="G9" s="154"/>
      <c r="H9" s="171"/>
      <c r="I9" s="154"/>
      <c r="J9" s="154"/>
      <c r="K9" s="155"/>
      <c r="L9" s="154">
        <f>'Сети ВК УНЦС'!G12</f>
        <v>4555.6099999999997</v>
      </c>
      <c r="M9" s="154">
        <f t="shared" si="0"/>
        <v>5466.73</v>
      </c>
      <c r="N9" s="102"/>
      <c r="O9" s="175"/>
    </row>
    <row r="10" spans="1:15" ht="30" x14ac:dyDescent="0.25">
      <c r="A10" s="364">
        <v>6</v>
      </c>
      <c r="B10" s="153" t="s">
        <v>320</v>
      </c>
      <c r="C10" s="174" t="s">
        <v>104</v>
      </c>
      <c r="D10" s="173">
        <v>150</v>
      </c>
      <c r="E10" s="174" t="s">
        <v>308</v>
      </c>
      <c r="F10" s="174"/>
      <c r="G10" s="154"/>
      <c r="H10" s="173"/>
      <c r="I10" s="154"/>
      <c r="J10" s="154"/>
      <c r="K10" s="155"/>
      <c r="L10" s="154">
        <f>'Сети ВК УНЦС'!G23</f>
        <v>1100.29</v>
      </c>
      <c r="M10" s="154">
        <f t="shared" si="0"/>
        <v>1320.35</v>
      </c>
      <c r="N10" s="102"/>
      <c r="O10" s="175"/>
    </row>
    <row r="11" spans="1:15" ht="45" x14ac:dyDescent="0.25">
      <c r="A11" s="395">
        <v>7</v>
      </c>
      <c r="B11" s="153" t="s">
        <v>372</v>
      </c>
      <c r="C11" s="229" t="s">
        <v>104</v>
      </c>
      <c r="D11" s="228">
        <v>80</v>
      </c>
      <c r="E11" s="229" t="s">
        <v>308</v>
      </c>
      <c r="F11" s="229"/>
      <c r="G11" s="154"/>
      <c r="H11" s="228"/>
      <c r="I11" s="154"/>
      <c r="J11" s="154"/>
      <c r="K11" s="155"/>
      <c r="L11" s="154">
        <f>'Сети ВК УНЦС'!G32</f>
        <v>2744.74</v>
      </c>
      <c r="M11" s="154">
        <f t="shared" ref="M11:M13" si="4">L11*1.2</f>
        <v>3293.69</v>
      </c>
      <c r="N11" s="102"/>
      <c r="O11" s="175"/>
    </row>
    <row r="12" spans="1:15" x14ac:dyDescent="0.25">
      <c r="A12" s="364">
        <v>8</v>
      </c>
      <c r="B12" s="365" t="s">
        <v>501</v>
      </c>
      <c r="C12" s="366" t="s">
        <v>385</v>
      </c>
      <c r="D12" s="364">
        <v>62208</v>
      </c>
      <c r="E12" s="356" t="s">
        <v>308</v>
      </c>
      <c r="F12" s="356"/>
      <c r="G12" s="154"/>
      <c r="H12" s="355"/>
      <c r="I12" s="154"/>
      <c r="J12" s="154"/>
      <c r="K12" s="155"/>
      <c r="L12" s="154">
        <f>'Сети ВК УНЦС'!G60</f>
        <v>87551.45</v>
      </c>
      <c r="M12" s="154">
        <f t="shared" si="4"/>
        <v>105061.74</v>
      </c>
      <c r="N12" s="102"/>
      <c r="O12" s="175"/>
    </row>
    <row r="13" spans="1:15" ht="135" hidden="1" x14ac:dyDescent="0.25">
      <c r="A13" s="395">
        <v>9</v>
      </c>
      <c r="B13" s="365" t="s">
        <v>501</v>
      </c>
      <c r="C13" s="366" t="s">
        <v>503</v>
      </c>
      <c r="D13" s="364">
        <v>720</v>
      </c>
      <c r="E13" s="356" t="s">
        <v>502</v>
      </c>
      <c r="F13" s="356" t="s">
        <v>224</v>
      </c>
      <c r="G13" s="154">
        <f>(245370*3.67+(31424)*6.15*1.023*1.01)*1.03*1.02/1000</f>
        <v>1155.8599999999999</v>
      </c>
      <c r="H13" s="355">
        <v>71</v>
      </c>
      <c r="I13" s="154">
        <f>G13/H13</f>
        <v>16.28</v>
      </c>
      <c r="J13" s="154">
        <f>I13*D13</f>
        <v>11721.6</v>
      </c>
      <c r="K13" s="155">
        <f>(1+0.07/2)*1.037*1.053*1.074*1.036*1.037*1.037</f>
        <v>1.3520000000000001</v>
      </c>
      <c r="L13" s="154">
        <f>J13*K13*0</f>
        <v>0</v>
      </c>
      <c r="M13" s="154">
        <f t="shared" si="4"/>
        <v>0</v>
      </c>
      <c r="N13" s="102"/>
      <c r="O13" s="175"/>
    </row>
    <row r="14" spans="1:15" x14ac:dyDescent="0.25">
      <c r="A14" s="364">
        <v>10</v>
      </c>
      <c r="B14" s="365" t="s">
        <v>392</v>
      </c>
      <c r="C14" s="366" t="s">
        <v>104</v>
      </c>
      <c r="D14" s="364">
        <v>0</v>
      </c>
      <c r="E14" s="229" t="s">
        <v>308</v>
      </c>
      <c r="F14" s="229"/>
      <c r="G14" s="154"/>
      <c r="H14" s="228"/>
      <c r="I14" s="154"/>
      <c r="J14" s="154"/>
      <c r="K14" s="155"/>
      <c r="L14" s="154">
        <f>'Сети ВК УНЦС'!G78*0</f>
        <v>0</v>
      </c>
      <c r="M14" s="154">
        <f t="shared" ref="M14" si="5">L14*1.2</f>
        <v>0</v>
      </c>
      <c r="N14" s="102"/>
      <c r="O14" s="175"/>
    </row>
    <row r="15" spans="1:15" x14ac:dyDescent="0.25">
      <c r="A15" s="395">
        <v>11</v>
      </c>
      <c r="B15" s="365" t="s">
        <v>382</v>
      </c>
      <c r="C15" s="366" t="s">
        <v>177</v>
      </c>
      <c r="D15" s="364">
        <v>200</v>
      </c>
      <c r="E15" s="366" t="s">
        <v>308</v>
      </c>
      <c r="F15" s="229"/>
      <c r="G15" s="154"/>
      <c r="H15" s="228"/>
      <c r="I15" s="154"/>
      <c r="J15" s="154"/>
      <c r="K15" s="155"/>
      <c r="L15" s="154">
        <f>'Сети ВК УНЦС'!G50</f>
        <v>565.25</v>
      </c>
      <c r="M15" s="154">
        <f t="shared" ref="M15" si="6">L15*1.2</f>
        <v>678.3</v>
      </c>
      <c r="N15" s="102"/>
      <c r="O15" s="175"/>
    </row>
    <row r="16" spans="1:15" x14ac:dyDescent="0.25">
      <c r="A16" s="364">
        <v>12</v>
      </c>
      <c r="B16" s="365" t="s">
        <v>455</v>
      </c>
      <c r="C16" s="366" t="s">
        <v>331</v>
      </c>
      <c r="D16" s="364">
        <v>2</v>
      </c>
      <c r="E16" s="366" t="s">
        <v>308</v>
      </c>
      <c r="F16" s="229"/>
      <c r="G16" s="154"/>
      <c r="H16" s="228"/>
      <c r="I16" s="154"/>
      <c r="J16" s="154"/>
      <c r="K16" s="155"/>
      <c r="L16" s="154">
        <f>'Сети ВК УНЦС'!G101</f>
        <v>1493.38</v>
      </c>
      <c r="M16" s="154">
        <f t="shared" ref="M16" si="7">L16*1.2</f>
        <v>1792.06</v>
      </c>
      <c r="N16" s="102"/>
      <c r="O16" s="175"/>
    </row>
    <row r="17" spans="1:15" x14ac:dyDescent="0.25">
      <c r="A17" s="395">
        <v>13</v>
      </c>
      <c r="B17" s="365" t="s">
        <v>486</v>
      </c>
      <c r="C17" s="366" t="s">
        <v>177</v>
      </c>
      <c r="D17" s="364">
        <v>1500</v>
      </c>
      <c r="E17" s="229" t="s">
        <v>308</v>
      </c>
      <c r="F17" s="229"/>
      <c r="G17" s="154"/>
      <c r="H17" s="228"/>
      <c r="I17" s="154"/>
      <c r="J17" s="154"/>
      <c r="K17" s="155"/>
      <c r="L17" s="154">
        <f>'Сети ВК УНЦС'!G41</f>
        <v>1709.09</v>
      </c>
      <c r="M17" s="154">
        <f t="shared" ref="M17" si="8">L17*1.2</f>
        <v>2050.91</v>
      </c>
      <c r="N17" s="102"/>
      <c r="O17" s="175"/>
    </row>
    <row r="18" spans="1:15" ht="165.75" customHeight="1" x14ac:dyDescent="0.25">
      <c r="A18" s="364">
        <v>14</v>
      </c>
      <c r="B18" s="157" t="s">
        <v>186</v>
      </c>
      <c r="C18" s="152" t="s">
        <v>228</v>
      </c>
      <c r="D18" s="152">
        <f>850+800+750</f>
        <v>2400</v>
      </c>
      <c r="E18" s="119" t="s">
        <v>229</v>
      </c>
      <c r="F18" s="119" t="s">
        <v>230</v>
      </c>
      <c r="G18" s="154">
        <f>1386.62*7*1.26</f>
        <v>12229.99</v>
      </c>
      <c r="H18" s="152">
        <v>8165</v>
      </c>
      <c r="I18" s="154">
        <f>G18/H18</f>
        <v>1.5</v>
      </c>
      <c r="J18" s="154">
        <f>I18*D18</f>
        <v>3600</v>
      </c>
      <c r="K18" s="155">
        <f>(1+0.074/2)*1.036*1.037</f>
        <v>1.1140000000000001</v>
      </c>
      <c r="L18" s="154">
        <f>J18*K18</f>
        <v>4010.4</v>
      </c>
      <c r="M18" s="154">
        <f t="shared" si="0"/>
        <v>4812.4799999999996</v>
      </c>
    </row>
    <row r="19" spans="1:15" ht="45.75" customHeight="1" x14ac:dyDescent="0.25">
      <c r="A19" s="395">
        <v>15</v>
      </c>
      <c r="B19" s="405" t="s">
        <v>599</v>
      </c>
      <c r="C19" s="152" t="s">
        <v>228</v>
      </c>
      <c r="D19" s="152">
        <v>350</v>
      </c>
      <c r="E19" s="356" t="s">
        <v>308</v>
      </c>
      <c r="F19" s="119"/>
      <c r="G19" s="154"/>
      <c r="H19" s="152"/>
      <c r="I19" s="154"/>
      <c r="J19" s="154"/>
      <c r="K19" s="155"/>
      <c r="L19" s="154">
        <f>'Сети ВК УНЦС'!G113</f>
        <v>701.96</v>
      </c>
      <c r="M19" s="154">
        <f t="shared" si="0"/>
        <v>842.35</v>
      </c>
    </row>
    <row r="20" spans="1:15" ht="165.75" customHeight="1" x14ac:dyDescent="0.25">
      <c r="A20" s="364">
        <v>16</v>
      </c>
      <c r="B20" s="157" t="s">
        <v>231</v>
      </c>
      <c r="C20" s="152" t="s">
        <v>228</v>
      </c>
      <c r="D20" s="152">
        <v>950</v>
      </c>
      <c r="E20" s="119" t="s">
        <v>232</v>
      </c>
      <c r="F20" s="119" t="s">
        <v>230</v>
      </c>
      <c r="G20" s="154">
        <f>5470.25*1.26</f>
        <v>6892.52</v>
      </c>
      <c r="H20" s="152">
        <v>3092.9</v>
      </c>
      <c r="I20" s="154">
        <f>G20/H20</f>
        <v>2.23</v>
      </c>
      <c r="J20" s="154">
        <f>I20*D20</f>
        <v>2118.5</v>
      </c>
      <c r="K20" s="155">
        <f>(1+0.074/2)*1.036*1.037</f>
        <v>1.1140000000000001</v>
      </c>
      <c r="L20" s="154">
        <f>J20*K20</f>
        <v>2360.0100000000002</v>
      </c>
      <c r="M20" s="154">
        <f t="shared" si="0"/>
        <v>2832.01</v>
      </c>
    </row>
    <row r="21" spans="1:15" x14ac:dyDescent="0.25">
      <c r="A21" s="438" t="s">
        <v>223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40"/>
      <c r="L21" s="156">
        <f>SUM(L5:L20)</f>
        <v>180613.47</v>
      </c>
      <c r="M21" s="156">
        <f>SUM(M5:M20)</f>
        <v>216736.17</v>
      </c>
    </row>
    <row r="23" spans="1:15" ht="33" customHeight="1" x14ac:dyDescent="0.25">
      <c r="A23" s="437" t="s">
        <v>280</v>
      </c>
      <c r="B23" s="437"/>
      <c r="C23" s="437"/>
      <c r="D23" s="437"/>
      <c r="E23" s="437"/>
      <c r="F23" s="437"/>
      <c r="G23" s="437"/>
      <c r="H23" s="437"/>
      <c r="I23" s="437"/>
      <c r="J23" s="437"/>
      <c r="K23" s="166" t="s">
        <v>278</v>
      </c>
      <c r="L23" s="166">
        <v>1.07</v>
      </c>
      <c r="M23" s="115"/>
    </row>
    <row r="24" spans="1:15" ht="18.75" customHeight="1" x14ac:dyDescent="0.25">
      <c r="A24" s="437" t="s">
        <v>281</v>
      </c>
      <c r="B24" s="437"/>
      <c r="C24" s="437"/>
      <c r="D24" s="437"/>
      <c r="E24" s="437"/>
      <c r="F24" s="437"/>
      <c r="G24" s="437"/>
      <c r="H24" s="437"/>
      <c r="I24" s="437"/>
      <c r="J24" s="437"/>
      <c r="K24" s="166" t="s">
        <v>279</v>
      </c>
      <c r="L24" s="166">
        <v>1.0369999999999999</v>
      </c>
    </row>
    <row r="25" spans="1:15" ht="15" customHeight="1" x14ac:dyDescent="0.25">
      <c r="A25" s="443" t="s">
        <v>282</v>
      </c>
      <c r="B25" s="443"/>
      <c r="C25" s="443"/>
      <c r="D25" s="443"/>
      <c r="E25" s="443"/>
      <c r="F25" s="443"/>
      <c r="G25" s="443"/>
      <c r="H25" s="443"/>
      <c r="I25" s="443"/>
      <c r="J25" s="444"/>
      <c r="K25" s="166" t="s">
        <v>283</v>
      </c>
      <c r="L25" s="166">
        <v>1.0529999999999999</v>
      </c>
    </row>
    <row r="26" spans="1:15" x14ac:dyDescent="0.25">
      <c r="A26" s="445"/>
      <c r="B26" s="445"/>
      <c r="C26" s="445"/>
      <c r="D26" s="445"/>
      <c r="E26" s="445"/>
      <c r="F26" s="445"/>
      <c r="G26" s="445"/>
      <c r="H26" s="445"/>
      <c r="I26" s="445"/>
      <c r="J26" s="446"/>
      <c r="K26" s="166" t="s">
        <v>284</v>
      </c>
      <c r="L26" s="167">
        <v>1.0740000000000001</v>
      </c>
    </row>
    <row r="27" spans="1:15" x14ac:dyDescent="0.25">
      <c r="A27" s="445"/>
      <c r="B27" s="445"/>
      <c r="C27" s="445"/>
      <c r="D27" s="445"/>
      <c r="E27" s="445"/>
      <c r="F27" s="445"/>
      <c r="G27" s="445"/>
      <c r="H27" s="445"/>
      <c r="I27" s="445"/>
      <c r="J27" s="446"/>
      <c r="K27" s="166" t="s">
        <v>285</v>
      </c>
      <c r="L27" s="167">
        <v>1.036</v>
      </c>
    </row>
    <row r="28" spans="1:15" x14ac:dyDescent="0.25">
      <c r="A28" s="447"/>
      <c r="B28" s="447"/>
      <c r="C28" s="447"/>
      <c r="D28" s="447"/>
      <c r="E28" s="447"/>
      <c r="F28" s="447"/>
      <c r="G28" s="447"/>
      <c r="H28" s="447"/>
      <c r="I28" s="447"/>
      <c r="J28" s="448"/>
      <c r="K28" s="166" t="s">
        <v>292</v>
      </c>
      <c r="L28" s="167">
        <v>1.0369999999999999</v>
      </c>
    </row>
    <row r="29" spans="1:15" x14ac:dyDescent="0.25">
      <c r="K29" s="166" t="s">
        <v>476</v>
      </c>
      <c r="L29" s="167">
        <v>1.0369999999999999</v>
      </c>
    </row>
  </sheetData>
  <mergeCells count="14">
    <mergeCell ref="A1:N1"/>
    <mergeCell ref="A3:A4"/>
    <mergeCell ref="B3:B4"/>
    <mergeCell ref="D3:D4"/>
    <mergeCell ref="E3:I3"/>
    <mergeCell ref="J3:J4"/>
    <mergeCell ref="K3:K4"/>
    <mergeCell ref="L3:L4"/>
    <mergeCell ref="M3:M4"/>
    <mergeCell ref="A23:J23"/>
    <mergeCell ref="A24:J24"/>
    <mergeCell ref="A21:K21"/>
    <mergeCell ref="C3:C4"/>
    <mergeCell ref="A25:J2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60" zoomScaleNormal="100" workbookViewId="0">
      <selection sqref="A1:C1"/>
    </sheetView>
  </sheetViews>
  <sheetFormatPr defaultRowHeight="15" x14ac:dyDescent="0.25"/>
  <cols>
    <col min="1" max="1" width="32.7109375" customWidth="1"/>
    <col min="2" max="2" width="33.7109375" customWidth="1"/>
    <col min="3" max="3" width="39.140625" customWidth="1"/>
  </cols>
  <sheetData>
    <row r="1" spans="1:3" ht="15.75" x14ac:dyDescent="0.25">
      <c r="A1" s="462" t="s">
        <v>120</v>
      </c>
      <c r="B1" s="462"/>
      <c r="C1" s="462"/>
    </row>
    <row r="2" spans="1:3" ht="15.75" x14ac:dyDescent="0.25">
      <c r="A2" s="463" t="s">
        <v>121</v>
      </c>
      <c r="B2" s="463"/>
      <c r="C2" s="463"/>
    </row>
    <row r="3" spans="1:3" ht="56.25" customHeight="1" x14ac:dyDescent="0.25">
      <c r="A3" s="461" t="s">
        <v>509</v>
      </c>
      <c r="B3" s="461"/>
      <c r="C3" s="461"/>
    </row>
    <row r="4" spans="1:3" ht="193.5" customHeight="1" x14ac:dyDescent="0.25">
      <c r="A4" s="464" t="s">
        <v>556</v>
      </c>
      <c r="B4" s="464"/>
      <c r="C4" s="464"/>
    </row>
    <row r="5" spans="1:3" ht="23.25" customHeight="1" x14ac:dyDescent="0.25">
      <c r="A5" s="461" t="s">
        <v>131</v>
      </c>
      <c r="B5" s="461"/>
      <c r="C5" s="461"/>
    </row>
    <row r="6" spans="1:3" ht="101.25" customHeight="1" x14ac:dyDescent="0.25">
      <c r="A6" s="457" t="s">
        <v>566</v>
      </c>
      <c r="B6" s="457"/>
      <c r="C6" s="457"/>
    </row>
    <row r="7" spans="1:3" ht="35.25" customHeight="1" x14ac:dyDescent="0.25">
      <c r="A7" s="465" t="s">
        <v>142</v>
      </c>
      <c r="B7" s="465"/>
      <c r="C7" s="465"/>
    </row>
    <row r="8" spans="1:3" ht="50.25" customHeight="1" x14ac:dyDescent="0.25">
      <c r="A8" s="460" t="s">
        <v>597</v>
      </c>
      <c r="B8" s="460"/>
      <c r="C8" s="460"/>
    </row>
    <row r="9" spans="1:3" ht="64.5" customHeight="1" x14ac:dyDescent="0.25">
      <c r="A9" s="455" t="s">
        <v>403</v>
      </c>
      <c r="B9" s="455"/>
      <c r="C9" s="455"/>
    </row>
    <row r="10" spans="1:3" ht="20.25" customHeight="1" x14ac:dyDescent="0.25">
      <c r="A10" s="456" t="s">
        <v>132</v>
      </c>
      <c r="B10" s="456"/>
      <c r="C10" s="456"/>
    </row>
    <row r="11" spans="1:3" ht="98.25" customHeight="1" x14ac:dyDescent="0.25">
      <c r="A11" s="457" t="s">
        <v>567</v>
      </c>
      <c r="B11" s="457"/>
      <c r="C11" s="457"/>
    </row>
    <row r="12" spans="1:3" ht="37.5" customHeight="1" x14ac:dyDescent="0.25">
      <c r="A12" s="458" t="s">
        <v>141</v>
      </c>
      <c r="B12" s="458"/>
      <c r="C12" s="458"/>
    </row>
    <row r="13" spans="1:3" ht="42.75" customHeight="1" x14ac:dyDescent="0.25">
      <c r="A13" s="460" t="s">
        <v>597</v>
      </c>
      <c r="B13" s="460"/>
      <c r="C13" s="460"/>
    </row>
    <row r="14" spans="1:3" ht="69.75" customHeight="1" x14ac:dyDescent="0.25">
      <c r="A14" s="455" t="s">
        <v>403</v>
      </c>
      <c r="B14" s="455"/>
      <c r="C14" s="455"/>
    </row>
    <row r="15" spans="1:3" ht="19.5" customHeight="1" x14ac:dyDescent="0.25">
      <c r="A15" s="455" t="s">
        <v>276</v>
      </c>
      <c r="B15" s="455"/>
      <c r="C15" s="455"/>
    </row>
    <row r="16" spans="1:3" ht="18.75" customHeight="1" x14ac:dyDescent="0.25">
      <c r="A16" s="455" t="s">
        <v>277</v>
      </c>
      <c r="B16" s="455"/>
      <c r="C16" s="455"/>
    </row>
    <row r="17" spans="1:3" ht="29.25" customHeight="1" x14ac:dyDescent="0.25">
      <c r="A17" s="236" t="s">
        <v>128</v>
      </c>
      <c r="B17" s="237"/>
      <c r="C17" s="236"/>
    </row>
    <row r="18" spans="1:3" ht="15.75" x14ac:dyDescent="0.25">
      <c r="A18" s="459"/>
      <c r="B18" s="455"/>
      <c r="C18" s="455"/>
    </row>
    <row r="19" spans="1:3" ht="15.75" x14ac:dyDescent="0.25">
      <c r="A19" s="236"/>
      <c r="B19" s="237">
        <f>НМЦ!E17</f>
        <v>20990232</v>
      </c>
      <c r="C19" s="236" t="s">
        <v>122</v>
      </c>
    </row>
    <row r="20" spans="1:3" ht="46.5" customHeight="1" x14ac:dyDescent="0.25">
      <c r="A20" s="458" t="s">
        <v>130</v>
      </c>
      <c r="B20" s="458"/>
      <c r="C20" s="238" t="s">
        <v>129</v>
      </c>
    </row>
  </sheetData>
  <mergeCells count="18">
    <mergeCell ref="A6:C6"/>
    <mergeCell ref="A8:C8"/>
    <mergeCell ref="A5:C5"/>
    <mergeCell ref="A1:C1"/>
    <mergeCell ref="A2:C2"/>
    <mergeCell ref="A3:C3"/>
    <mergeCell ref="A4:C4"/>
    <mergeCell ref="A7:C7"/>
    <mergeCell ref="A9:C9"/>
    <mergeCell ref="A10:C10"/>
    <mergeCell ref="A11:C11"/>
    <mergeCell ref="A20:B20"/>
    <mergeCell ref="A18:C18"/>
    <mergeCell ref="A13:C13"/>
    <mergeCell ref="A12:C12"/>
    <mergeCell ref="A14:C14"/>
    <mergeCell ref="A15:C15"/>
    <mergeCell ref="A16:C16"/>
  </mergeCells>
  <pageMargins left="0.7" right="0.7" top="0.75" bottom="0.75" header="0.3" footer="0.3"/>
  <pageSetup paperSize="9" scale="82" fitToHeight="0" orientation="portrait" r:id="rId1"/>
  <rowBreaks count="1" manualBreakCount="1">
    <brk id="9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7" max="7" width="14" customWidth="1"/>
  </cols>
  <sheetData>
    <row r="1" spans="1:16" ht="15.75" x14ac:dyDescent="0.25">
      <c r="A1" s="466" t="s">
        <v>257</v>
      </c>
      <c r="B1" s="466"/>
      <c r="C1" s="466"/>
      <c r="D1" s="466"/>
      <c r="E1" s="466"/>
      <c r="F1" s="466"/>
      <c r="G1" s="466"/>
      <c r="H1" s="466"/>
      <c r="I1" s="466"/>
      <c r="J1" s="466"/>
      <c r="K1" s="239"/>
      <c r="L1" s="239"/>
      <c r="M1" s="239"/>
      <c r="N1" s="239"/>
      <c r="O1" s="239"/>
      <c r="P1" s="165"/>
    </row>
    <row r="2" spans="1:16" ht="15.75" x14ac:dyDescent="0.25">
      <c r="A2" s="466" t="s">
        <v>258</v>
      </c>
      <c r="B2" s="466"/>
      <c r="C2" s="466"/>
      <c r="D2" s="466"/>
      <c r="E2" s="466"/>
      <c r="F2" s="466"/>
      <c r="G2" s="466"/>
      <c r="H2" s="466"/>
      <c r="I2" s="466"/>
      <c r="J2" s="466"/>
      <c r="K2" s="239"/>
      <c r="L2" s="239"/>
      <c r="M2" s="239"/>
      <c r="N2" s="239"/>
      <c r="O2" s="239"/>
      <c r="P2" s="165"/>
    </row>
    <row r="3" spans="1:16" ht="15.75" x14ac:dyDescent="0.2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165"/>
    </row>
    <row r="4" spans="1:16" ht="47.25" customHeight="1" x14ac:dyDescent="0.25">
      <c r="A4" s="373" t="s">
        <v>259</v>
      </c>
      <c r="B4" s="240"/>
      <c r="C4" s="472" t="s">
        <v>509</v>
      </c>
      <c r="D4" s="472"/>
      <c r="E4" s="472"/>
      <c r="F4" s="472"/>
      <c r="G4" s="472"/>
      <c r="H4" s="472"/>
      <c r="I4" s="472"/>
      <c r="J4" s="472"/>
      <c r="K4" s="472"/>
      <c r="L4" s="240"/>
      <c r="M4" s="240"/>
      <c r="N4" s="240"/>
      <c r="O4" s="240"/>
      <c r="P4" s="165"/>
    </row>
    <row r="5" spans="1:16" ht="15.75" x14ac:dyDescent="0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165"/>
    </row>
    <row r="6" spans="1:16" ht="15.75" x14ac:dyDescent="0.25">
      <c r="A6" s="468" t="s">
        <v>260</v>
      </c>
      <c r="B6" s="468"/>
      <c r="C6" s="468"/>
      <c r="D6" s="468"/>
      <c r="E6" s="468"/>
      <c r="F6" s="468"/>
      <c r="G6" s="242">
        <f>НМЦ!E17</f>
        <v>20990232</v>
      </c>
      <c r="H6" s="241"/>
      <c r="I6" s="241"/>
      <c r="J6" s="241"/>
      <c r="K6" s="241"/>
      <c r="L6" s="241"/>
      <c r="M6" s="241"/>
      <c r="N6" s="241"/>
      <c r="O6" s="241"/>
      <c r="P6" s="165"/>
    </row>
    <row r="7" spans="1:16" ht="15.75" x14ac:dyDescent="0.25">
      <c r="A7" s="469" t="s">
        <v>605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165"/>
    </row>
    <row r="8" spans="1:16" ht="15.75" x14ac:dyDescent="0.25">
      <c r="A8" s="240" t="s">
        <v>261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165"/>
    </row>
    <row r="9" spans="1:16" ht="15.75" x14ac:dyDescent="0.25">
      <c r="A9" s="243" t="s">
        <v>399</v>
      </c>
      <c r="B9" s="243"/>
      <c r="C9" s="243"/>
      <c r="D9" s="243"/>
      <c r="E9" s="243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165"/>
    </row>
    <row r="10" spans="1:16" ht="15.75" x14ac:dyDescent="0.25">
      <c r="A10" s="244"/>
      <c r="B10" s="245" t="s">
        <v>262</v>
      </c>
      <c r="C10" s="243"/>
      <c r="D10" s="243"/>
      <c r="E10" s="243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165"/>
    </row>
    <row r="11" spans="1:16" ht="15.75" x14ac:dyDescent="0.25">
      <c r="A11" s="244"/>
      <c r="B11" s="245" t="s">
        <v>263</v>
      </c>
      <c r="C11" s="243"/>
      <c r="D11" s="243"/>
      <c r="E11" s="243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165"/>
    </row>
    <row r="12" spans="1:16" ht="15.75" x14ac:dyDescent="0.25">
      <c r="A12" s="244"/>
      <c r="B12" s="245" t="s">
        <v>264</v>
      </c>
      <c r="C12" s="243"/>
      <c r="D12" s="243"/>
      <c r="E12" s="243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165"/>
    </row>
    <row r="13" spans="1:16" ht="15.75" x14ac:dyDescent="0.25">
      <c r="A13" s="243"/>
      <c r="B13" s="245" t="s">
        <v>265</v>
      </c>
      <c r="C13" s="243"/>
      <c r="D13" s="243"/>
      <c r="E13" s="243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165"/>
    </row>
    <row r="14" spans="1:16" ht="15.75" x14ac:dyDescent="0.25">
      <c r="A14" s="243"/>
      <c r="B14" s="245" t="s">
        <v>531</v>
      </c>
      <c r="C14" s="243"/>
      <c r="D14" s="243"/>
      <c r="E14" s="243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165"/>
    </row>
    <row r="15" spans="1:16" ht="15.75" x14ac:dyDescent="0.25">
      <c r="A15" s="243"/>
      <c r="B15" s="245" t="s">
        <v>530</v>
      </c>
      <c r="C15" s="243"/>
      <c r="D15" s="243"/>
      <c r="E15" s="243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165"/>
    </row>
    <row r="16" spans="1:16" ht="15.75" x14ac:dyDescent="0.25">
      <c r="A16" s="243" t="s">
        <v>533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165"/>
    </row>
    <row r="17" spans="1:16" ht="15.75" x14ac:dyDescent="0.25">
      <c r="A17" s="243" t="s">
        <v>534</v>
      </c>
      <c r="B17" s="243"/>
      <c r="C17" s="243"/>
      <c r="D17" s="243"/>
      <c r="E17" s="243"/>
      <c r="F17" s="243"/>
      <c r="G17" s="243"/>
      <c r="H17" s="243"/>
      <c r="I17" s="243"/>
      <c r="J17" s="240"/>
      <c r="K17" s="240"/>
      <c r="L17" s="240"/>
      <c r="M17" s="240"/>
      <c r="N17" s="240"/>
      <c r="O17" s="240"/>
      <c r="P17" s="165"/>
    </row>
    <row r="18" spans="1:16" ht="15.75" x14ac:dyDescent="0.25">
      <c r="A18" s="243" t="s">
        <v>532</v>
      </c>
      <c r="B18" s="243"/>
      <c r="C18" s="243"/>
      <c r="D18" s="243"/>
      <c r="E18" s="243"/>
      <c r="F18" s="243"/>
      <c r="G18" s="243"/>
      <c r="H18" s="243"/>
      <c r="I18" s="243"/>
      <c r="J18" s="240"/>
      <c r="K18" s="240"/>
      <c r="L18" s="240"/>
      <c r="M18" s="240"/>
      <c r="N18" s="240"/>
      <c r="O18" s="240"/>
      <c r="P18" s="165"/>
    </row>
    <row r="19" spans="1:16" ht="15.75" x14ac:dyDescent="0.25">
      <c r="A19" s="243" t="s">
        <v>266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0"/>
      <c r="M19" s="240"/>
      <c r="N19" s="240"/>
      <c r="O19" s="240"/>
      <c r="P19" s="165"/>
    </row>
    <row r="20" spans="1:16" ht="29.25" customHeight="1" x14ac:dyDescent="0.25">
      <c r="A20" s="471" t="s">
        <v>535</v>
      </c>
      <c r="B20" s="471"/>
      <c r="C20" s="471"/>
      <c r="D20" s="471"/>
      <c r="E20" s="471"/>
      <c r="F20" s="471"/>
      <c r="G20" s="471"/>
      <c r="H20" s="471"/>
      <c r="I20" s="471"/>
      <c r="J20" s="471"/>
      <c r="K20" s="471"/>
      <c r="L20" s="246"/>
      <c r="M20" s="246"/>
      <c r="N20" s="246"/>
      <c r="O20" s="246"/>
      <c r="P20" s="165"/>
    </row>
    <row r="21" spans="1:16" ht="33" customHeight="1" x14ac:dyDescent="0.25">
      <c r="A21" s="470" t="s">
        <v>536</v>
      </c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240"/>
      <c r="M21" s="240"/>
      <c r="N21" s="240"/>
      <c r="O21" s="240"/>
      <c r="P21" s="165"/>
    </row>
    <row r="22" spans="1:16" ht="15.75" x14ac:dyDescent="0.25">
      <c r="A22" s="243" t="s">
        <v>267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0"/>
      <c r="M22" s="240"/>
      <c r="N22" s="240"/>
      <c r="O22" s="240"/>
      <c r="P22" s="165"/>
    </row>
    <row r="23" spans="1:16" ht="15.75" x14ac:dyDescent="0.25">
      <c r="A23" s="243"/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0"/>
      <c r="M23" s="240"/>
      <c r="N23" s="240"/>
      <c r="O23" s="240"/>
      <c r="P23" s="165"/>
    </row>
    <row r="24" spans="1:16" ht="15.75" x14ac:dyDescent="0.25">
      <c r="A24" s="243" t="s">
        <v>268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0"/>
      <c r="M24" s="240"/>
      <c r="N24" s="240"/>
      <c r="O24" s="240"/>
      <c r="P24" s="165"/>
    </row>
    <row r="25" spans="1:16" ht="15.75" x14ac:dyDescent="0.25">
      <c r="A25" s="243" t="s">
        <v>269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0"/>
      <c r="M25" s="240"/>
      <c r="N25" s="240"/>
      <c r="O25" s="240"/>
      <c r="P25" s="165"/>
    </row>
    <row r="26" spans="1:16" ht="15.75" x14ac:dyDescent="0.25">
      <c r="A26" s="243"/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0"/>
      <c r="M26" s="240"/>
      <c r="N26" s="240"/>
      <c r="O26" s="240"/>
      <c r="P26" s="165"/>
    </row>
    <row r="27" spans="1:16" ht="15.75" x14ac:dyDescent="0.25">
      <c r="A27" s="240" t="s">
        <v>270</v>
      </c>
      <c r="B27" s="240"/>
      <c r="C27" s="240"/>
      <c r="D27" s="240"/>
      <c r="E27" s="240"/>
      <c r="G27" s="247"/>
      <c r="H27" s="353"/>
      <c r="I27" s="247"/>
      <c r="J27" s="354"/>
      <c r="K27" s="249"/>
      <c r="L27" s="249"/>
      <c r="M27" s="248"/>
      <c r="N27" s="248"/>
      <c r="O27" s="248"/>
      <c r="P27" s="165"/>
    </row>
    <row r="28" spans="1:16" ht="15.75" x14ac:dyDescent="0.25">
      <c r="A28" s="240"/>
      <c r="B28" s="240"/>
      <c r="C28" s="240"/>
      <c r="D28" s="240"/>
      <c r="E28" s="240"/>
      <c r="G28" s="467" t="s">
        <v>271</v>
      </c>
      <c r="H28" s="467"/>
      <c r="I28" s="467"/>
      <c r="J28" s="467"/>
      <c r="K28" s="250"/>
      <c r="L28" s="240"/>
      <c r="M28" s="248"/>
      <c r="N28" s="248"/>
      <c r="O28" s="248"/>
      <c r="P28" s="165"/>
    </row>
    <row r="29" spans="1:16" ht="15.75" x14ac:dyDescent="0.25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</row>
  </sheetData>
  <mergeCells count="8">
    <mergeCell ref="A1:J1"/>
    <mergeCell ref="A2:J2"/>
    <mergeCell ref="G28:J28"/>
    <mergeCell ref="A6:F6"/>
    <mergeCell ref="A7:O7"/>
    <mergeCell ref="A21:K21"/>
    <mergeCell ref="A20:K20"/>
    <mergeCell ref="C4:K4"/>
  </mergeCells>
  <pageMargins left="0.7" right="0.7" top="0.75" bottom="0.75" header="0.3" footer="0.3"/>
  <pageSetup paperSize="9"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view="pageBreakPreview" zoomScaleNormal="100" zoomScaleSheetLayoutView="100" workbookViewId="0">
      <selection activeCell="A6" sqref="A6:XFD7"/>
    </sheetView>
  </sheetViews>
  <sheetFormatPr defaultRowHeight="15" x14ac:dyDescent="0.2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474" t="s">
        <v>112</v>
      </c>
      <c r="B1" s="474"/>
      <c r="C1" s="474"/>
      <c r="D1" s="474"/>
      <c r="E1" s="474"/>
    </row>
    <row r="2" spans="1:19" ht="15.75" x14ac:dyDescent="0.25">
      <c r="A2" s="474" t="s">
        <v>169</v>
      </c>
      <c r="B2" s="474"/>
      <c r="C2" s="474"/>
      <c r="D2" s="474"/>
      <c r="E2" s="474"/>
    </row>
    <row r="3" spans="1:19" ht="30.75" customHeight="1" x14ac:dyDescent="0.25">
      <c r="A3" s="475" t="str">
        <f>НМЦК!B2</f>
        <v>Всесезонный туристско-рекреационный комплекс «Эльбрус», Кабардино-Балкарская Республика. 
Открытая плоскостная парковка на 800 машино/мест</v>
      </c>
      <c r="B3" s="476"/>
      <c r="C3" s="476"/>
      <c r="D3" s="476"/>
      <c r="E3" s="476"/>
    </row>
    <row r="4" spans="1:19" ht="15.75" x14ac:dyDescent="0.25">
      <c r="A4" s="270"/>
      <c r="B4" s="271"/>
      <c r="C4" s="271"/>
      <c r="D4" s="271"/>
      <c r="E4" s="271"/>
    </row>
    <row r="5" spans="1:19" ht="15.75" x14ac:dyDescent="0.25">
      <c r="A5" s="487" t="s">
        <v>401</v>
      </c>
      <c r="B5" s="487"/>
      <c r="C5" s="269" t="s">
        <v>562</v>
      </c>
      <c r="D5" s="252"/>
      <c r="E5" s="251"/>
    </row>
    <row r="6" spans="1:19" ht="15.75" hidden="1" x14ac:dyDescent="0.25">
      <c r="A6" s="251" t="s">
        <v>110</v>
      </c>
      <c r="B6" s="251"/>
      <c r="C6" s="253"/>
      <c r="D6" s="252"/>
      <c r="E6" s="251"/>
    </row>
    <row r="7" spans="1:19" ht="15.75" hidden="1" x14ac:dyDescent="0.25">
      <c r="A7" s="251" t="s">
        <v>111</v>
      </c>
      <c r="B7" s="251"/>
      <c r="C7" s="253"/>
      <c r="D7" s="252"/>
      <c r="E7" s="251"/>
    </row>
    <row r="8" spans="1:19" ht="15.75" x14ac:dyDescent="0.25">
      <c r="A8" s="251"/>
      <c r="B8" s="248"/>
      <c r="C8" s="248"/>
      <c r="D8" s="248"/>
      <c r="E8" s="248"/>
    </row>
    <row r="9" spans="1:19" ht="15.75" customHeight="1" x14ac:dyDescent="0.25">
      <c r="A9" s="477" t="s">
        <v>114</v>
      </c>
      <c r="B9" s="478" t="s">
        <v>115</v>
      </c>
      <c r="C9" s="481" t="s">
        <v>400</v>
      </c>
      <c r="D9" s="482"/>
      <c r="E9" s="483"/>
    </row>
    <row r="10" spans="1:19" ht="15.75" customHeight="1" x14ac:dyDescent="0.25">
      <c r="A10" s="477"/>
      <c r="B10" s="479"/>
      <c r="C10" s="484"/>
      <c r="D10" s="485"/>
      <c r="E10" s="486"/>
    </row>
    <row r="11" spans="1:19" ht="15.75" x14ac:dyDescent="0.25">
      <c r="A11" s="477"/>
      <c r="B11" s="480"/>
      <c r="C11" s="254" t="s">
        <v>116</v>
      </c>
      <c r="D11" s="254" t="s">
        <v>170</v>
      </c>
      <c r="E11" s="254" t="s">
        <v>117</v>
      </c>
    </row>
    <row r="12" spans="1:19" ht="30" customHeight="1" x14ac:dyDescent="0.25">
      <c r="A12" s="254">
        <v>1</v>
      </c>
      <c r="B12" s="254">
        <v>2</v>
      </c>
      <c r="C12" s="254">
        <v>3</v>
      </c>
      <c r="D12" s="254">
        <v>4</v>
      </c>
      <c r="E12" s="254">
        <v>5</v>
      </c>
      <c r="F12" s="107"/>
      <c r="G12" s="106"/>
    </row>
    <row r="13" spans="1:19" ht="42" customHeight="1" x14ac:dyDescent="0.25">
      <c r="A13" s="255">
        <v>1</v>
      </c>
      <c r="B13" s="256" t="s">
        <v>118</v>
      </c>
      <c r="C13" s="257">
        <f>НМЦК!F13</f>
        <v>7095106</v>
      </c>
      <c r="D13" s="258">
        <f t="shared" ref="D13:D16" si="0">C13*0.2</f>
        <v>1419021.2</v>
      </c>
      <c r="E13" s="258">
        <f t="shared" ref="E13:E16" si="1">C13+D13</f>
        <v>8514127.1999999993</v>
      </c>
      <c r="G13" s="102"/>
      <c r="H13" s="473"/>
      <c r="I13" s="473"/>
      <c r="J13" s="473"/>
      <c r="K13" s="473"/>
      <c r="L13" s="115"/>
      <c r="M13" s="116"/>
      <c r="N13" s="114"/>
      <c r="O13" s="114"/>
      <c r="P13" s="114"/>
      <c r="Q13" s="114"/>
      <c r="R13" s="114"/>
      <c r="S13" s="114"/>
    </row>
    <row r="14" spans="1:19" ht="35.450000000000003" customHeight="1" x14ac:dyDescent="0.25">
      <c r="A14" s="255">
        <v>2</v>
      </c>
      <c r="B14" s="256" t="s">
        <v>369</v>
      </c>
      <c r="C14" s="257">
        <f>НМЦК!F14*1.02</f>
        <v>8154980</v>
      </c>
      <c r="D14" s="258">
        <f t="shared" si="0"/>
        <v>1630996</v>
      </c>
      <c r="E14" s="258">
        <f t="shared" si="1"/>
        <v>9785976</v>
      </c>
      <c r="F14" s="105"/>
      <c r="L14" s="114"/>
      <c r="M14" s="114"/>
      <c r="N14" s="114"/>
      <c r="O14" s="114"/>
      <c r="P14" s="114"/>
      <c r="Q14" s="114"/>
      <c r="R14" s="114"/>
      <c r="S14" s="114"/>
    </row>
    <row r="15" spans="1:19" ht="46.5" customHeight="1" x14ac:dyDescent="0.25">
      <c r="A15" s="255">
        <v>3</v>
      </c>
      <c r="B15" s="256" t="s">
        <v>528</v>
      </c>
      <c r="C15" s="257">
        <f>НМЦК!F16*1.02</f>
        <v>210020</v>
      </c>
      <c r="D15" s="258">
        <f>C15*0.2</f>
        <v>42004</v>
      </c>
      <c r="E15" s="258">
        <f t="shared" ref="E15" si="2">C15+D15</f>
        <v>252024</v>
      </c>
    </row>
    <row r="16" spans="1:19" ht="44.25" customHeight="1" x14ac:dyDescent="0.25">
      <c r="A16" s="255">
        <v>4</v>
      </c>
      <c r="B16" s="256" t="s">
        <v>179</v>
      </c>
      <c r="C16" s="257">
        <f>НМЦК!F15*1.02</f>
        <v>2031754</v>
      </c>
      <c r="D16" s="258">
        <f t="shared" si="0"/>
        <v>406350.8</v>
      </c>
      <c r="E16" s="258">
        <f t="shared" si="1"/>
        <v>2438104.7999999998</v>
      </c>
      <c r="L16" s="114"/>
      <c r="M16" s="114"/>
      <c r="N16" s="114"/>
      <c r="O16" s="114"/>
      <c r="P16" s="114"/>
      <c r="Q16" s="114"/>
      <c r="R16" s="114"/>
      <c r="S16" s="114"/>
    </row>
    <row r="17" spans="1:16" ht="48.75" customHeight="1" x14ac:dyDescent="0.25">
      <c r="A17" s="259"/>
      <c r="B17" s="259" t="s">
        <v>16</v>
      </c>
      <c r="C17" s="260">
        <f>C13+C14+C16+C15</f>
        <v>17491860</v>
      </c>
      <c r="D17" s="261">
        <f>D13+D14+D16+D15</f>
        <v>3498372</v>
      </c>
      <c r="E17" s="261">
        <f>E13+E14+E16+E15</f>
        <v>20990232</v>
      </c>
      <c r="J17" s="102"/>
      <c r="L17" s="102"/>
      <c r="M17" s="142"/>
      <c r="P17" s="102"/>
    </row>
    <row r="18" spans="1:16" ht="31.5" x14ac:dyDescent="0.25">
      <c r="A18" s="262"/>
      <c r="B18" s="263" t="s">
        <v>119</v>
      </c>
      <c r="C18" s="264">
        <f>НМЦК!F18-НМЦК!D18</f>
        <v>60000</v>
      </c>
      <c r="D18" s="265">
        <f>C18*0.2</f>
        <v>12000</v>
      </c>
      <c r="E18" s="265">
        <f>C18+D18</f>
        <v>72000</v>
      </c>
      <c r="G18" s="102"/>
      <c r="H18" s="102"/>
    </row>
    <row r="19" spans="1:16" ht="15.75" x14ac:dyDescent="0.25">
      <c r="A19" s="99"/>
      <c r="B19" s="100"/>
      <c r="C19" s="101"/>
      <c r="D19" s="101"/>
      <c r="E19" s="101" t="s">
        <v>78</v>
      </c>
      <c r="F19" s="123"/>
    </row>
    <row r="20" spans="1:16" ht="15.75" x14ac:dyDescent="0.25">
      <c r="A20" s="248"/>
      <c r="B20" s="248"/>
      <c r="C20" s="248"/>
      <c r="D20" s="266"/>
      <c r="E20" s="266"/>
      <c r="F20" s="118"/>
    </row>
    <row r="21" spans="1:16" ht="15.75" x14ac:dyDescent="0.25">
      <c r="A21" s="248"/>
      <c r="B21" s="240" t="s">
        <v>275</v>
      </c>
      <c r="C21" s="267">
        <f>НМЦК!F17</f>
        <v>203858</v>
      </c>
      <c r="D21" s="268">
        <f>C21*0.2</f>
        <v>40771.599999999999</v>
      </c>
      <c r="E21" s="268">
        <f>C21+D21</f>
        <v>244629.6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view="pageBreakPreview" topLeftCell="A13" zoomScale="85" zoomScaleNormal="100" zoomScaleSheetLayoutView="85" workbookViewId="0">
      <selection activeCell="A29" sqref="A29"/>
    </sheetView>
  </sheetViews>
  <sheetFormatPr defaultRowHeight="15" x14ac:dyDescent="0.25"/>
  <cols>
    <col min="1" max="1" width="41.5703125" customWidth="1"/>
    <col min="2" max="2" width="24.28515625" customWidth="1"/>
    <col min="3" max="3" width="15.28515625" customWidth="1"/>
    <col min="4" max="4" width="24.140625" customWidth="1"/>
    <col min="5" max="5" width="15.28515625" customWidth="1"/>
    <col min="6" max="6" width="28.140625" customWidth="1"/>
    <col min="7" max="7" width="26.7109375" hidden="1" customWidth="1"/>
    <col min="8" max="8" width="10.28515625" bestFit="1" customWidth="1"/>
  </cols>
  <sheetData>
    <row r="1" spans="1:9" ht="33" customHeight="1" x14ac:dyDescent="0.25">
      <c r="A1" s="494" t="s">
        <v>508</v>
      </c>
      <c r="B1" s="494"/>
      <c r="C1" s="494"/>
      <c r="D1" s="494"/>
      <c r="E1" s="494"/>
      <c r="F1" s="494"/>
      <c r="G1" s="392"/>
    </row>
    <row r="2" spans="1:9" ht="39" customHeight="1" x14ac:dyDescent="0.25">
      <c r="A2" s="272" t="s">
        <v>236</v>
      </c>
      <c r="B2" s="495" t="s">
        <v>505</v>
      </c>
      <c r="C2" s="495"/>
      <c r="D2" s="495"/>
      <c r="E2" s="495"/>
      <c r="F2" s="495"/>
      <c r="G2" s="392"/>
    </row>
    <row r="3" spans="1:9" ht="27" customHeight="1" x14ac:dyDescent="0.25">
      <c r="A3" s="272" t="s">
        <v>237</v>
      </c>
      <c r="B3" s="496" t="s">
        <v>507</v>
      </c>
      <c r="C3" s="496"/>
      <c r="D3" s="496"/>
      <c r="E3" s="496"/>
      <c r="F3" s="496"/>
      <c r="G3" s="393"/>
    </row>
    <row r="4" spans="1:9" ht="15.75" x14ac:dyDescent="0.25">
      <c r="A4" s="248"/>
      <c r="B4" s="248"/>
      <c r="C4" s="248"/>
      <c r="D4" s="248"/>
      <c r="E4" s="248"/>
      <c r="F4" s="248"/>
      <c r="G4" s="248"/>
    </row>
    <row r="5" spans="1:9" ht="15.75" x14ac:dyDescent="0.25">
      <c r="A5" s="273" t="s">
        <v>238</v>
      </c>
      <c r="B5" s="248"/>
      <c r="C5" s="248"/>
      <c r="D5" s="248"/>
      <c r="E5" s="248"/>
      <c r="F5" s="248"/>
      <c r="G5" s="248"/>
    </row>
    <row r="6" spans="1:9" ht="15.75" x14ac:dyDescent="0.25">
      <c r="A6" s="489"/>
      <c r="B6" s="489"/>
      <c r="C6" s="489"/>
      <c r="D6" s="489"/>
      <c r="E6" s="489"/>
      <c r="F6" s="489"/>
      <c r="G6" s="489"/>
    </row>
    <row r="7" spans="1:9" ht="15.75" x14ac:dyDescent="0.25">
      <c r="A7" s="273" t="s">
        <v>272</v>
      </c>
      <c r="B7" s="266"/>
      <c r="C7" s="266"/>
      <c r="D7" s="248"/>
      <c r="E7" s="248"/>
      <c r="F7" s="248"/>
      <c r="G7" s="248"/>
    </row>
    <row r="8" spans="1:9" ht="15.75" x14ac:dyDescent="0.25">
      <c r="A8" s="273" t="s">
        <v>273</v>
      </c>
      <c r="B8" s="273"/>
      <c r="C8" s="273"/>
      <c r="D8" s="273"/>
      <c r="E8" s="273"/>
      <c r="F8" s="273"/>
      <c r="G8" s="273"/>
    </row>
    <row r="9" spans="1:9" ht="15.75" x14ac:dyDescent="0.25">
      <c r="A9" s="382" t="s">
        <v>563</v>
      </c>
      <c r="B9" s="273"/>
      <c r="C9" s="273"/>
      <c r="D9" s="273"/>
      <c r="E9" s="273"/>
      <c r="F9" s="273"/>
      <c r="G9" s="248"/>
    </row>
    <row r="10" spans="1:9" ht="15.75" x14ac:dyDescent="0.25">
      <c r="A10" s="248"/>
      <c r="B10" s="248"/>
      <c r="C10" s="248"/>
      <c r="D10" s="248"/>
      <c r="E10" s="248"/>
      <c r="F10" s="274" t="s">
        <v>90</v>
      </c>
      <c r="G10" s="274" t="s">
        <v>90</v>
      </c>
    </row>
    <row r="11" spans="1:9" ht="129.75" customHeight="1" x14ac:dyDescent="0.25">
      <c r="A11" s="275" t="s">
        <v>18</v>
      </c>
      <c r="B11" s="276" t="s">
        <v>594</v>
      </c>
      <c r="C11" s="276" t="s">
        <v>239</v>
      </c>
      <c r="D11" s="276" t="s">
        <v>593</v>
      </c>
      <c r="E11" s="276" t="s">
        <v>240</v>
      </c>
      <c r="F11" s="276" t="s">
        <v>241</v>
      </c>
      <c r="G11" s="276" t="s">
        <v>242</v>
      </c>
    </row>
    <row r="12" spans="1:9" ht="15.75" x14ac:dyDescent="0.25">
      <c r="A12" s="277">
        <v>1</v>
      </c>
      <c r="B12" s="277">
        <v>2</v>
      </c>
      <c r="C12" s="277">
        <v>3</v>
      </c>
      <c r="D12" s="277">
        <v>4</v>
      </c>
      <c r="E12" s="277">
        <v>5</v>
      </c>
      <c r="F12" s="277">
        <v>6</v>
      </c>
      <c r="G12" s="278">
        <v>7</v>
      </c>
    </row>
    <row r="13" spans="1:9" ht="33" customHeight="1" x14ac:dyDescent="0.25">
      <c r="A13" s="279" t="s">
        <v>243</v>
      </c>
      <c r="B13" s="280">
        <f>'Cводная смета ПИР'!G19</f>
        <v>7067191</v>
      </c>
      <c r="C13" s="281">
        <v>1</v>
      </c>
      <c r="D13" s="280">
        <f>B13*C13</f>
        <v>7067191</v>
      </c>
      <c r="E13" s="282">
        <f>E40</f>
        <v>1.0039499999999999</v>
      </c>
      <c r="F13" s="280">
        <f>D13*E13</f>
        <v>7095106</v>
      </c>
      <c r="G13" s="283">
        <f>D13+(F13-D13)*(1-30/100)</f>
        <v>7086732</v>
      </c>
    </row>
    <row r="14" spans="1:9" ht="15.75" x14ac:dyDescent="0.25">
      <c r="A14" s="284" t="s">
        <v>244</v>
      </c>
      <c r="B14" s="280">
        <f>'Cводная смета ПИР'!G22</f>
        <v>7963622</v>
      </c>
      <c r="C14" s="281">
        <v>1</v>
      </c>
      <c r="D14" s="280">
        <f>B14*C14</f>
        <v>7963622</v>
      </c>
      <c r="E14" s="282">
        <f>E40</f>
        <v>1.0039499999999999</v>
      </c>
      <c r="F14" s="280">
        <f>D14*E14</f>
        <v>7995078</v>
      </c>
      <c r="G14" s="283">
        <f>D14+(F14-D14)*(1-30/100)</f>
        <v>7985641</v>
      </c>
      <c r="H14" s="394">
        <f>F14*1.02</f>
        <v>8154980</v>
      </c>
      <c r="I14">
        <f>G14/0.4*0.6*1.2</f>
        <v>14374153.800000001</v>
      </c>
    </row>
    <row r="15" spans="1:9" ht="31.9" customHeight="1" x14ac:dyDescent="0.25">
      <c r="A15" s="279" t="s">
        <v>245</v>
      </c>
      <c r="B15" s="280">
        <f>'Cводная смета ПИР'!G25</f>
        <v>1991916</v>
      </c>
      <c r="C15" s="285">
        <v>1</v>
      </c>
      <c r="D15" s="280">
        <f>B15*C15</f>
        <v>1991916</v>
      </c>
      <c r="E15" s="281">
        <f>1</f>
        <v>1</v>
      </c>
      <c r="F15" s="280">
        <f>D15*E15</f>
        <v>1991916</v>
      </c>
      <c r="G15" s="283">
        <f>D15+(F15-D15)*(1-30/100)</f>
        <v>1991916</v>
      </c>
      <c r="H15" s="394">
        <f>F15*1.02</f>
        <v>2031754</v>
      </c>
    </row>
    <row r="16" spans="1:9" ht="31.9" customHeight="1" x14ac:dyDescent="0.25">
      <c r="A16" s="279" t="s">
        <v>527</v>
      </c>
      <c r="B16" s="280">
        <v>205902</v>
      </c>
      <c r="C16" s="285">
        <v>1</v>
      </c>
      <c r="D16" s="280">
        <f>B16*C16</f>
        <v>205902</v>
      </c>
      <c r="E16" s="281">
        <f>1</f>
        <v>1</v>
      </c>
      <c r="F16" s="280">
        <f>D16*E16</f>
        <v>205902</v>
      </c>
      <c r="G16" s="283">
        <f>D16+(F16-D16)*(1-30/100)</f>
        <v>205902</v>
      </c>
      <c r="H16" s="394">
        <f>F16*1.02</f>
        <v>210020</v>
      </c>
    </row>
    <row r="17" spans="1:8" ht="31.5" customHeight="1" x14ac:dyDescent="0.25">
      <c r="A17" s="279" t="s">
        <v>246</v>
      </c>
      <c r="B17" s="280">
        <f>(B14+B15+B16)*0.02</f>
        <v>203229</v>
      </c>
      <c r="C17" s="281"/>
      <c r="D17" s="280">
        <f>(D14+D15+D16)*0.02</f>
        <v>203229</v>
      </c>
      <c r="E17" s="281"/>
      <c r="F17" s="280">
        <f>(F14+F15+F16)*0.02</f>
        <v>203858</v>
      </c>
      <c r="G17" s="283">
        <f>D17+(F17-D17)*(1-30/100)</f>
        <v>203669</v>
      </c>
    </row>
    <row r="18" spans="1:8" ht="15.75" x14ac:dyDescent="0.25">
      <c r="A18" s="284" t="s">
        <v>247</v>
      </c>
      <c r="B18" s="280">
        <f>B13+B14+B15+B17</f>
        <v>17225958</v>
      </c>
      <c r="C18" s="281"/>
      <c r="D18" s="280">
        <f>SUM(D13:D17)</f>
        <v>17431860</v>
      </c>
      <c r="E18" s="280"/>
      <c r="F18" s="280">
        <f>SUM(F13:F17)</f>
        <v>17491860</v>
      </c>
      <c r="G18" s="286">
        <f>SUM(G13:G17)</f>
        <v>17473860</v>
      </c>
    </row>
    <row r="19" spans="1:8" ht="15.75" x14ac:dyDescent="0.25">
      <c r="A19" s="284" t="s">
        <v>248</v>
      </c>
      <c r="B19" s="287">
        <f>B18*0.2</f>
        <v>3445191.6</v>
      </c>
      <c r="C19" s="281"/>
      <c r="D19" s="287">
        <f>D18*0.2</f>
        <v>3486372</v>
      </c>
      <c r="E19" s="287"/>
      <c r="F19" s="287">
        <f>F18*0.2</f>
        <v>3498372</v>
      </c>
      <c r="G19" s="288">
        <f>G18*0.2</f>
        <v>3494772</v>
      </c>
    </row>
    <row r="20" spans="1:8" ht="15.75" x14ac:dyDescent="0.25">
      <c r="A20" s="284" t="s">
        <v>249</v>
      </c>
      <c r="B20" s="287">
        <f>B18+B19</f>
        <v>20671149.600000001</v>
      </c>
      <c r="C20" s="281"/>
      <c r="D20" s="287">
        <f>D18+D19</f>
        <v>20918232</v>
      </c>
      <c r="E20" s="287"/>
      <c r="F20" s="287">
        <f>F18+F19</f>
        <v>20990232</v>
      </c>
      <c r="G20" s="288">
        <f>G18+G19</f>
        <v>20968632</v>
      </c>
      <c r="H20" s="102">
        <f>F20-D20</f>
        <v>72000</v>
      </c>
    </row>
    <row r="21" spans="1:8" ht="15.75" x14ac:dyDescent="0.25">
      <c r="A21" s="289"/>
      <c r="B21" s="290"/>
      <c r="C21" s="290"/>
      <c r="D21" s="290"/>
      <c r="E21" s="290"/>
      <c r="F21" s="290"/>
      <c r="G21" s="248"/>
    </row>
    <row r="22" spans="1:8" ht="36" customHeight="1" x14ac:dyDescent="0.25">
      <c r="A22" s="493" t="s">
        <v>274</v>
      </c>
      <c r="B22" s="493"/>
      <c r="C22" s="291">
        <v>1</v>
      </c>
      <c r="D22" s="248"/>
      <c r="E22" s="248"/>
      <c r="F22" s="248"/>
      <c r="G22" s="248"/>
    </row>
    <row r="23" spans="1:8" ht="15.75" x14ac:dyDescent="0.25">
      <c r="A23" s="292" t="s">
        <v>250</v>
      </c>
      <c r="B23" s="292"/>
      <c r="C23" s="291"/>
      <c r="D23" s="248"/>
      <c r="E23" s="248"/>
      <c r="F23" s="248"/>
      <c r="G23" s="248"/>
    </row>
    <row r="24" spans="1:8" ht="23.45" customHeight="1" x14ac:dyDescent="0.25">
      <c r="A24" s="489" t="s">
        <v>592</v>
      </c>
      <c r="B24" s="489"/>
      <c r="C24" s="489"/>
      <c r="D24" s="489"/>
      <c r="E24" s="489"/>
      <c r="F24" s="489"/>
      <c r="G24" s="273"/>
    </row>
    <row r="25" spans="1:8" ht="23.45" customHeight="1" x14ac:dyDescent="0.25">
      <c r="A25" s="293"/>
      <c r="B25" s="293"/>
      <c r="C25" s="293"/>
      <c r="D25" s="293"/>
      <c r="E25" s="293"/>
      <c r="F25" s="293"/>
      <c r="G25" s="273"/>
    </row>
    <row r="26" spans="1:8" ht="15.75" x14ac:dyDescent="0.25">
      <c r="A26" s="491" t="s">
        <v>251</v>
      </c>
      <c r="B26" s="491"/>
      <c r="C26" s="491"/>
      <c r="D26" s="491"/>
      <c r="E26" s="248"/>
      <c r="F26" s="248"/>
      <c r="G26" s="248"/>
    </row>
    <row r="27" spans="1:8" ht="45.6" customHeight="1" x14ac:dyDescent="0.25">
      <c r="A27" s="294" t="s">
        <v>329</v>
      </c>
      <c r="B27" s="295">
        <f>(B29-B28)/30</f>
        <v>4.3</v>
      </c>
      <c r="C27" s="273" t="s">
        <v>252</v>
      </c>
      <c r="D27" s="248" t="s">
        <v>253</v>
      </c>
      <c r="E27" s="248"/>
      <c r="F27" s="248"/>
      <c r="G27" s="248"/>
    </row>
    <row r="28" spans="1:8" ht="15.75" x14ac:dyDescent="0.25">
      <c r="A28" s="273" t="s">
        <v>254</v>
      </c>
      <c r="B28" s="296">
        <v>44150</v>
      </c>
      <c r="C28" s="273"/>
      <c r="D28" s="273"/>
      <c r="E28" s="273"/>
      <c r="F28" s="273"/>
      <c r="G28" s="273"/>
    </row>
    <row r="29" spans="1:8" ht="15.75" x14ac:dyDescent="0.25">
      <c r="A29" s="273" t="s">
        <v>255</v>
      </c>
      <c r="B29" s="296">
        <v>44280</v>
      </c>
      <c r="C29" s="273"/>
      <c r="D29" s="273"/>
      <c r="E29" s="273"/>
      <c r="F29" s="273"/>
      <c r="G29" s="273"/>
    </row>
    <row r="30" spans="1:8" ht="15.75" x14ac:dyDescent="0.25">
      <c r="A30" s="273" t="s">
        <v>326</v>
      </c>
      <c r="B30" s="297">
        <v>1.5</v>
      </c>
      <c r="C30" s="273" t="s">
        <v>252</v>
      </c>
      <c r="D30" s="273"/>
      <c r="E30" s="273"/>
      <c r="F30" s="273"/>
      <c r="G30" s="273"/>
    </row>
    <row r="31" spans="1:8" ht="15.75" x14ac:dyDescent="0.25">
      <c r="A31" s="273" t="s">
        <v>327</v>
      </c>
      <c r="B31" s="297">
        <v>2.8</v>
      </c>
      <c r="C31" s="273" t="s">
        <v>252</v>
      </c>
      <c r="D31" s="273"/>
      <c r="E31" s="273"/>
      <c r="F31" s="273"/>
      <c r="G31" s="273"/>
    </row>
    <row r="32" spans="1:8" ht="15.75" x14ac:dyDescent="0.25">
      <c r="A32" s="273" t="s">
        <v>324</v>
      </c>
      <c r="B32" s="297">
        <f>B30/B27</f>
        <v>0.35</v>
      </c>
      <c r="C32" s="273"/>
      <c r="D32" s="273"/>
      <c r="E32" s="273"/>
      <c r="F32" s="273"/>
      <c r="G32" s="273"/>
    </row>
    <row r="33" spans="1:8" ht="15.75" x14ac:dyDescent="0.25">
      <c r="A33" s="273" t="s">
        <v>325</v>
      </c>
      <c r="B33" s="297">
        <f>B31/B27</f>
        <v>0.65</v>
      </c>
      <c r="C33" s="273"/>
      <c r="D33" s="273"/>
      <c r="E33" s="273"/>
      <c r="F33" s="273"/>
      <c r="G33" s="273"/>
    </row>
    <row r="34" spans="1:8" ht="33.75" customHeight="1" x14ac:dyDescent="0.25">
      <c r="A34" s="489" t="s">
        <v>289</v>
      </c>
      <c r="B34" s="489"/>
      <c r="C34" s="489"/>
      <c r="D34" s="489"/>
      <c r="E34" s="389">
        <v>1.036</v>
      </c>
      <c r="F34" s="273"/>
      <c r="G34" s="273"/>
    </row>
    <row r="35" spans="1:8" ht="37.5" customHeight="1" x14ac:dyDescent="0.25">
      <c r="A35" s="489" t="s">
        <v>328</v>
      </c>
      <c r="B35" s="489"/>
      <c r="C35" s="489"/>
      <c r="D35" s="489"/>
      <c r="E35" s="389">
        <v>1.0369999999999999</v>
      </c>
      <c r="F35" s="273"/>
      <c r="G35" s="273"/>
    </row>
    <row r="36" spans="1:8" s="273" customFormat="1" ht="27" customHeight="1" x14ac:dyDescent="0.25">
      <c r="A36" s="374" t="s">
        <v>522</v>
      </c>
      <c r="B36" s="375"/>
      <c r="C36" s="376"/>
      <c r="D36" s="377"/>
      <c r="E36" s="390">
        <f>E34^(1/12)</f>
        <v>1.00295</v>
      </c>
      <c r="F36" s="378"/>
      <c r="G36" s="378"/>
      <c r="H36" s="378"/>
    </row>
    <row r="37" spans="1:8" s="273" customFormat="1" ht="30.75" customHeight="1" x14ac:dyDescent="0.25">
      <c r="A37" s="374" t="s">
        <v>523</v>
      </c>
      <c r="B37" s="379"/>
      <c r="C37" s="376"/>
      <c r="D37" s="377"/>
      <c r="E37" s="390">
        <f>E35^(1/12)</f>
        <v>1.0030300000000001</v>
      </c>
      <c r="F37" s="378"/>
      <c r="G37" s="378"/>
      <c r="H37" s="378"/>
    </row>
    <row r="38" spans="1:8" s="273" customFormat="1" ht="92.25" customHeight="1" x14ac:dyDescent="0.25">
      <c r="A38" s="492" t="s">
        <v>595</v>
      </c>
      <c r="B38" s="492"/>
      <c r="C38" s="380"/>
      <c r="D38" s="377"/>
      <c r="E38" s="390">
        <v>1</v>
      </c>
      <c r="F38" s="378"/>
      <c r="G38" s="378"/>
      <c r="H38" s="378"/>
    </row>
    <row r="39" spans="1:8" s="273" customFormat="1" ht="80.25" customHeight="1" x14ac:dyDescent="0.25">
      <c r="A39" s="492" t="s">
        <v>596</v>
      </c>
      <c r="B39" s="492"/>
      <c r="C39" s="376"/>
      <c r="D39" s="377"/>
      <c r="E39" s="390">
        <f>1*(E37+E37^3)/2</f>
        <v>1.00607</v>
      </c>
      <c r="F39" s="378"/>
      <c r="G39" s="378"/>
      <c r="H39" s="378"/>
    </row>
    <row r="40" spans="1:8" s="273" customFormat="1" ht="31.5" customHeight="1" x14ac:dyDescent="0.25">
      <c r="A40" s="391" t="s">
        <v>524</v>
      </c>
      <c r="C40" s="381"/>
      <c r="D40" s="381"/>
      <c r="E40" s="390">
        <f>E38*B32+E39*B33</f>
        <v>1.0039499999999999</v>
      </c>
      <c r="F40" s="378"/>
      <c r="G40" s="378"/>
      <c r="H40" s="378"/>
    </row>
    <row r="41" spans="1:8" ht="15.75" x14ac:dyDescent="0.25">
      <c r="A41" s="273"/>
      <c r="B41" s="273"/>
      <c r="C41" s="273"/>
      <c r="D41" s="273"/>
      <c r="E41" s="273"/>
      <c r="F41" s="273"/>
      <c r="G41" s="273"/>
    </row>
    <row r="42" spans="1:8" ht="30" hidden="1" x14ac:dyDescent="0.25">
      <c r="A42" s="160" t="s">
        <v>256</v>
      </c>
      <c r="B42" s="219">
        <f>(B44-B43)/30</f>
        <v>8.5</v>
      </c>
      <c r="C42" s="158" t="s">
        <v>252</v>
      </c>
      <c r="D42" s="162" t="s">
        <v>253</v>
      </c>
      <c r="E42" s="162"/>
      <c r="F42" s="162"/>
      <c r="G42" s="162"/>
    </row>
    <row r="43" spans="1:8" hidden="1" x14ac:dyDescent="0.25">
      <c r="A43" s="158" t="s">
        <v>254</v>
      </c>
      <c r="B43" s="161">
        <v>44075</v>
      </c>
      <c r="C43" s="158"/>
      <c r="D43" s="162"/>
      <c r="E43" s="162"/>
      <c r="F43" s="162"/>
      <c r="G43" s="162"/>
    </row>
    <row r="44" spans="1:8" hidden="1" x14ac:dyDescent="0.25">
      <c r="A44" s="158" t="s">
        <v>255</v>
      </c>
      <c r="B44" s="161">
        <v>44331</v>
      </c>
      <c r="C44" s="158"/>
      <c r="D44" s="162"/>
      <c r="E44" s="162"/>
      <c r="F44" s="162"/>
      <c r="G44" s="162"/>
    </row>
    <row r="45" spans="1:8" ht="29.25" hidden="1" customHeight="1" x14ac:dyDescent="0.25">
      <c r="A45" s="490" t="s">
        <v>289</v>
      </c>
      <c r="B45" s="490"/>
      <c r="C45" s="490"/>
      <c r="D45" s="490"/>
      <c r="E45" s="170">
        <v>1.036</v>
      </c>
      <c r="F45" s="162"/>
      <c r="G45" s="162"/>
    </row>
    <row r="46" spans="1:8" hidden="1" x14ac:dyDescent="0.25">
      <c r="A46" s="158" t="s">
        <v>290</v>
      </c>
      <c r="B46" s="163"/>
      <c r="C46" s="164"/>
      <c r="D46" s="162"/>
      <c r="E46" s="169">
        <f>1.036^(1/12)</f>
        <v>1.00295</v>
      </c>
      <c r="F46" s="162"/>
      <c r="G46" s="162"/>
    </row>
    <row r="47" spans="1:8" hidden="1" x14ac:dyDescent="0.25">
      <c r="A47" s="158" t="s">
        <v>291</v>
      </c>
      <c r="B47" s="158"/>
      <c r="C47" s="488" t="s">
        <v>314</v>
      </c>
      <c r="D47" s="488"/>
      <c r="E47" s="169">
        <f>(E46^6.7+E46^11)/2</f>
        <v>1.02643</v>
      </c>
    </row>
  </sheetData>
  <mergeCells count="13">
    <mergeCell ref="A24:F24"/>
    <mergeCell ref="A6:G6"/>
    <mergeCell ref="A22:B22"/>
    <mergeCell ref="A1:F1"/>
    <mergeCell ref="B2:F2"/>
    <mergeCell ref="B3:F3"/>
    <mergeCell ref="C47:D47"/>
    <mergeCell ref="A34:D34"/>
    <mergeCell ref="A45:D45"/>
    <mergeCell ref="A26:D26"/>
    <mergeCell ref="A35:D35"/>
    <mergeCell ref="A38:B38"/>
    <mergeCell ref="A39:B39"/>
  </mergeCells>
  <pageMargins left="0.25" right="0.25" top="0.75" bottom="0.75" header="0.3" footer="0.3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дендрология</vt:lpstr>
      <vt:lpstr>График работ</vt:lpstr>
      <vt:lpstr>Парковка УНЦС</vt:lpstr>
      <vt:lpstr>Сети ВК УНЦС</vt:lpstr>
      <vt:lpstr>Ориентировочная сумма КВЛ</vt:lpstr>
      <vt:lpstr>Пояснительная</vt:lpstr>
      <vt:lpstr>Протокол</vt:lpstr>
      <vt:lpstr>НМЦ</vt:lpstr>
      <vt:lpstr>НМЦК</vt:lpstr>
      <vt:lpstr>Cводная смета ПИР</vt:lpstr>
      <vt:lpstr>ПД </vt:lpstr>
      <vt:lpstr>Экспертиза ПД и ИЗ</vt:lpstr>
      <vt:lpstr>'Cводная смета ПИР'!Область_печати</vt:lpstr>
      <vt:lpstr>НМЦ!Область_печати</vt:lpstr>
      <vt:lpstr>НМЦК!Область_печати</vt:lpstr>
      <vt:lpstr>'ПД '!Область_печати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2020-11-17T10:18:13Z</dcterms:modified>
</cp:coreProperties>
</file>