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Пояснительная записка" sheetId="3" r:id="rId1"/>
    <sheet name="НМЦ" sheetId="2" r:id="rId2"/>
    <sheet name="Расчет" sheetId="1" r:id="rId3"/>
  </sheets>
  <definedNames>
    <definedName name="_xlnm.Print_Area" localSheetId="2">Расчет!$A$1:$E$28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J8" i="1" l="1"/>
  <c r="J6" i="1"/>
  <c r="E24" i="1"/>
  <c r="E21" i="1"/>
  <c r="D21" i="1"/>
  <c r="D18" i="1"/>
  <c r="E18" i="1" s="1"/>
  <c r="D15" i="1"/>
  <c r="E15" i="1" s="1"/>
  <c r="D6" i="1"/>
  <c r="E22" i="1" l="1"/>
  <c r="E25" i="1" s="1"/>
  <c r="E26" i="1" s="1"/>
  <c r="C7" i="2" s="1"/>
  <c r="A4" i="3"/>
  <c r="D7" i="1"/>
  <c r="D8" i="1" s="1"/>
  <c r="E28" i="1" l="1"/>
  <c r="C9" i="2" s="1"/>
  <c r="D9" i="2" s="1"/>
  <c r="E9" i="2" s="1"/>
  <c r="F27" i="1"/>
  <c r="J27" i="1" s="1"/>
  <c r="J28" i="1" s="1"/>
  <c r="C8" i="2"/>
  <c r="D7" i="2" l="1"/>
  <c r="D8" i="2" s="1"/>
  <c r="E7" i="2" l="1"/>
  <c r="E8" i="2" s="1"/>
  <c r="B12" i="3" l="1"/>
</calcChain>
</file>

<file path=xl/sharedStrings.xml><?xml version="1.0" encoding="utf-8"?>
<sst xmlns="http://schemas.openxmlformats.org/spreadsheetml/2006/main" count="67" uniqueCount="62">
  <si>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</si>
  <si>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</si>
  <si>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</si>
  <si>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</si>
  <si>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</si>
  <si>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>В том числе инфляционная составляющая за период выполнения работ</t>
  </si>
  <si>
    <t>руб.</t>
  </si>
  <si>
    <t xml:space="preserve"> Стоимость , руб.</t>
  </si>
  <si>
    <t>Итого в ценах 2000 г.</t>
  </si>
  <si>
    <t>формула расчета</t>
  </si>
  <si>
    <t>Наименование затрат</t>
  </si>
  <si>
    <t>Стоимость оборудования КД согласно сметной документации в ценах 2000 г. без учета заготовительно-складских расходов и без затрат по шефмонтажу оборудования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</si>
  <si>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</si>
  <si>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</si>
  <si>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</si>
  <si>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</si>
  <si>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</si>
  <si>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 xml:space="preserve">Начальная максимальная цена договора (далее - НМЦД) определена в соответствии с требованием Положения о договорной работе, утвержденного Приказом акционерного общества "Курорты Северного Кавказа" от 15.01.2016 г. № Пр-16-002 ,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</si>
  <si>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</si>
  <si>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</si>
  <si>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</si>
  <si>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</si>
  <si>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</si>
  <si>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</si>
  <si>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>на закупку оборудования канатной дороги 
для  объекта «Пассажирская подвесная канатная дорога гондольного типа SL1 для п. Романтик, ВТРК «Архыз»</t>
  </si>
  <si>
    <t>Пересчет в текущий уровень цен на 2 квартала 2019 г. по письму Минстроя РФ от 04.06.2019 г. №20003-ДВ/09 (п. 30, Объекты непроизводственного назначения)</t>
  </si>
  <si>
    <t>Для опредления цены оборудования принят  проектно-сметный метод с  использованием  сметной документации, получившей положительное заключение федерального автономного учреждения «Главное управление государственной экспертизы» от 30.05.2019 № 00652-19/ГГЭ-11128/07-01( № в Реестре 00-1-1106-19)</t>
  </si>
  <si>
    <t>Индекс пересчета в текущие цены  принят за  2 квартал 2019 г. по письму Минстроя РФ от 04.06.2019 г. №20003-ДВ/09 (п. 30, Объекты непроизводственного назначения).</t>
  </si>
  <si>
    <t>938059700,24/1,18/3,92-310000*75,92/3,92</t>
  </si>
  <si>
    <t xml:space="preserve">Продолжительность работ в соответствие с Графиком - </t>
  </si>
  <si>
    <t xml:space="preserve">Начало работ - </t>
  </si>
  <si>
    <t xml:space="preserve">Окончание работ - </t>
  </si>
  <si>
    <t>2019  год</t>
  </si>
  <si>
    <t xml:space="preserve">ИД1- индекс -дефлятор Минэкономразвития РФ на капвложения </t>
  </si>
  <si>
    <t>Т1 - Продолжительность периода  от момента формирования текущих цен до конца года , мес</t>
  </si>
  <si>
    <t>Рост цен                               Р1= (ИД1-100)/100*Т1/12</t>
  </si>
  <si>
    <t>Индекс роста цен                                     ИРт1=(1+Р1)</t>
  </si>
  <si>
    <t>2020  год</t>
  </si>
  <si>
    <t xml:space="preserve">ИД2- индекс -дефлятор Минэкономразвития РФ на капвложения </t>
  </si>
  <si>
    <t>Т2 - Продолжительность периода  от начала года до  начала выполнения работ , мес</t>
  </si>
  <si>
    <t>Рост цен                               Р2= (ИД2-100)/100*Т2/12</t>
  </si>
  <si>
    <t>Индекс роста цен                                     ИРт2=(1+Р2)</t>
  </si>
  <si>
    <t xml:space="preserve">ИД3- индекс -дефлятор Минэкономразвития РФ на капвложения </t>
  </si>
  <si>
    <t>Т3 - Продолжительность периода  от начала выполнения работ до окончания выполнения работ , мес</t>
  </si>
  <si>
    <t>Рост цен                               Р3= (ИД3-100)/100*Т3/12</t>
  </si>
  <si>
    <t>Индекс роста цен                                     ИРт3=(1+0,5*Р3)</t>
  </si>
  <si>
    <t>Итого индекс роста цен</t>
  </si>
  <si>
    <t>ИРТ1*ИРТ2*ИРТ3</t>
  </si>
  <si>
    <t>РАСЧЕТ СТОИМОСТИ РАБОТ</t>
  </si>
  <si>
    <t>Стоимость работ</t>
  </si>
  <si>
    <t>Дефлятор</t>
  </si>
  <si>
    <t>Стоимость работ  с учетом дефлятора</t>
  </si>
  <si>
    <t xml:space="preserve"> Н(м)ЦД(1-1)А=СС1+(Н(м)ЦД1-1-СС1)*(1-А/100)                     </t>
  </si>
  <si>
    <t>Инфляционная составляющая</t>
  </si>
  <si>
    <t>месяцев</t>
  </si>
  <si>
    <t xml:space="preserve">Индекс-дефлятор на середину периода выполнения закупки оборудования  определен в соответствии с данными Минэкономразвития РФ.  </t>
  </si>
  <si>
    <t>1 апреля 2020 г.</t>
  </si>
  <si>
    <t>30 сентября 2020 г.</t>
  </si>
  <si>
    <t>В случае</t>
  </si>
  <si>
    <t>с НДС</t>
  </si>
  <si>
    <t>устранения некорректности в расчете ЛС (в КП цена оборудования 9754000 евро без НДС)+ курс евро 71,1464</t>
  </si>
  <si>
    <t>С учетом авансирования- 90%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</si>
</sst>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0" fillId="0" borderId="0" xfId="0" applyNumberFormat="1"/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165" fontId="0" fillId="0" borderId="0" xfId="0" applyNumberFormat="1"/>
    <xf numFmtId="0" fontId="0" fillId="3" borderId="0" xfId="0" applyFill="1"/>
    <xf numFmtId="4" fontId="14" fillId="3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3" fillId="3" borderId="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B22" sqref="B22"/>
    </sheetView>
  </sheetViews>
  <sheetFormatPr defaultRowHeight="14.4" x14ac:dyDescent="0.3"/>
  <cols>
    <col min="1" max="1" width="38.77734375" customWidth="1"/>
    <col min="2" max="2" width="44.109375" customWidth="1"/>
    <col min="3" max="3" width="26.6640625" customWidth="1"/>
  </cols>
  <sheetData>
    <row r="1" spans="1:3" ht="15.6" x14ac:dyDescent="0.3">
      <c r="A1" s="53" t="s">
        <v>15</v>
      </c>
      <c r="B1" s="53"/>
      <c r="C1" s="53"/>
    </row>
    <row r="2" spans="1:3" ht="15.6" x14ac:dyDescent="0.3">
      <c r="A2" s="53" t="s">
        <v>16</v>
      </c>
      <c r="B2" s="53"/>
      <c r="C2" s="53"/>
    </row>
    <row r="3" spans="1:3" ht="15.6" x14ac:dyDescent="0.3">
      <c r="A3" s="22"/>
      <c r="B3" s="22"/>
      <c r="C3" s="22"/>
    </row>
    <row r="4" spans="1:3" ht="60" customHeight="1" x14ac:dyDescent="0.3">
      <c r="A4" s="54" t="str">
        <f>НМЦ!A3</f>
        <v>на закупку оборудования канатной дороги 
для  объекта «Пассажирская подвесная канатная дорога гондольного типа SL1 для п. Романтик, ВТРК «Архыз»</v>
      </c>
      <c r="B4" s="54"/>
      <c r="C4" s="54"/>
    </row>
    <row r="5" spans="1:3" ht="15.6" x14ac:dyDescent="0.3">
      <c r="A5" s="55"/>
      <c r="B5" s="55"/>
      <c r="C5" s="55"/>
    </row>
    <row r="6" spans="1:3" ht="66" customHeight="1" x14ac:dyDescent="0.3">
      <c r="A6" s="56" t="s">
        <v>17</v>
      </c>
      <c r="B6" s="56"/>
      <c r="C6" s="56"/>
    </row>
    <row r="7" spans="1:3" x14ac:dyDescent="0.3">
      <c r="A7" s="57" t="s">
        <v>22</v>
      </c>
      <c r="B7" s="57"/>
      <c r="C7" s="57"/>
    </row>
    <row r="8" spans="1:3" ht="68.400000000000006" customHeight="1" x14ac:dyDescent="0.3">
      <c r="A8" s="51" t="s">
        <v>26</v>
      </c>
      <c r="B8" s="51"/>
      <c r="C8" s="51"/>
    </row>
    <row r="9" spans="1:3" ht="37.799999999999997" customHeight="1" x14ac:dyDescent="0.3">
      <c r="A9" s="52" t="s">
        <v>27</v>
      </c>
      <c r="B9" s="52"/>
      <c r="C9" s="52"/>
    </row>
    <row r="10" spans="1:3" ht="36" customHeight="1" x14ac:dyDescent="0.3">
      <c r="A10" s="49" t="s">
        <v>55</v>
      </c>
      <c r="B10" s="50"/>
      <c r="C10" s="50"/>
    </row>
    <row r="11" spans="1:3" x14ac:dyDescent="0.3">
      <c r="A11" s="49" t="s">
        <v>18</v>
      </c>
      <c r="B11" s="50"/>
      <c r="C11" s="50"/>
    </row>
    <row r="12" spans="1:3" x14ac:dyDescent="0.3">
      <c r="A12" s="23"/>
      <c r="B12" s="24">
        <f>НМЦ!E8</f>
        <v>944773318.29999995</v>
      </c>
      <c r="C12" s="23" t="s">
        <v>19</v>
      </c>
    </row>
    <row r="13" spans="1:3" x14ac:dyDescent="0.3">
      <c r="A13" s="23"/>
      <c r="B13" s="24"/>
      <c r="C13" s="23"/>
    </row>
    <row r="14" spans="1:3" x14ac:dyDescent="0.3">
      <c r="A14" s="25" t="s">
        <v>20</v>
      </c>
      <c r="B14" s="25"/>
      <c r="C14" s="25" t="s">
        <v>21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sqref="A1:E9"/>
    </sheetView>
  </sheetViews>
  <sheetFormatPr defaultRowHeight="14.4" x14ac:dyDescent="0.3"/>
  <cols>
    <col min="2" max="2" width="37.6640625" customWidth="1"/>
    <col min="3" max="3" width="22.44140625" customWidth="1"/>
    <col min="4" max="4" width="24.109375" customWidth="1"/>
    <col min="5" max="5" width="22.5546875" customWidth="1"/>
    <col min="9" max="9" width="13.44140625" customWidth="1"/>
  </cols>
  <sheetData>
    <row r="2" spans="1:5" ht="15.6" x14ac:dyDescent="0.3">
      <c r="A2" s="61" t="s">
        <v>13</v>
      </c>
      <c r="B2" s="61"/>
      <c r="C2" s="61"/>
      <c r="D2" s="61"/>
      <c r="E2" s="61"/>
    </row>
    <row r="3" spans="1:5" ht="36" customHeight="1" x14ac:dyDescent="0.3">
      <c r="A3" s="62" t="s">
        <v>24</v>
      </c>
      <c r="B3" s="62"/>
      <c r="C3" s="62"/>
      <c r="D3" s="62"/>
      <c r="E3" s="62"/>
    </row>
    <row r="4" spans="1:5" ht="14.4" customHeight="1" x14ac:dyDescent="0.3">
      <c r="A4" s="58" t="s">
        <v>1</v>
      </c>
      <c r="B4" s="59" t="s">
        <v>2</v>
      </c>
      <c r="C4" s="58" t="s">
        <v>7</v>
      </c>
      <c r="D4" s="58"/>
      <c r="E4" s="58"/>
    </row>
    <row r="5" spans="1:5" ht="15.6" x14ac:dyDescent="0.3">
      <c r="A5" s="58"/>
      <c r="B5" s="60"/>
      <c r="C5" s="9" t="s">
        <v>12</v>
      </c>
      <c r="D5" s="9" t="s">
        <v>23</v>
      </c>
      <c r="E5" s="9" t="s">
        <v>3</v>
      </c>
    </row>
    <row r="6" spans="1:5" ht="14.4" customHeight="1" x14ac:dyDescent="0.3">
      <c r="A6" s="9">
        <v>1</v>
      </c>
      <c r="B6" s="9">
        <v>2</v>
      </c>
      <c r="C6" s="9">
        <v>3</v>
      </c>
      <c r="D6" s="10">
        <v>4</v>
      </c>
      <c r="E6" s="11">
        <v>5</v>
      </c>
    </row>
    <row r="7" spans="1:5" ht="60" customHeight="1" x14ac:dyDescent="0.3">
      <c r="A7" s="12">
        <v>1</v>
      </c>
      <c r="B7" s="13" t="s">
        <v>14</v>
      </c>
      <c r="C7" s="14">
        <f>Расчет!E27</f>
        <v>787311098.58000004</v>
      </c>
      <c r="D7" s="15">
        <f>C7*0.2</f>
        <v>157462219.72</v>
      </c>
      <c r="E7" s="15">
        <f>C7+D7</f>
        <v>944773318.29999995</v>
      </c>
    </row>
    <row r="8" spans="1:5" ht="21" customHeight="1" x14ac:dyDescent="0.3">
      <c r="A8" s="16"/>
      <c r="B8" s="16" t="s">
        <v>4</v>
      </c>
      <c r="C8" s="17">
        <f>C7</f>
        <v>787311098.58000004</v>
      </c>
      <c r="D8" s="17">
        <f>D7</f>
        <v>157462219.72</v>
      </c>
      <c r="E8" s="17">
        <f>E7</f>
        <v>944773318.29999995</v>
      </c>
    </row>
    <row r="9" spans="1:5" ht="60.6" customHeight="1" x14ac:dyDescent="0.3">
      <c r="A9" s="18"/>
      <c r="B9" s="19" t="s">
        <v>5</v>
      </c>
      <c r="C9" s="20">
        <f>Расчет!E28</f>
        <v>4072839</v>
      </c>
      <c r="D9" s="21">
        <f>C9*0.2</f>
        <v>814567.8</v>
      </c>
      <c r="E9" s="21">
        <f>C9+D9</f>
        <v>4887406.8</v>
      </c>
    </row>
  </sheetData>
  <mergeCells count="5">
    <mergeCell ref="A4:A5"/>
    <mergeCell ref="B4:B5"/>
    <mergeCell ref="C4:E4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A7" workbookViewId="0">
      <selection activeCell="E28" sqref="E28"/>
    </sheetView>
  </sheetViews>
  <sheetFormatPr defaultRowHeight="14.4" x14ac:dyDescent="0.3"/>
  <cols>
    <col min="2" max="2" width="37.6640625" customWidth="1"/>
    <col min="3" max="3" width="22.88671875" customWidth="1"/>
    <col min="4" max="4" width="26.44140625" customWidth="1"/>
    <col min="5" max="5" width="21.88671875" customWidth="1"/>
    <col min="10" max="10" width="14.88671875" bestFit="1" customWidth="1"/>
  </cols>
  <sheetData>
    <row r="1" spans="1:10" ht="22.8" customHeight="1" x14ac:dyDescent="0.3">
      <c r="A1" s="63" t="s">
        <v>0</v>
      </c>
      <c r="B1" s="63"/>
      <c r="C1" s="63"/>
      <c r="D1" s="63"/>
    </row>
    <row r="2" spans="1:10" ht="34.200000000000003" customHeight="1" x14ac:dyDescent="0.3">
      <c r="A2" s="64" t="s">
        <v>24</v>
      </c>
      <c r="B2" s="65"/>
      <c r="C2" s="65"/>
      <c r="D2" s="65"/>
    </row>
    <row r="3" spans="1:10" x14ac:dyDescent="0.3">
      <c r="A3" s="66" t="s">
        <v>1</v>
      </c>
      <c r="B3" s="67" t="s">
        <v>10</v>
      </c>
      <c r="C3" s="66" t="s">
        <v>7</v>
      </c>
      <c r="D3" s="66"/>
    </row>
    <row r="4" spans="1:10" x14ac:dyDescent="0.3">
      <c r="A4" s="66"/>
      <c r="B4" s="68"/>
      <c r="C4" s="3" t="s">
        <v>9</v>
      </c>
      <c r="D4" s="1" t="s">
        <v>6</v>
      </c>
      <c r="J4" t="s">
        <v>58</v>
      </c>
    </row>
    <row r="5" spans="1:10" x14ac:dyDescent="0.3">
      <c r="A5" s="1">
        <v>1</v>
      </c>
      <c r="B5" s="1">
        <v>2</v>
      </c>
      <c r="C5" s="1">
        <v>3</v>
      </c>
      <c r="D5" s="2">
        <v>4</v>
      </c>
      <c r="J5" t="s">
        <v>60</v>
      </c>
    </row>
    <row r="6" spans="1:10" ht="60" customHeight="1" x14ac:dyDescent="0.3">
      <c r="A6" s="4">
        <v>1</v>
      </c>
      <c r="B6" s="5" t="s">
        <v>11</v>
      </c>
      <c r="C6" s="6" t="s">
        <v>28</v>
      </c>
      <c r="D6" s="7">
        <f>938059700.24/1.18/3.92-310000*75.92/3.92</f>
        <v>196793532.56999999</v>
      </c>
      <c r="J6" s="48">
        <f>(9754000+2582967/1.18+18930/1.18-310000)*71.1464/3.92</f>
        <v>211424549.16</v>
      </c>
    </row>
    <row r="7" spans="1:10" ht="28.2" customHeight="1" x14ac:dyDescent="0.3">
      <c r="A7" s="4"/>
      <c r="B7" s="8" t="s">
        <v>8</v>
      </c>
      <c r="C7" s="6"/>
      <c r="D7" s="7">
        <f>D6</f>
        <v>196793532.56999999</v>
      </c>
    </row>
    <row r="8" spans="1:10" ht="54.6" customHeight="1" x14ac:dyDescent="0.3">
      <c r="A8" s="4">
        <v>2</v>
      </c>
      <c r="B8" s="8" t="s">
        <v>25</v>
      </c>
      <c r="C8" s="6">
        <v>3.98</v>
      </c>
      <c r="D8" s="7">
        <f>D7*3.98</f>
        <v>783238259.63</v>
      </c>
      <c r="J8" s="26">
        <f>J6*3.98</f>
        <v>841469705.65999997</v>
      </c>
    </row>
    <row r="10" spans="1:10" ht="15.6" x14ac:dyDescent="0.3">
      <c r="A10" s="27" t="s">
        <v>29</v>
      </c>
      <c r="B10" s="27"/>
      <c r="C10" s="27"/>
      <c r="D10" s="28">
        <v>6</v>
      </c>
      <c r="E10" s="27" t="s">
        <v>54</v>
      </c>
    </row>
    <row r="11" spans="1:10" ht="15.6" x14ac:dyDescent="0.3">
      <c r="A11" s="27" t="s">
        <v>30</v>
      </c>
      <c r="B11" s="27"/>
      <c r="C11" s="27"/>
      <c r="D11" s="29" t="s">
        <v>56</v>
      </c>
      <c r="E11" s="27"/>
    </row>
    <row r="12" spans="1:10" ht="15.6" x14ac:dyDescent="0.3">
      <c r="A12" s="27" t="s">
        <v>31</v>
      </c>
      <c r="B12" s="27"/>
      <c r="C12" s="27"/>
      <c r="D12" s="29" t="s">
        <v>57</v>
      </c>
      <c r="E12" s="27"/>
    </row>
    <row r="13" spans="1:10" x14ac:dyDescent="0.3">
      <c r="A13" s="69" t="s">
        <v>32</v>
      </c>
      <c r="B13" s="70"/>
      <c r="C13" s="70"/>
      <c r="D13" s="70"/>
      <c r="E13" s="71"/>
    </row>
    <row r="14" spans="1:10" ht="57.6" x14ac:dyDescent="0.3">
      <c r="A14" s="30"/>
      <c r="B14" s="31" t="s">
        <v>33</v>
      </c>
      <c r="C14" s="32" t="s">
        <v>34</v>
      </c>
      <c r="D14" s="32" t="s">
        <v>35</v>
      </c>
      <c r="E14" s="31" t="s">
        <v>36</v>
      </c>
    </row>
    <row r="15" spans="1:10" x14ac:dyDescent="0.3">
      <c r="A15" s="33">
        <v>1</v>
      </c>
      <c r="B15" s="33">
        <v>105</v>
      </c>
      <c r="C15" s="33">
        <v>6</v>
      </c>
      <c r="D15" s="34">
        <f>(B15-100)/100*C15/12</f>
        <v>2.5000000000000001E-2</v>
      </c>
      <c r="E15" s="35">
        <f>1+D15</f>
        <v>1.0249999999999999</v>
      </c>
    </row>
    <row r="16" spans="1:10" x14ac:dyDescent="0.3">
      <c r="A16" s="69" t="s">
        <v>37</v>
      </c>
      <c r="B16" s="70"/>
      <c r="C16" s="70"/>
      <c r="D16" s="70"/>
      <c r="E16" s="71"/>
    </row>
    <row r="17" spans="1:11" ht="57.6" x14ac:dyDescent="0.3">
      <c r="A17" s="30"/>
      <c r="B17" s="31" t="s">
        <v>38</v>
      </c>
      <c r="C17" s="32" t="s">
        <v>39</v>
      </c>
      <c r="D17" s="32" t="s">
        <v>40</v>
      </c>
      <c r="E17" s="31" t="s">
        <v>41</v>
      </c>
    </row>
    <row r="18" spans="1:11" x14ac:dyDescent="0.3">
      <c r="A18" s="33">
        <v>2</v>
      </c>
      <c r="B18" s="33">
        <v>105.1</v>
      </c>
      <c r="C18" s="33">
        <v>3</v>
      </c>
      <c r="D18" s="34">
        <f>(B18-100)/100*C18/12</f>
        <v>1.2999999999999999E-2</v>
      </c>
      <c r="E18" s="35">
        <f>1+D18</f>
        <v>1.0129999999999999</v>
      </c>
    </row>
    <row r="19" spans="1:11" x14ac:dyDescent="0.3">
      <c r="A19" s="72" t="s">
        <v>37</v>
      </c>
      <c r="B19" s="72"/>
      <c r="C19" s="72"/>
      <c r="D19" s="72"/>
      <c r="E19" s="72"/>
    </row>
    <row r="20" spans="1:11" ht="72" x14ac:dyDescent="0.3">
      <c r="A20" s="30"/>
      <c r="B20" s="31" t="s">
        <v>42</v>
      </c>
      <c r="C20" s="32" t="s">
        <v>43</v>
      </c>
      <c r="D20" s="32" t="s">
        <v>44</v>
      </c>
      <c r="E20" s="31" t="s">
        <v>45</v>
      </c>
    </row>
    <row r="21" spans="1:11" x14ac:dyDescent="0.3">
      <c r="A21" s="33">
        <v>3</v>
      </c>
      <c r="B21" s="33">
        <v>105.1</v>
      </c>
      <c r="C21" s="33">
        <v>6</v>
      </c>
      <c r="D21" s="34">
        <f>(B21-100)/100*C21/12</f>
        <v>2.5999999999999999E-2</v>
      </c>
      <c r="E21" s="35">
        <f>1+0.5*D21</f>
        <v>1.0129999999999999</v>
      </c>
    </row>
    <row r="22" spans="1:11" x14ac:dyDescent="0.3">
      <c r="A22" s="36">
        <v>4</v>
      </c>
      <c r="B22" s="37" t="s">
        <v>46</v>
      </c>
      <c r="C22" s="37"/>
      <c r="D22" s="31" t="s">
        <v>47</v>
      </c>
      <c r="E22" s="38">
        <f>E15*E18*E21</f>
        <v>1.052</v>
      </c>
    </row>
    <row r="23" spans="1:11" x14ac:dyDescent="0.3">
      <c r="A23" s="73" t="s">
        <v>48</v>
      </c>
      <c r="B23" s="74"/>
      <c r="C23" s="74"/>
      <c r="D23" s="74"/>
      <c r="E23" s="75"/>
    </row>
    <row r="24" spans="1:11" x14ac:dyDescent="0.3">
      <c r="A24" s="76" t="s">
        <v>49</v>
      </c>
      <c r="B24" s="77"/>
      <c r="C24" s="78"/>
      <c r="D24" s="39"/>
      <c r="E24" s="40">
        <f>D8</f>
        <v>783238259.63</v>
      </c>
    </row>
    <row r="25" spans="1:11" x14ac:dyDescent="0.3">
      <c r="A25" s="76" t="s">
        <v>50</v>
      </c>
      <c r="B25" s="77"/>
      <c r="C25" s="78"/>
      <c r="D25" s="39"/>
      <c r="E25" s="41">
        <f>E22</f>
        <v>1.052</v>
      </c>
    </row>
    <row r="26" spans="1:11" x14ac:dyDescent="0.3">
      <c r="A26" s="79" t="s">
        <v>51</v>
      </c>
      <c r="B26" s="80"/>
      <c r="C26" s="81"/>
      <c r="D26" s="42"/>
      <c r="E26" s="43">
        <f>E24*E25</f>
        <v>823966649.13</v>
      </c>
    </row>
    <row r="27" spans="1:11" x14ac:dyDescent="0.3">
      <c r="A27" s="82" t="s">
        <v>61</v>
      </c>
      <c r="B27" s="83"/>
      <c r="C27" s="84" t="s">
        <v>52</v>
      </c>
      <c r="D27" s="84"/>
      <c r="E27" s="44">
        <f>E24+(E26-E24)*(1-90/100)</f>
        <v>787311098.58000004</v>
      </c>
      <c r="F27" s="45">
        <f>E27/E24</f>
        <v>1.0049999999999999</v>
      </c>
      <c r="J27" s="26">
        <f>J8*F27</f>
        <v>845677054.19000006</v>
      </c>
      <c r="K27" t="s">
        <v>12</v>
      </c>
    </row>
    <row r="28" spans="1:11" x14ac:dyDescent="0.3">
      <c r="A28" s="46"/>
      <c r="B28" s="46"/>
      <c r="C28" s="85" t="s">
        <v>53</v>
      </c>
      <c r="D28" s="86"/>
      <c r="E28" s="47">
        <f>E27-E24</f>
        <v>4072838.95</v>
      </c>
      <c r="J28" s="26">
        <f>J27*1.2</f>
        <v>1014812465.03</v>
      </c>
      <c r="K28" t="s">
        <v>59</v>
      </c>
    </row>
  </sheetData>
  <mergeCells count="15">
    <mergeCell ref="A25:C25"/>
    <mergeCell ref="A26:C26"/>
    <mergeCell ref="A27:B27"/>
    <mergeCell ref="C27:D27"/>
    <mergeCell ref="C28:D28"/>
    <mergeCell ref="A13:E13"/>
    <mergeCell ref="A16:E16"/>
    <mergeCell ref="A19:E19"/>
    <mergeCell ref="A23:E23"/>
    <mergeCell ref="A24:C24"/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Пояснительная записка</vt:lpstr>
      <vt:lpstr>НМЦ</vt:lpstr>
      <vt:lpstr>Расчет</vt:lpstr>
      <vt:lpstr>Расчет!Область_печати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2019-10-28T11:59:22Z</dcterms:modified>
</cp:coreProperties>
</file>