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8775" activeTab="2"/>
  </bookViews>
  <sheets>
    <sheet name="ПЗ" sheetId="10" r:id="rId1"/>
    <sheet name="Протокол" sheetId="9" r:id="rId2"/>
    <sheet name="НМЦ" sheetId="8" r:id="rId3"/>
    <sheet name="ВОР" sheetId="4" r:id="rId4"/>
    <sheet name="Смета контракта" sheetId="7" r:id="rId5"/>
    <sheet name="График 2026-2028" sheetId="16" r:id="rId6"/>
    <sheet name="НМЦК" sheetId="1" r:id="rId7"/>
    <sheet name="Фактический индекс" sheetId="15" r:id="rId8"/>
    <sheet name="Прогнозный индекс" sheetId="6" r:id="rId9"/>
    <sheet name="ССРСС" sheetId="2" r:id="rId10"/>
  </sheets>
  <externalReferences>
    <externalReference r:id="rId11"/>
    <externalReference r:id="rId12"/>
    <externalReference r:id="rId13"/>
  </externalReferences>
  <definedNames>
    <definedName name="_xlnm._FilterDatabase" localSheetId="5" hidden="1">'График 2026-2028'!$B$2:$G$63</definedName>
    <definedName name="CIQWBGuid" hidden="1">"40a1927f-898a-4cb7-a024-0f9d24bdcec5"</definedName>
    <definedName name="CIQWBInfo" hidden="1">"{ ""CIQVersion"":""9.45.614.5792""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44502.8488310185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SAPBEXrevision" hidden="1">58</definedName>
    <definedName name="SAPBEXsysID" hidden="1">"NAW"</definedName>
    <definedName name="SAPBEXwbID" hidden="1">"1UR440HTOTSFP0YVNAJ5TLLHO"</definedName>
    <definedName name="USD">'[1]Annex 3 Input values'!$C$6</definedName>
    <definedName name="VAT">[2]Input!$G$7</definedName>
    <definedName name="_xlnm.Print_Area" localSheetId="6">НМЦК!$A$1:$Q$80</definedName>
    <definedName name="_xlnm.Print_Area" localSheetId="1">Протокол!$A$1:$M$34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5" i="1" l="1"/>
  <c r="M35" i="1"/>
  <c r="Q35" i="1" s="1"/>
  <c r="I35" i="1"/>
  <c r="J35" i="1" s="1"/>
  <c r="H35" i="1"/>
  <c r="O34" i="1"/>
  <c r="M34" i="1"/>
  <c r="Q34" i="1" s="1"/>
  <c r="I34" i="1"/>
  <c r="K34" i="1" s="1"/>
  <c r="H34" i="1"/>
  <c r="K35" i="1" l="1"/>
  <c r="L35" i="1"/>
  <c r="N35" i="1" s="1"/>
  <c r="P35" i="1" s="1"/>
  <c r="J34" i="1"/>
  <c r="L34" i="1" s="1"/>
  <c r="N34" i="1" s="1"/>
  <c r="P34" i="1" s="1"/>
  <c r="H18" i="1"/>
  <c r="H115" i="2" l="1"/>
  <c r="G115" i="2"/>
  <c r="F115" i="2"/>
  <c r="E115" i="2"/>
  <c r="H114" i="2"/>
  <c r="H116" i="2" s="1"/>
  <c r="G114" i="2"/>
  <c r="G116" i="2" s="1"/>
  <c r="F114" i="2"/>
  <c r="F116" i="2" s="1"/>
  <c r="E114" i="2"/>
  <c r="E116" i="2" s="1"/>
  <c r="H108" i="2"/>
  <c r="H107" i="2"/>
  <c r="G108" i="2"/>
  <c r="G107" i="2"/>
  <c r="F108" i="2"/>
  <c r="F107" i="2"/>
  <c r="E108" i="2"/>
  <c r="E107" i="2"/>
  <c r="L80" i="1" l="1"/>
  <c r="A80" i="1"/>
  <c r="E17" i="8"/>
  <c r="A17" i="8"/>
  <c r="K34" i="9"/>
  <c r="A34" i="9"/>
  <c r="C7" i="8"/>
  <c r="C6" i="8"/>
  <c r="F43" i="6"/>
  <c r="D43" i="6"/>
  <c r="F41" i="6"/>
  <c r="D41" i="6"/>
  <c r="F39" i="6"/>
  <c r="D39" i="6"/>
  <c r="F33" i="6"/>
  <c r="F32" i="6"/>
  <c r="F26" i="6"/>
  <c r="D26" i="6"/>
  <c r="F23" i="6"/>
  <c r="F22" i="6"/>
  <c r="F31" i="6"/>
  <c r="F21" i="6"/>
  <c r="E109" i="2" l="1"/>
  <c r="F109" i="2" l="1"/>
  <c r="G109" i="2"/>
  <c r="H109" i="2" l="1"/>
  <c r="F7" i="6"/>
  <c r="F6" i="6"/>
  <c r="F121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4" i="15"/>
  <c r="E118" i="15"/>
  <c r="F44" i="6" l="1"/>
  <c r="B45" i="6"/>
  <c r="F46" i="6"/>
  <c r="F14" i="6"/>
  <c r="D14" i="6"/>
  <c r="F12" i="6"/>
  <c r="D12" i="6"/>
  <c r="C16" i="6" l="1"/>
  <c r="F16" i="6"/>
  <c r="F34" i="6"/>
  <c r="F36" i="6" s="1"/>
  <c r="B44" i="6"/>
  <c r="F45" i="6"/>
  <c r="B46" i="6"/>
  <c r="F8" i="6"/>
  <c r="F9" i="6" s="1"/>
  <c r="F10" i="6" s="1"/>
  <c r="C15" i="6"/>
  <c r="F15" i="6"/>
  <c r="F35" i="6" l="1"/>
  <c r="F37" i="6" s="1"/>
  <c r="F47" i="6" s="1"/>
  <c r="C17" i="6"/>
  <c r="F17" i="6"/>
  <c r="C47" i="6" l="1"/>
  <c r="F24" i="6" l="1"/>
  <c r="F27" i="6" l="1"/>
  <c r="O18" i="1" s="1"/>
  <c r="C27" i="6"/>
  <c r="K50" i="1" l="1"/>
  <c r="J50" i="1"/>
  <c r="I50" i="1"/>
  <c r="F100" i="2"/>
  <c r="E101" i="2"/>
  <c r="E100" i="2"/>
  <c r="F101" i="2" l="1"/>
  <c r="E102" i="2"/>
  <c r="F102" i="2" l="1"/>
  <c r="G100" i="2"/>
  <c r="H100" i="2" s="1"/>
  <c r="G101" i="2"/>
  <c r="H101" i="2" s="1"/>
  <c r="H102" i="2" l="1"/>
  <c r="G102" i="2"/>
  <c r="O15" i="1" l="1"/>
  <c r="M74" i="1"/>
  <c r="M73" i="1"/>
  <c r="M71" i="1"/>
  <c r="C5" i="8" l="1"/>
  <c r="O28" i="1" l="1"/>
  <c r="M70" i="1"/>
  <c r="M69" i="1"/>
  <c r="M67" i="1"/>
  <c r="M66" i="1"/>
  <c r="M65" i="1"/>
  <c r="M64" i="1"/>
  <c r="M63" i="1"/>
  <c r="M62" i="1"/>
  <c r="M61" i="1"/>
  <c r="M59" i="1"/>
  <c r="M58" i="1"/>
  <c r="M57" i="1"/>
  <c r="M56" i="1"/>
  <c r="M55" i="1"/>
  <c r="M54" i="1"/>
  <c r="M53" i="1"/>
  <c r="M52" i="1"/>
  <c r="M51" i="1"/>
  <c r="M49" i="1"/>
  <c r="M48" i="1"/>
  <c r="M47" i="1"/>
  <c r="M46" i="1"/>
  <c r="M45" i="1"/>
  <c r="M43" i="1"/>
  <c r="M42" i="1"/>
  <c r="M41" i="1"/>
  <c r="M39" i="1"/>
  <c r="M38" i="1"/>
  <c r="M37" i="1"/>
  <c r="M36" i="1"/>
  <c r="M33" i="1"/>
  <c r="M32" i="1"/>
  <c r="M31" i="1"/>
  <c r="M30" i="1"/>
  <c r="M29" i="1"/>
  <c r="M28" i="1"/>
  <c r="M27" i="1"/>
  <c r="M26" i="1"/>
  <c r="M25" i="1"/>
  <c r="M24" i="1"/>
  <c r="M23" i="1"/>
  <c r="M21" i="1"/>
  <c r="M20" i="1"/>
  <c r="M18" i="1"/>
  <c r="M15" i="1"/>
  <c r="O41" i="1" l="1"/>
  <c r="O38" i="1"/>
  <c r="Q38" i="1" s="1"/>
  <c r="H31" i="7" s="1"/>
  <c r="I31" i="7" s="1"/>
  <c r="O52" i="1"/>
  <c r="O21" i="1"/>
  <c r="O53" i="1"/>
  <c r="O64" i="1"/>
  <c r="O70" i="1"/>
  <c r="O54" i="1"/>
  <c r="O67" i="1"/>
  <c r="O56" i="1"/>
  <c r="O73" i="1"/>
  <c r="O39" i="1"/>
  <c r="Q39" i="1" s="1"/>
  <c r="H32" i="7" s="1"/>
  <c r="I32" i="7" s="1"/>
  <c r="O25" i="1"/>
  <c r="Q25" i="1" s="1"/>
  <c r="H18" i="7" s="1"/>
  <c r="O71" i="1"/>
  <c r="O55" i="1"/>
  <c r="O42" i="1"/>
  <c r="Q42" i="1" s="1"/>
  <c r="Q40" i="1" s="1"/>
  <c r="Q28" i="1"/>
  <c r="H21" i="7" s="1"/>
  <c r="I21" i="7" s="1"/>
  <c r="O61" i="1"/>
  <c r="O46" i="1"/>
  <c r="Q46" i="1" s="1"/>
  <c r="Q44" i="1" s="1"/>
  <c r="O47" i="1"/>
  <c r="O31" i="1"/>
  <c r="Q31" i="1" s="1"/>
  <c r="H24" i="7" s="1"/>
  <c r="I24" i="7" s="1"/>
  <c r="O69" i="1"/>
  <c r="H28" i="7"/>
  <c r="I28" i="7" s="1"/>
  <c r="O51" i="1"/>
  <c r="O74" i="1"/>
  <c r="O20" i="1"/>
  <c r="O37" i="1"/>
  <c r="Q37" i="1" s="1"/>
  <c r="H30" i="7" s="1"/>
  <c r="I30" i="7" s="1"/>
  <c r="O48" i="1"/>
  <c r="O58" i="1"/>
  <c r="H27" i="7"/>
  <c r="I27" i="7" s="1"/>
  <c r="O65" i="1"/>
  <c r="O30" i="1"/>
  <c r="Q30" i="1" s="1"/>
  <c r="H23" i="7" s="1"/>
  <c r="I23" i="7" s="1"/>
  <c r="O57" i="1"/>
  <c r="O59" i="1"/>
  <c r="O45" i="1"/>
  <c r="O26" i="1"/>
  <c r="Q26" i="1" s="1"/>
  <c r="H19" i="7" s="1"/>
  <c r="I19" i="7" s="1"/>
  <c r="O66" i="1"/>
  <c r="O36" i="1"/>
  <c r="Q36" i="1" s="1"/>
  <c r="H29" i="7" s="1"/>
  <c r="I29" i="7" s="1"/>
  <c r="O32" i="1"/>
  <c r="Q32" i="1" s="1"/>
  <c r="H25" i="7" s="1"/>
  <c r="I25" i="7" s="1"/>
  <c r="O62" i="1"/>
  <c r="O23" i="1"/>
  <c r="O49" i="1"/>
  <c r="O63" i="1"/>
  <c r="O27" i="1"/>
  <c r="Q27" i="1" s="1"/>
  <c r="H20" i="7" s="1"/>
  <c r="I20" i="7" s="1"/>
  <c r="O29" i="1"/>
  <c r="Q29" i="1" s="1"/>
  <c r="H22" i="7" s="1"/>
  <c r="I22" i="7" s="1"/>
  <c r="O43" i="1"/>
  <c r="Q43" i="1" s="1"/>
  <c r="H36" i="7" s="1"/>
  <c r="I36" i="7" s="1"/>
  <c r="O33" i="1"/>
  <c r="Q33" i="1" s="1"/>
  <c r="H26" i="7" s="1"/>
  <c r="I26" i="7" s="1"/>
  <c r="O24" i="1"/>
  <c r="I49" i="1"/>
  <c r="K49" i="1" s="1"/>
  <c r="I48" i="1"/>
  <c r="K48" i="1" s="1"/>
  <c r="I47" i="1"/>
  <c r="K47" i="1" s="1"/>
  <c r="I46" i="1"/>
  <c r="K46" i="1" s="1"/>
  <c r="I45" i="1"/>
  <c r="I43" i="1"/>
  <c r="K43" i="1" s="1"/>
  <c r="I42" i="1"/>
  <c r="K42" i="1" s="1"/>
  <c r="I41" i="1"/>
  <c r="I39" i="1"/>
  <c r="J39" i="1" s="1"/>
  <c r="I38" i="1"/>
  <c r="J38" i="1" s="1"/>
  <c r="I37" i="1"/>
  <c r="J37" i="1" s="1"/>
  <c r="I36" i="1"/>
  <c r="J36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I21" i="1"/>
  <c r="K21" i="1" s="1"/>
  <c r="I20" i="1"/>
  <c r="K20" i="1" s="1"/>
  <c r="H74" i="1"/>
  <c r="L74" i="1" s="1"/>
  <c r="N74" i="1" s="1"/>
  <c r="H73" i="1"/>
  <c r="L73" i="1" s="1"/>
  <c r="N73" i="1" s="1"/>
  <c r="G68" i="1"/>
  <c r="H72" i="1"/>
  <c r="L72" i="1" s="1"/>
  <c r="N72" i="1" s="1"/>
  <c r="P72" i="1" s="1"/>
  <c r="F65" i="7" s="1"/>
  <c r="G65" i="7" s="1"/>
  <c r="H71" i="1"/>
  <c r="L71" i="1" s="1"/>
  <c r="N71" i="1" s="1"/>
  <c r="H70" i="1"/>
  <c r="H69" i="1"/>
  <c r="L69" i="1" s="1"/>
  <c r="H67" i="1"/>
  <c r="L67" i="1" s="1"/>
  <c r="N67" i="1" s="1"/>
  <c r="H66" i="1"/>
  <c r="L66" i="1" s="1"/>
  <c r="N66" i="1" s="1"/>
  <c r="H65" i="1"/>
  <c r="L65" i="1" s="1"/>
  <c r="N65" i="1" s="1"/>
  <c r="H64" i="1"/>
  <c r="L64" i="1" s="1"/>
  <c r="N64" i="1" s="1"/>
  <c r="G60" i="1"/>
  <c r="H63" i="1"/>
  <c r="L63" i="1" s="1"/>
  <c r="N63" i="1" s="1"/>
  <c r="H62" i="1"/>
  <c r="L62" i="1" s="1"/>
  <c r="N62" i="1" s="1"/>
  <c r="H61" i="1"/>
  <c r="G50" i="1"/>
  <c r="H59" i="1"/>
  <c r="L59" i="1" s="1"/>
  <c r="N59" i="1" s="1"/>
  <c r="H58" i="1"/>
  <c r="L58" i="1" s="1"/>
  <c r="N58" i="1" s="1"/>
  <c r="H57" i="1"/>
  <c r="L57" i="1" s="1"/>
  <c r="N57" i="1" s="1"/>
  <c r="H56" i="1"/>
  <c r="L56" i="1" s="1"/>
  <c r="N56" i="1" s="1"/>
  <c r="P56" i="1" s="1"/>
  <c r="F49" i="7" s="1"/>
  <c r="G49" i="7" s="1"/>
  <c r="H55" i="1"/>
  <c r="L55" i="1" s="1"/>
  <c r="N55" i="1" s="1"/>
  <c r="H54" i="1"/>
  <c r="L54" i="1" s="1"/>
  <c r="N54" i="1" s="1"/>
  <c r="H53" i="1"/>
  <c r="L53" i="1" s="1"/>
  <c r="N53" i="1" s="1"/>
  <c r="H52" i="1"/>
  <c r="L52" i="1" s="1"/>
  <c r="N52" i="1" s="1"/>
  <c r="H51" i="1"/>
  <c r="H49" i="1"/>
  <c r="H48" i="1"/>
  <c r="H47" i="1"/>
  <c r="F44" i="1"/>
  <c r="E44" i="1"/>
  <c r="D44" i="1"/>
  <c r="H46" i="1"/>
  <c r="H45" i="1"/>
  <c r="H44" i="1" s="1"/>
  <c r="H43" i="1"/>
  <c r="F40" i="1"/>
  <c r="E40" i="1"/>
  <c r="D40" i="1"/>
  <c r="H42" i="1"/>
  <c r="H40" i="1" s="1"/>
  <c r="H41" i="1"/>
  <c r="F22" i="1"/>
  <c r="E22" i="1"/>
  <c r="D22" i="1"/>
  <c r="H39" i="1"/>
  <c r="H38" i="1"/>
  <c r="H37" i="1"/>
  <c r="H36" i="1"/>
  <c r="H33" i="1"/>
  <c r="H32" i="1"/>
  <c r="H31" i="1"/>
  <c r="H30" i="1"/>
  <c r="H29" i="1"/>
  <c r="H28" i="1"/>
  <c r="H27" i="1"/>
  <c r="H26" i="1"/>
  <c r="H25" i="1"/>
  <c r="H24" i="1"/>
  <c r="H23" i="1"/>
  <c r="D19" i="1"/>
  <c r="H21" i="1"/>
  <c r="H20" i="1"/>
  <c r="L18" i="1"/>
  <c r="D75" i="1" l="1"/>
  <c r="P57" i="1"/>
  <c r="F50" i="7" s="1"/>
  <c r="G50" i="7" s="1"/>
  <c r="H68" i="1"/>
  <c r="H60" i="1"/>
  <c r="K19" i="1"/>
  <c r="K41" i="1"/>
  <c r="K40" i="1" s="1"/>
  <c r="I40" i="1"/>
  <c r="D17" i="1"/>
  <c r="H19" i="1"/>
  <c r="E75" i="1"/>
  <c r="E17" i="1" s="1"/>
  <c r="F75" i="1"/>
  <c r="F17" i="1" s="1"/>
  <c r="H50" i="1"/>
  <c r="J45" i="1"/>
  <c r="I44" i="1"/>
  <c r="G75" i="1"/>
  <c r="G17" i="1" s="1"/>
  <c r="J20" i="1"/>
  <c r="L20" i="1" s="1"/>
  <c r="I19" i="1"/>
  <c r="H22" i="1"/>
  <c r="J23" i="1"/>
  <c r="J22" i="1" s="1"/>
  <c r="I22" i="1"/>
  <c r="K36" i="1"/>
  <c r="L36" i="1" s="1"/>
  <c r="N36" i="1" s="1"/>
  <c r="P36" i="1" s="1"/>
  <c r="F29" i="7" s="1"/>
  <c r="G29" i="7" s="1"/>
  <c r="P54" i="1"/>
  <c r="F47" i="7" s="1"/>
  <c r="G47" i="7" s="1"/>
  <c r="P65" i="1"/>
  <c r="F58" i="7" s="1"/>
  <c r="G58" i="7" s="1"/>
  <c r="P58" i="1"/>
  <c r="F51" i="7" s="1"/>
  <c r="G51" i="7" s="1"/>
  <c r="P66" i="1"/>
  <c r="F59" i="7" s="1"/>
  <c r="G59" i="7" s="1"/>
  <c r="P67" i="1"/>
  <c r="F60" i="7" s="1"/>
  <c r="G60" i="7" s="1"/>
  <c r="P63" i="1"/>
  <c r="F56" i="7" s="1"/>
  <c r="G56" i="7" s="1"/>
  <c r="P64" i="1"/>
  <c r="F57" i="7" s="1"/>
  <c r="G57" i="7" s="1"/>
  <c r="P52" i="1"/>
  <c r="F45" i="7" s="1"/>
  <c r="G45" i="7" s="1"/>
  <c r="P73" i="1"/>
  <c r="F66" i="7" s="1"/>
  <c r="G66" i="7" s="1"/>
  <c r="P53" i="1"/>
  <c r="F46" i="7" s="1"/>
  <c r="G46" i="7" s="1"/>
  <c r="P55" i="1"/>
  <c r="F48" i="7" s="1"/>
  <c r="G48" i="7" s="1"/>
  <c r="P71" i="1"/>
  <c r="F64" i="7" s="1"/>
  <c r="G64" i="7" s="1"/>
  <c r="P59" i="1"/>
  <c r="F52" i="7" s="1"/>
  <c r="G52" i="7" s="1"/>
  <c r="P74" i="1"/>
  <c r="F67" i="7" s="1"/>
  <c r="G67" i="7" s="1"/>
  <c r="P62" i="1"/>
  <c r="F55" i="7" s="1"/>
  <c r="G55" i="7" s="1"/>
  <c r="H35" i="7"/>
  <c r="I35" i="7" s="1"/>
  <c r="I33" i="7" s="1"/>
  <c r="H39" i="7"/>
  <c r="I39" i="7" s="1"/>
  <c r="I37" i="7" s="1"/>
  <c r="Q22" i="1"/>
  <c r="Q75" i="1" s="1"/>
  <c r="Q17" i="1" s="1"/>
  <c r="N18" i="1"/>
  <c r="K25" i="1"/>
  <c r="L25" i="1" s="1"/>
  <c r="N25" i="1" s="1"/>
  <c r="P25" i="1" s="1"/>
  <c r="F18" i="7" s="1"/>
  <c r="G18" i="7" s="1"/>
  <c r="K29" i="1"/>
  <c r="L29" i="1" s="1"/>
  <c r="N29" i="1" s="1"/>
  <c r="P29" i="1" s="1"/>
  <c r="F22" i="7" s="1"/>
  <c r="G22" i="7" s="1"/>
  <c r="K33" i="1"/>
  <c r="L33" i="1" s="1"/>
  <c r="N33" i="1" s="1"/>
  <c r="P33" i="1" s="1"/>
  <c r="F26" i="7" s="1"/>
  <c r="G26" i="7" s="1"/>
  <c r="K37" i="1"/>
  <c r="L37" i="1" s="1"/>
  <c r="N37" i="1" s="1"/>
  <c r="P37" i="1" s="1"/>
  <c r="F30" i="7" s="1"/>
  <c r="G30" i="7" s="1"/>
  <c r="L51" i="1"/>
  <c r="L61" i="1"/>
  <c r="N69" i="1"/>
  <c r="L70" i="1"/>
  <c r="N70" i="1" s="1"/>
  <c r="P70" i="1" s="1"/>
  <c r="F63" i="7" s="1"/>
  <c r="G63" i="7" s="1"/>
  <c r="K30" i="1"/>
  <c r="L30" i="1" s="1"/>
  <c r="N30" i="1" s="1"/>
  <c r="P30" i="1" s="1"/>
  <c r="F23" i="7" s="1"/>
  <c r="G23" i="7" s="1"/>
  <c r="K23" i="1"/>
  <c r="L23" i="1" s="1"/>
  <c r="K27" i="1"/>
  <c r="K31" i="1"/>
  <c r="F28" i="7"/>
  <c r="G28" i="7" s="1"/>
  <c r="K39" i="1"/>
  <c r="L39" i="1" s="1"/>
  <c r="N39" i="1" s="1"/>
  <c r="P39" i="1" s="1"/>
  <c r="F32" i="7" s="1"/>
  <c r="G32" i="7" s="1"/>
  <c r="I18" i="7"/>
  <c r="I15" i="7" s="1"/>
  <c r="H15" i="7"/>
  <c r="K38" i="1"/>
  <c r="L38" i="1" s="1"/>
  <c r="N38" i="1" s="1"/>
  <c r="P38" i="1" s="1"/>
  <c r="F31" i="7" s="1"/>
  <c r="G31" i="7" s="1"/>
  <c r="K26" i="1"/>
  <c r="L26" i="1" s="1"/>
  <c r="N26" i="1" s="1"/>
  <c r="P26" i="1" s="1"/>
  <c r="F19" i="7" s="1"/>
  <c r="G19" i="7" s="1"/>
  <c r="F27" i="7"/>
  <c r="G27" i="7" s="1"/>
  <c r="K24" i="1"/>
  <c r="L24" i="1" s="1"/>
  <c r="N24" i="1" s="1"/>
  <c r="P24" i="1" s="1"/>
  <c r="F17" i="7" s="1"/>
  <c r="G17" i="7" s="1"/>
  <c r="K28" i="1"/>
  <c r="L28" i="1" s="1"/>
  <c r="N28" i="1" s="1"/>
  <c r="P28" i="1" s="1"/>
  <c r="F21" i="7" s="1"/>
  <c r="G21" i="7" s="1"/>
  <c r="K32" i="1"/>
  <c r="L32" i="1" s="1"/>
  <c r="N32" i="1" s="1"/>
  <c r="P32" i="1" s="1"/>
  <c r="F25" i="7" s="1"/>
  <c r="G25" i="7" s="1"/>
  <c r="J48" i="1"/>
  <c r="L48" i="1" s="1"/>
  <c r="N48" i="1" s="1"/>
  <c r="P48" i="1" s="1"/>
  <c r="F41" i="7" s="1"/>
  <c r="G41" i="7" s="1"/>
  <c r="J47" i="1"/>
  <c r="L47" i="1" s="1"/>
  <c r="N47" i="1" s="1"/>
  <c r="P47" i="1" s="1"/>
  <c r="F40" i="7" s="1"/>
  <c r="G40" i="7" s="1"/>
  <c r="J49" i="1"/>
  <c r="L49" i="1" s="1"/>
  <c r="N49" i="1" s="1"/>
  <c r="P49" i="1" s="1"/>
  <c r="F42" i="7" s="1"/>
  <c r="G42" i="7" s="1"/>
  <c r="K45" i="1"/>
  <c r="J46" i="1"/>
  <c r="L46" i="1" s="1"/>
  <c r="N46" i="1" s="1"/>
  <c r="P46" i="1" s="1"/>
  <c r="F39" i="7" s="1"/>
  <c r="G39" i="7" s="1"/>
  <c r="J43" i="1"/>
  <c r="L43" i="1" s="1"/>
  <c r="N43" i="1" s="1"/>
  <c r="P43" i="1" s="1"/>
  <c r="F36" i="7" s="1"/>
  <c r="G36" i="7" s="1"/>
  <c r="J41" i="1"/>
  <c r="J42" i="1"/>
  <c r="L42" i="1" s="1"/>
  <c r="N42" i="1" s="1"/>
  <c r="P42" i="1" s="1"/>
  <c r="F35" i="7" s="1"/>
  <c r="G35" i="7" s="1"/>
  <c r="L27" i="1"/>
  <c r="N27" i="1" s="1"/>
  <c r="P27" i="1" s="1"/>
  <c r="F20" i="7" s="1"/>
  <c r="G20" i="7" s="1"/>
  <c r="L31" i="1"/>
  <c r="N31" i="1" s="1"/>
  <c r="P31" i="1" s="1"/>
  <c r="F24" i="7" s="1"/>
  <c r="G24" i="7" s="1"/>
  <c r="J21" i="1"/>
  <c r="L21" i="1" s="1"/>
  <c r="N21" i="1" s="1"/>
  <c r="P21" i="1" s="1"/>
  <c r="F14" i="7" s="1"/>
  <c r="G14" i="7" s="1"/>
  <c r="G16" i="1"/>
  <c r="H16" i="1" s="1"/>
  <c r="L16" i="1" s="1"/>
  <c r="H15" i="1"/>
  <c r="L15" i="1" s="1"/>
  <c r="N15" i="1" s="1"/>
  <c r="H75" i="1" l="1"/>
  <c r="H17" i="1" s="1"/>
  <c r="J19" i="1"/>
  <c r="J44" i="1"/>
  <c r="L45" i="1"/>
  <c r="L44" i="1" s="1"/>
  <c r="K44" i="1"/>
  <c r="L41" i="1"/>
  <c r="N41" i="1" s="1"/>
  <c r="J40" i="1"/>
  <c r="J75" i="1" s="1"/>
  <c r="J17" i="1" s="1"/>
  <c r="K22" i="1"/>
  <c r="I75" i="1"/>
  <c r="I17" i="1" s="1"/>
  <c r="H33" i="7"/>
  <c r="H37" i="7"/>
  <c r="L68" i="1"/>
  <c r="P69" i="1"/>
  <c r="N68" i="1"/>
  <c r="N20" i="1"/>
  <c r="L19" i="1"/>
  <c r="N61" i="1"/>
  <c r="L60" i="1"/>
  <c r="Q76" i="1"/>
  <c r="H68" i="7"/>
  <c r="I68" i="7" s="1"/>
  <c r="P15" i="1"/>
  <c r="N16" i="1"/>
  <c r="N51" i="1"/>
  <c r="L50" i="1"/>
  <c r="N23" i="1"/>
  <c r="L22" i="1"/>
  <c r="P18" i="1"/>
  <c r="L14" i="1"/>
  <c r="H14" i="1"/>
  <c r="N45" i="1" l="1"/>
  <c r="L40" i="1"/>
  <c r="L75" i="1" s="1"/>
  <c r="L17" i="1" s="1"/>
  <c r="L76" i="1" s="1"/>
  <c r="Q77" i="1"/>
  <c r="Q78" i="1" s="1"/>
  <c r="K75" i="1"/>
  <c r="K17" i="1" s="1"/>
  <c r="I10" i="7"/>
  <c r="I69" i="7" s="1"/>
  <c r="F62" i="7"/>
  <c r="P68" i="1"/>
  <c r="N44" i="1"/>
  <c r="P45" i="1"/>
  <c r="P61" i="1"/>
  <c r="N60" i="1"/>
  <c r="F11" i="7"/>
  <c r="G11" i="7" s="1"/>
  <c r="P23" i="1"/>
  <c r="N22" i="1"/>
  <c r="F8" i="7"/>
  <c r="G8" i="7" s="1"/>
  <c r="P16" i="1"/>
  <c r="F9" i="7" s="1"/>
  <c r="G9" i="7" s="1"/>
  <c r="P51" i="1"/>
  <c r="N50" i="1"/>
  <c r="P20" i="1"/>
  <c r="N19" i="1"/>
  <c r="P41" i="1"/>
  <c r="N40" i="1"/>
  <c r="H76" i="1"/>
  <c r="H77" i="1" s="1"/>
  <c r="N14" i="1"/>
  <c r="I70" i="7" l="1"/>
  <c r="I71" i="7" s="1"/>
  <c r="L77" i="1"/>
  <c r="L78" i="1" s="1"/>
  <c r="L82" i="1" s="1"/>
  <c r="N75" i="1"/>
  <c r="N17" i="1" s="1"/>
  <c r="P14" i="1"/>
  <c r="R14" i="1" s="1"/>
  <c r="F54" i="7"/>
  <c r="P60" i="1"/>
  <c r="F38" i="7"/>
  <c r="P44" i="1"/>
  <c r="F44" i="7"/>
  <c r="P50" i="1"/>
  <c r="G7" i="7"/>
  <c r="F34" i="7"/>
  <c r="P40" i="1"/>
  <c r="F16" i="7"/>
  <c r="P22" i="1"/>
  <c r="F13" i="7"/>
  <c r="P19" i="1"/>
  <c r="G62" i="7"/>
  <c r="G61" i="7" s="1"/>
  <c r="F61" i="7"/>
  <c r="H78" i="1"/>
  <c r="P75" i="1" l="1"/>
  <c r="P17" i="1" s="1"/>
  <c r="F53" i="7"/>
  <c r="G54" i="7"/>
  <c r="G53" i="7" s="1"/>
  <c r="G44" i="7"/>
  <c r="G43" i="7" s="1"/>
  <c r="F43" i="7"/>
  <c r="G13" i="7"/>
  <c r="G12" i="7" s="1"/>
  <c r="F12" i="7"/>
  <c r="C12" i="8"/>
  <c r="D12" i="8" s="1"/>
  <c r="F15" i="7"/>
  <c r="G16" i="7"/>
  <c r="G15" i="7" s="1"/>
  <c r="F33" i="7"/>
  <c r="G34" i="7"/>
  <c r="G33" i="7" s="1"/>
  <c r="G38" i="7"/>
  <c r="G37" i="7" s="1"/>
  <c r="F37" i="7"/>
  <c r="N76" i="1"/>
  <c r="N77" i="1" s="1"/>
  <c r="G74" i="7" l="1"/>
  <c r="G76" i="7" s="1"/>
  <c r="C13" i="8"/>
  <c r="C14" i="8" s="1"/>
  <c r="R17" i="1"/>
  <c r="F68" i="7"/>
  <c r="G68" i="7" s="1"/>
  <c r="G10" i="7" s="1"/>
  <c r="G69" i="7" s="1"/>
  <c r="P76" i="1"/>
  <c r="N78" i="1"/>
  <c r="G70" i="7" l="1"/>
  <c r="G71" i="7" s="1"/>
  <c r="P77" i="1"/>
  <c r="P78" i="1" s="1"/>
  <c r="D13" i="8"/>
  <c r="D14" i="8" s="1"/>
  <c r="E12" i="8"/>
  <c r="E13" i="8" l="1"/>
  <c r="E14" i="8" s="1"/>
  <c r="G6" i="9" l="1"/>
  <c r="B17" i="10"/>
  <c r="A7" i="9"/>
</calcChain>
</file>

<file path=xl/sharedStrings.xml><?xml version="1.0" encoding="utf-8"?>
<sst xmlns="http://schemas.openxmlformats.org/spreadsheetml/2006/main" count="1803" uniqueCount="498">
  <si>
    <t>Основания для расчета:</t>
  </si>
  <si>
    <t>№ пп</t>
  </si>
  <si>
    <t>Наименование работ и затрат</t>
  </si>
  <si>
    <t>Оборудование</t>
  </si>
  <si>
    <t>Прочие</t>
  </si>
  <si>
    <t>Всего</t>
  </si>
  <si>
    <t xml:space="preserve">Стоимость работ в ценах на дату формирования начальной (максимальной) цены контракта </t>
  </si>
  <si>
    <t>Индекс прогнозной инфляции на период выполнения работ</t>
  </si>
  <si>
    <t>Начальная (максимальная) цена контракта с учетом индекса прогнозной инфляции на период выполнения работ</t>
  </si>
  <si>
    <t>В том числе: Оборудование</t>
  </si>
  <si>
    <t>1</t>
  </si>
  <si>
    <t>Разработка рабочей документации</t>
  </si>
  <si>
    <t>1.1</t>
  </si>
  <si>
    <t>1.2</t>
  </si>
  <si>
    <t>2</t>
  </si>
  <si>
    <t>Строительство</t>
  </si>
  <si>
    <t>2.1</t>
  </si>
  <si>
    <t>2.2</t>
  </si>
  <si>
    <t>2.3</t>
  </si>
  <si>
    <t>2.3.1</t>
  </si>
  <si>
    <t>2.3.2</t>
  </si>
  <si>
    <t>2.4</t>
  </si>
  <si>
    <t>2.5</t>
  </si>
  <si>
    <t>2.6</t>
  </si>
  <si>
    <t>2.7</t>
  </si>
  <si>
    <t>2.8</t>
  </si>
  <si>
    <t>2.9</t>
  </si>
  <si>
    <t>2.10</t>
  </si>
  <si>
    <t>2.10.1</t>
  </si>
  <si>
    <t>2.10.2</t>
  </si>
  <si>
    <t>2.11</t>
  </si>
  <si>
    <t/>
  </si>
  <si>
    <t>Итого без учета НДС</t>
  </si>
  <si>
    <t>ВСЕГО с учетом НДС</t>
  </si>
  <si>
    <t>Расчет начальной (максимальной) цены контракта при осуществлении закупки на выполнение подрядных работ по строительству объекта</t>
  </si>
  <si>
    <t>Сводная смета на ПИР</t>
  </si>
  <si>
    <t>Непредвиденные затраты для рабочей документации - 2%</t>
  </si>
  <si>
    <t>СР-1</t>
  </si>
  <si>
    <t>ЛС 01-01-01</t>
  </si>
  <si>
    <t>Строительные</t>
  </si>
  <si>
    <t>Монтажные</t>
  </si>
  <si>
    <t>ЛС 05-01-01</t>
  </si>
  <si>
    <t>Наружные сети связи</t>
  </si>
  <si>
    <t>СР-3</t>
  </si>
  <si>
    <t>Плата за выбросы в атмосферный воздух</t>
  </si>
  <si>
    <t>СР-4</t>
  </si>
  <si>
    <t>Плата за негативное воздействие при размещении отходов</t>
  </si>
  <si>
    <t>СР-5</t>
  </si>
  <si>
    <t>Затраты на экологический контроль (мониторинг) по состоянию на 3 кв.2024г.</t>
  </si>
  <si>
    <t>СР-6</t>
  </si>
  <si>
    <t>Непредвиденные затраты для строительства - 2%</t>
  </si>
  <si>
    <t>ОС 02-01</t>
  </si>
  <si>
    <t>ОС 09-01</t>
  </si>
  <si>
    <t>Приложение № 6</t>
  </si>
  <si>
    <t>Заказчик</t>
  </si>
  <si>
    <t xml:space="preserve">Акционерное общество "КАВКАЗ.РФ" </t>
  </si>
  <si>
    <t>(наименование организации)</t>
  </si>
  <si>
    <t>"Утвержден" "___"______________________2025г</t>
  </si>
  <si>
    <t>(ссылка на документ об утверждении)</t>
  </si>
  <si>
    <t>(наименование стройки)</t>
  </si>
  <si>
    <t>Составлен в текущем уровне цен III квартал 2024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</si>
  <si>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</si>
  <si>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</si>
  <si>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</si>
  <si>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</si>
  <si>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</si>
  <si>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</si>
  <si>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</si>
  <si>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</si>
  <si>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</si>
  <si>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СР-2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</si>
  <si>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</si>
  <si>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</si>
  <si>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</si>
  <si>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</si>
  <si>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Итого по Главе 4. "Объекты энергетического хозяйства"</t>
  </si>
  <si>
    <t>Глава 5. Объекты транспортного хозяйства и связи</t>
  </si>
  <si>
    <t>Итого по Главе 5. "Объекты транспортного хозяйства и связи"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</si>
  <si>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</si>
  <si>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</si>
  <si>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</si>
  <si>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</si>
  <si>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</si>
  <si>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</si>
  <si>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</si>
  <si>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</si>
  <si>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</si>
  <si>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Итого по Главе 10. "Содержание службы заказчика. Строительный контроль"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</si>
  <si>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</si>
  <si>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Разработка проектной документации</t>
  </si>
  <si>
    <t>СР-8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</si>
  <si>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</si>
  <si>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</si>
  <si>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</si>
  <si>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</si>
  <si>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</si>
  <si>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</si>
  <si>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</si>
  <si>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</si>
  <si>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</si>
  <si>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(Ганбатын А.)</t>
  </si>
  <si>
    <t>[подпись (инициалы, фамилия)]</t>
  </si>
  <si>
    <t>Главный инженер проекта</t>
  </si>
  <si>
    <t>(Громов М.А.)</t>
  </si>
  <si>
    <t>(Шехарева О.Ю.)</t>
  </si>
  <si>
    <t>Директор Департамента развития инфраструктуры  АО 
"КАВКАЗ.РФ"
(по дов-ти № 612 от 13.03.2024г.)</t>
  </si>
  <si>
    <t>(Богуш Б.Б.)</t>
  </si>
  <si>
    <t>[должность, подпись (инициалы, фамилия)]</t>
  </si>
  <si>
    <t>Возврат ВЗИС-15%</t>
  </si>
  <si>
    <r>
      <rPr>
        <b/>
        <sz val="12"/>
        <rFont val="Times New Roman"/>
        <family val="1"/>
        <charset val="204"/>
      </rPr>
      <t>Стоимость работ в ценах утверждения сметной документации</t>
    </r>
    <r>
      <rPr>
        <b/>
        <sz val="12"/>
        <color rgb="FFFF0000"/>
        <rFont val="Times New Roman"/>
        <family val="1"/>
        <charset val="204"/>
      </rPr>
      <t>- 3 квартала 2024 г.</t>
    </r>
  </si>
  <si>
    <t>Утверждено приказом № 421 от 4 августа 2020 г. Минстроя РФ</t>
  </si>
  <si>
    <t>Сводный сметный расчет сметной стоимостью 1 170 591,72 тыс. руб.</t>
  </si>
  <si>
    <t>СВОДНЫЙ СМЕТНЫЙ РАСЧЕТ СТОИМОСТИ СТРОИТЕЛЬСТВА № ССРСС-1</t>
  </si>
  <si>
    <t>Сервисный центр ВТРК "Эльбрус"</t>
  </si>
  <si>
    <t>Строительных
(ремонтно- строительных, ремонтно- реставрационных) работ</t>
  </si>
  <si>
    <t>Создание геодезической разбивочной основы и вынос в натуру линейного объекта (ГРО)</t>
  </si>
  <si>
    <t>Разработка и согласование специальных технических условий  (СТУ)</t>
  </si>
  <si>
    <t>ОС 01-01</t>
  </si>
  <si>
    <t>Подготовительные работы</t>
  </si>
  <si>
    <t>Строительно-монтажные работы здания сервисного центра</t>
  </si>
  <si>
    <t>ОС 04-01</t>
  </si>
  <si>
    <t>Энергообеспечение сервисного центра</t>
  </si>
  <si>
    <t>Глава 6. Наружные сети и сооружения водоснабжения, водоотведения, теплоснабжения и газоснабжения</t>
  </si>
  <si>
    <t>ОС 06-01</t>
  </si>
  <si>
    <t>Наружные сети водоснабжения и водоотведения</t>
  </si>
  <si>
    <t>ЛС 06-02-01</t>
  </si>
  <si>
    <t>Наружные сети газоснабжения</t>
  </si>
  <si>
    <t>Итого по Главе 6. "Наружные сети и сооружения водоснабжения, водоотведения, теплоснабжения и газоснабжения"</t>
  </si>
  <si>
    <t>ЛС 07-01-01</t>
  </si>
  <si>
    <t>Благоустройство и озеленение</t>
  </si>
  <si>
    <t>ЛС 07-02-01</t>
  </si>
  <si>
    <t>Наружное электроосвещение</t>
  </si>
  <si>
    <t>Итого по Главе 7. "Благоустройство и озеленение территории"</t>
  </si>
  <si>
    <t>Приказ от 19.06.2020 № 332/пр прил.1 п.54</t>
  </si>
  <si>
    <t>Временные здания и сооружения - Санатории, санатории-профилактории, профилактории, дома отдыха и базы отдыха, пансионаты, лечебно-оздоровительные комплексы, санаторные, оздоровительные и спортивные детские лагеря - 2,3%</t>
  </si>
  <si>
    <t>2,3%СДЛ.С</t>
  </si>
  <si>
    <t>2,3%СДЛ.М</t>
  </si>
  <si>
    <t>Методика  №421/пр.; Методика от 25.05.2021 № 325/пр, прил.1, п.85</t>
  </si>
  <si>
    <t>Производство работ в зимнее время  (I зона)  0,5%</t>
  </si>
  <si>
    <t>Здание Сервисного центра. Пусконаладочные работы</t>
  </si>
  <si>
    <t>ОС 09-02</t>
  </si>
  <si>
    <t>Система электроснабжения. ПНР</t>
  </si>
  <si>
    <t>ЛС 09-03-01</t>
  </si>
  <si>
    <t>Восстановление конструкции существующей автодороги к гостиницам</t>
  </si>
  <si>
    <t>Затраты на подготовку технических планов сооружений.</t>
  </si>
  <si>
    <t>СР-7</t>
  </si>
  <si>
    <t>Затраты на перевозку и проживание работников, привлекаемых для СМР и ПНР</t>
  </si>
  <si>
    <t>Затраты по размещению, утилизации отходов строительного производства</t>
  </si>
  <si>
    <t>СР-9</t>
  </si>
  <si>
    <t>Затраты на перебазировку Крана башенного, г/п 10т, с базы механизации на строительную площадку и обратно</t>
  </si>
  <si>
    <t>СР-10</t>
  </si>
  <si>
    <t>Затраты на научно-техническое сопровождение строительства зданий или сооружений</t>
  </si>
  <si>
    <t>Методика  №421/пр.; ПП №468 от 21.06.2010г., СР-11</t>
  </si>
  <si>
    <t>Затраты на проведение строительного контроля (1,61 % от глав 1-9 граф 4,5,6,7)</t>
  </si>
  <si>
    <t>Приказ от 4.08.2020 № 421/пр.</t>
  </si>
  <si>
    <t>Авторский надзор 0,2%</t>
  </si>
  <si>
    <t>Затраты на изыскательские работы</t>
  </si>
  <si>
    <t>Стоимость проведения экспертизы проектно-изыскательских работ</t>
  </si>
  <si>
    <t>СР-12</t>
  </si>
  <si>
    <t>Затраты на проезд  специалистов, осуществляющих авторский надзор.</t>
  </si>
  <si>
    <t>Методика  №421/пр., п.179 а)</t>
  </si>
  <si>
    <t>Непредвиденные затраты для объектов капитального строительства непроизводственного назначения - 2%</t>
  </si>
  <si>
    <t>Методика  №421/пр., п.181 (№ 303-ФЗ от 3.08.2018)</t>
  </si>
  <si>
    <t>Итого "Налоги и обязательные платежи" (20%)</t>
  </si>
  <si>
    <t>Начальник Сметного отдела</t>
  </si>
  <si>
    <t>расположенному по адресу: Россия, Кабардино-Балкарская Республика, Эльбрусский район</t>
  </si>
  <si>
    <t>1. Приказ об утверждении проектной документации, включая сводный сметный расчет стоимости строительства от 17.03.2025 № ПР-25-56</t>
  </si>
  <si>
    <t>2. Заключение Федерального автономного учреждения "Главное управление государственной экспертизы"от 06.03.2025 № 07-1-1-3-011790-2025</t>
  </si>
  <si>
    <t>3. Утвержденный сводный сметный расчет стоимости строительства  в ценах 3 квартала 2024 г. на сумму  1 170 591,72 тыс. руб.</t>
  </si>
  <si>
    <t>ВЗИС-2,3%</t>
  </si>
  <si>
    <t>Зимнее удорожание - 0,5%</t>
  </si>
  <si>
    <t>ЛС 02-01-01</t>
  </si>
  <si>
    <t>Конструктивные решения.</t>
  </si>
  <si>
    <t>ЛС 02-01-02</t>
  </si>
  <si>
    <t>Архитектурные решения.</t>
  </si>
  <si>
    <t>ЛС 02-01-03</t>
  </si>
  <si>
    <t>Внутреннее силовое электрооборудование и электроосвещение</t>
  </si>
  <si>
    <t>ЛС 02-01-04</t>
  </si>
  <si>
    <t>Внутренние системы водоснабжения</t>
  </si>
  <si>
    <t>ЛС 02-01-05</t>
  </si>
  <si>
    <t>ЛС 02-01-06</t>
  </si>
  <si>
    <t>Внутренние системы водоотведения</t>
  </si>
  <si>
    <t>ЛС 02-01-07</t>
  </si>
  <si>
    <t>Отопление, вентиляция и кондиционирование воздуха, тепловые сети</t>
  </si>
  <si>
    <t>ЛС 02-01-08</t>
  </si>
  <si>
    <t>Внутренние сети связи</t>
  </si>
  <si>
    <t>ЛС 02-01-09</t>
  </si>
  <si>
    <t>Автоматизация и диспетчеризация инженерных систем</t>
  </si>
  <si>
    <t>ЛС 02-01-10</t>
  </si>
  <si>
    <t>Комплексная система безопасности</t>
  </si>
  <si>
    <t>ЛС 02-01-11</t>
  </si>
  <si>
    <t>Внутреннее газоснабжение</t>
  </si>
  <si>
    <t>ЛС 02-01-12</t>
  </si>
  <si>
    <t>Технологические решения</t>
  </si>
  <si>
    <t>ЛС 02-01-13</t>
  </si>
  <si>
    <t>Рентгеновский кабинет</t>
  </si>
  <si>
    <t>ЛС 02-01-14</t>
  </si>
  <si>
    <t>Платежно-пропускная система. Система видеоконференции. Система аудио-видео трансляции конференц-зала.</t>
  </si>
  <si>
    <t>ЛС 02-01-15</t>
  </si>
  <si>
    <t>Мероприятия по обеспечению пожарной безопасности</t>
  </si>
  <si>
    <t>ЛС 02-01-17</t>
  </si>
  <si>
    <t>Мероприятия по обеспечению доступа инвалидов к объекту капитального строительства</t>
  </si>
  <si>
    <t>ЛС 02-01-18</t>
  </si>
  <si>
    <t>Тепломеханические решения котельной. Автоматизация тепломеханических решений</t>
  </si>
  <si>
    <t>Устройство временных дорожных знаков</t>
  </si>
  <si>
    <t>ЛС 01-01-02</t>
  </si>
  <si>
    <t>Демонтажные работы при устройстве котлована</t>
  </si>
  <si>
    <t>ЛС 06-01-01</t>
  </si>
  <si>
    <t>Наружные сети водоснабжения</t>
  </si>
  <si>
    <t>ЛС 06-01-02</t>
  </si>
  <si>
    <t>Наружные сети водоотведения</t>
  </si>
  <si>
    <t>ЛС 09-01-01</t>
  </si>
  <si>
    <t>Внутреннее силовое электрооборудование и электроосвещение. Пусконаладочные работы</t>
  </si>
  <si>
    <t>ЛС  09-01-02</t>
  </si>
  <si>
    <t>Отопление, вентиляция и кондиционирование воздуха, тепловые сети. Пусконаладочные работы</t>
  </si>
  <si>
    <t>ЛС 09-01-03</t>
  </si>
  <si>
    <t>ПНР. Внутренние сети связи</t>
  </si>
  <si>
    <t>ЛС 09-01-04</t>
  </si>
  <si>
    <t>Автоматизация и диспетчеризация инженерных систем. Пусконаладочные работы</t>
  </si>
  <si>
    <t>ЛС 09-01-05</t>
  </si>
  <si>
    <t>Комплексная система безопасности. Пусконаладочные работы</t>
  </si>
  <si>
    <t>ЛС 09-01-06</t>
  </si>
  <si>
    <t>Монтируемое грузоподъемное оборудование. Пусконаладочные работы</t>
  </si>
  <si>
    <t>ЛС 09-01-07</t>
  </si>
  <si>
    <t>ПНР. Платежно-пропускная система. Система видеоконференции. Система аудио-видео трансляции конференц-зала.</t>
  </si>
  <si>
    <t>ЛС 09-01-08</t>
  </si>
  <si>
    <t>ПНР. Мероприятия по обеспечению пожарной безопасности</t>
  </si>
  <si>
    <t>ЛС 09-01-09</t>
  </si>
  <si>
    <t>ЛС 09-02-01</t>
  </si>
  <si>
    <t>Наружное электроснабжение 10 кВ. Пусконаладочные работы</t>
  </si>
  <si>
    <t>ЛС 09-02-02</t>
  </si>
  <si>
    <t>Трансформаторная подстанция 10/04 кВ. Пусконаладочные работы</t>
  </si>
  <si>
    <t>ЛС 09-02-03</t>
  </si>
  <si>
    <t>Наружное освещение. Пусконаладочные работы</t>
  </si>
  <si>
    <t>2.2.1</t>
  </si>
  <si>
    <t>2.2.2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</si>
  <si>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</si>
  <si>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</si>
  <si>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</si>
  <si>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</si>
  <si>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</si>
  <si>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</si>
  <si>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</si>
  <si>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</si>
  <si>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</si>
  <si>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</si>
  <si>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</si>
  <si>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2.3.14</t>
  </si>
  <si>
    <t>2.3.15</t>
  </si>
  <si>
    <t>2.3.17</t>
  </si>
  <si>
    <t>2.3.16</t>
  </si>
  <si>
    <t>2.10.3</t>
  </si>
  <si>
    <t>2.12</t>
  </si>
  <si>
    <t>2.13</t>
  </si>
  <si>
    <t>2.14</t>
  </si>
  <si>
    <t>2.15</t>
  </si>
  <si>
    <t>2.16</t>
  </si>
  <si>
    <t>2.17</t>
  </si>
  <si>
    <t>2.18</t>
  </si>
  <si>
    <t>2.19</t>
  </si>
  <si>
    <t>Автоматическая установка водяного пожаротушения. Внутренний противопожарный водопровод</t>
  </si>
  <si>
    <t>ЛС 04-01-01</t>
  </si>
  <si>
    <t>Наружное электроснабжение 10 кВ</t>
  </si>
  <si>
    <t>ЛС 04-01-02</t>
  </si>
  <si>
    <t>Трансформаторная подстанция 10 / 0,4 кВ</t>
  </si>
  <si>
    <t>2.4.1</t>
  </si>
  <si>
    <t>2.4.2</t>
  </si>
  <si>
    <t>2.6.1</t>
  </si>
  <si>
    <t>2.6.2</t>
  </si>
  <si>
    <t>2.10.4</t>
  </si>
  <si>
    <t>2.10.5</t>
  </si>
  <si>
    <t>2.10.6</t>
  </si>
  <si>
    <t>2.10.7</t>
  </si>
  <si>
    <t>2.10.8</t>
  </si>
  <si>
    <t>2.10.9</t>
  </si>
  <si>
    <t>2.11.1</t>
  </si>
  <si>
    <t>2.11.2</t>
  </si>
  <si>
    <t>2.11.3</t>
  </si>
  <si>
    <t>Здание Сервисного центра. Пусконаладочные работы "вхолостую"</t>
  </si>
  <si>
    <t xml:space="preserve">Затраты на экологический контроль (мониторинг) </t>
  </si>
  <si>
    <t>Затраты на перевозку работников к месту монтажных работ  и обратно</t>
  </si>
  <si>
    <t xml:space="preserve">Затраты на перевозку работников Нальчик-с.Терскол- Нальчик (туда и обратно) </t>
  </si>
  <si>
    <t xml:space="preserve">Затраты на оплату проживания  рабочих  
(затраты на оплату проживания  ИТР учтены в составе НР)  </t>
  </si>
  <si>
    <t xml:space="preserve">Затраты на оплату суточных рабочих  
(затраты на оплату суточные ИТР учтены в составе НР)  </t>
  </si>
  <si>
    <t>2.16.1</t>
  </si>
  <si>
    <t>2.16.3</t>
  </si>
  <si>
    <t>2.16.2</t>
  </si>
  <si>
    <t>2.16.4</t>
  </si>
  <si>
    <t xml:space="preserve">«Сервисный центр ВТРК «Эльбрус»
</t>
  </si>
  <si>
    <t>Ведомость объемов конструктивных решений (элементов) и комплексов (видов) работ</t>
  </si>
  <si>
    <t>(наименование объекта)</t>
  </si>
  <si>
    <t>Номера сметных расчетов (смет) и позиций в сметных расчетах (сметах), относящиеся к соответствующим конструктивным решениям (элементам), комплексам (видам) работ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</si>
  <si>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</si>
  <si>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</si>
  <si>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</si>
  <si>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комплекс</t>
  </si>
  <si>
    <t>Индексы цен на продукцию (затраты, услуги) инвестиционного назначения с 2017 г. (процент)</t>
  </si>
  <si>
    <t>2024</t>
  </si>
  <si>
    <t>2025</t>
  </si>
  <si>
    <t>К предыдущему месяцу</t>
  </si>
  <si>
    <t>Российская Федерация</t>
  </si>
  <si>
    <t xml:space="preserve">    СТРОИТЕЛЬСТВО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</si>
  <si>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</si>
  <si>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</si>
  <si>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</si>
  <si>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</si>
  <si>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</si>
  <si>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</si>
  <si>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</si>
  <si>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</si>
  <si>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</si>
  <si>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</si>
  <si>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</si>
  <si>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</si>
  <si>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Расчет прогнозных индексов на период выполнения работ</t>
  </si>
  <si>
    <t>1. Рабочая документация:</t>
  </si>
  <si>
    <t>Дата формирования НМЦК</t>
  </si>
  <si>
    <t>Дата формирования НМЦК принята в соответствии с уровнем цен пересчитанной с индексами Минстрой РФ сметной документации IV квартал 2024 г</t>
  </si>
  <si>
    <t>Начало работ</t>
  </si>
  <si>
    <t>Окончание работ</t>
  </si>
  <si>
    <r>
      <t>Для определения размера индекса прогнозной инфляции для периода в несколько месяцев величина индекса прогнозной инфляции на один месяц возводится в степень, размер которой соответствует количеству месяцев от даты определения НМЦК до даты окончания работ. Индекс прогнозной инфляции для периода выполнения работ (К</t>
    </r>
    <r>
      <rPr>
        <vertAlign val="subscript"/>
        <sz val="12"/>
        <color theme="1"/>
        <rFont val="Times New Roman"/>
        <family val="1"/>
        <charset val="204"/>
      </rPr>
      <t>инфл.пер.</t>
    </r>
    <r>
      <rPr>
        <sz val="12"/>
        <color theme="1"/>
        <rFont val="Times New Roman"/>
        <family val="1"/>
        <charset val="204"/>
      </rPr>
      <t>), не превышающего один календарный год, рассчитывается по формуле (1.1):</t>
    </r>
  </si>
  <si>
    <t>Период от даты определения НМЦК до даты окончания работ, мес.</t>
  </si>
  <si>
    <t xml:space="preserve"> (1.1),</t>
  </si>
  <si>
    <t>^(1/12)</t>
  </si>
  <si>
    <t>Индекс прогнозной инфляции</t>
  </si>
  <si>
    <t>где:</t>
  </si>
  <si>
    <r>
      <t>К</t>
    </r>
    <r>
      <rPr>
        <vertAlign val="subscript"/>
        <sz val="12"/>
        <color theme="1"/>
        <rFont val="Times New Roman"/>
        <family val="1"/>
        <charset val="204"/>
      </rPr>
      <t>инфл.пер</t>
    </r>
    <r>
      <rPr>
        <sz val="12"/>
        <color theme="1"/>
        <rFont val="Times New Roman"/>
        <family val="1"/>
        <charset val="204"/>
      </rPr>
      <t xml:space="preserve"> - индекс прогнозной инфляции для периода выполнения работ, полученное значение округляется до 4 знаков после запятой;</t>
    </r>
  </si>
  <si>
    <t>n - период от даты определения НМЦК до даты окончания работ, мес.</t>
  </si>
  <si>
    <t>Продолжительность выполнения работ, мес.</t>
  </si>
  <si>
    <t>23. НМЦК на выполнение подрядных работ по строительству, реконструкции, капитальному ремонту, сносу объектов капитального строительства, работ по сохранению объектов культурного наследия (памятников истории и культуры) народов Российской Федерации, а также строительству некапитальных строений и сооружений, срок проведения которых переходит на второй и (или) последующие годы строительства, определяется с учетом установленных контрактом сроков строительства по формуле (2):</t>
  </si>
  <si>
    <r>
      <t>Ц</t>
    </r>
    <r>
      <rPr>
        <vertAlign val="subscript"/>
        <sz val="12"/>
        <color theme="1"/>
        <rFont val="Times New Roman"/>
        <family val="1"/>
        <charset val="204"/>
      </rPr>
      <t>п</t>
    </r>
    <r>
      <rPr>
        <sz val="12"/>
        <color theme="1"/>
        <rFont val="Times New Roman"/>
        <family val="1"/>
        <charset val="204"/>
      </rPr>
      <t xml:space="preserve"> = С x К</t>
    </r>
    <r>
      <rPr>
        <vertAlign val="subscript"/>
        <sz val="12"/>
        <color theme="1"/>
        <rFont val="Times New Roman"/>
        <family val="1"/>
        <charset val="204"/>
      </rPr>
      <t>инфл</t>
    </r>
    <r>
      <rPr>
        <sz val="12"/>
        <color theme="1"/>
        <rFont val="Times New Roman"/>
        <family val="1"/>
        <charset val="204"/>
      </rPr>
      <t>, (2)</t>
    </r>
  </si>
  <si>
    <t>где</t>
  </si>
  <si>
    <r>
      <t>Ц</t>
    </r>
    <r>
      <rPr>
        <vertAlign val="subscript"/>
        <sz val="12"/>
        <color theme="1"/>
        <rFont val="Times New Roman"/>
        <family val="1"/>
        <charset val="204"/>
      </rPr>
      <t>п</t>
    </r>
    <r>
      <rPr>
        <sz val="12"/>
        <color theme="1"/>
        <rFont val="Times New Roman"/>
        <family val="1"/>
        <charset val="204"/>
      </rPr>
      <t xml:space="preserve"> - НМЦК на выполнение подрядных работ по строительству, реконструкции, капитальному ремонту, сносу объектов капитального строительства, работ по сохранению объектов культурного наследия (памятников истории и культуры) народов Российской Федерации, а также строительству некапитальных строений и сооружений;</t>
    </r>
  </si>
  <si>
    <t>С - сметная стоимость подрядных работ, подлежащих выполнению подрядчиком;</t>
  </si>
  <si>
    <r>
      <t>К</t>
    </r>
    <r>
      <rPr>
        <vertAlign val="subscript"/>
        <sz val="12"/>
        <color theme="1"/>
        <rFont val="Times New Roman"/>
        <family val="1"/>
        <charset val="204"/>
      </rPr>
      <t>инфл</t>
    </r>
    <r>
      <rPr>
        <sz val="12"/>
        <color theme="1"/>
        <rFont val="Times New Roman"/>
        <family val="1"/>
        <charset val="204"/>
      </rPr>
      <t xml:space="preserve"> = Д</t>
    </r>
    <r>
      <rPr>
        <vertAlign val="sub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x К</t>
    </r>
    <r>
      <rPr>
        <vertAlign val="sub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+ Д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x К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+ ... + Д</t>
    </r>
    <r>
      <rPr>
        <vertAlign val="subscript"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x К</t>
    </r>
    <r>
      <rPr>
        <vertAlign val="subscript"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>, где</t>
    </r>
  </si>
  <si>
    <t>ежемесячный прогнозный индекс на 2026 год</t>
  </si>
  <si>
    <r>
      <t>Д</t>
    </r>
    <r>
      <rPr>
        <vertAlign val="sub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, Д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, Д</t>
    </r>
    <r>
      <rPr>
        <vertAlign val="subscript"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- доля сметной стоимости работ, подлежащих выполнению подрядчиком соответственно в 1-й, 2-й, 3-й, i-ый годы строительства объекта;</t>
    </r>
  </si>
  <si>
    <t>i - год завершения строительства объекта;</t>
  </si>
  <si>
    <r>
      <t>К</t>
    </r>
    <r>
      <rPr>
        <vertAlign val="sub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- индекс прогнозной инфляции за первый год строительства объекта, определяемый как среднее арифметическое между индексом прогнозной инфляции на дату начала строительства объекта и индексом прогнозной инфляции на декабрь первого года строительства объекта;</t>
    </r>
  </si>
  <si>
    <r>
      <t>К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- индекс прогнозной инфляции, учитывающий инфляцию за первый и второй годы строительства объекта. Рассчитывается как произведение индекса прогнозной инфляции, устанавливаемого нарастающим итогом на декабрь первого года строительства объекта, и индекса прогнозной инфляции на второй год строительства объекта, определенного как среднее арифметическое между индексом прогнозной инфляции на январь второго года строительства объекта и индекса прогнозной инфляции на декабрь второго года строительства объекта;</t>
    </r>
  </si>
  <si>
    <r>
      <t>К</t>
    </r>
    <r>
      <rPr>
        <vertAlign val="subscript"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- индекс прогнозной инфляции, учитывающий инфляцию за весь период строительства объекта. Указанный индекс рассчитывается как произведение индекса прогнозной инфляции, устанавливаемого нарастающим итогом на декабрь предшествующего года строительства объекта, и индекса прогнозной инфляции на последний год строительства объекта, определенного как среднее арифметическое между индексом прогнозной инфляции на январь последнего года строительства объекта и индексом прогнозной инфляции на дату окончания строительства объекта в последнем году.</t>
    </r>
  </si>
  <si>
    <t>Проект сметы контракта</t>
  </si>
  <si>
    <t>Цена, руб</t>
  </si>
  <si>
    <t>в том числе Оборудование, руб</t>
  </si>
  <si>
    <t>на единицу измерения</t>
  </si>
  <si>
    <t>РАСЧЕТ НАЧАЛЬНОЙ МАКСИМАЛЬНОЙ ЦЕНЫ ДОГОВОРА</t>
  </si>
  <si>
    <t xml:space="preserve">Продолжительность работ </t>
  </si>
  <si>
    <t xml:space="preserve">Начало работ - </t>
  </si>
  <si>
    <t xml:space="preserve">Окончание работ - </t>
  </si>
  <si>
    <t>№ п.п.</t>
  </si>
  <si>
    <t>Перечень видов работ</t>
  </si>
  <si>
    <t xml:space="preserve"> Стоимость в прогнозных   ценах, руб.</t>
  </si>
  <si>
    <t>без учета НДС</t>
  </si>
  <si>
    <t>с учетом НДС</t>
  </si>
  <si>
    <t xml:space="preserve">Разработка рабочей документации </t>
  </si>
  <si>
    <t>Строительство (строительно-монтажные работы, оборудование, прочие затраты)</t>
  </si>
  <si>
    <t>ВСЕГО</t>
  </si>
  <si>
    <t>на выполнение подрядных работ по строительству объекта:</t>
  </si>
  <si>
    <t>Протокол</t>
  </si>
  <si>
    <t>начальной (максимальной) цены контракта</t>
  </si>
  <si>
    <t xml:space="preserve">Начальная (максимальная ) цена контракта составляет </t>
  </si>
  <si>
    <t>руб. с учетом НДС</t>
  </si>
  <si>
    <t>Начальная (максимальная ) цена контракта включает в себя расходы:</t>
  </si>
  <si>
    <t>1.</t>
  </si>
  <si>
    <t>2.</t>
  </si>
  <si>
    <t>3.</t>
  </si>
  <si>
    <t>Затраты на оплату труда рабочих-строителей и рабочих, обслуживающих строительные машины и механизмы</t>
  </si>
  <si>
    <t>4.</t>
  </si>
  <si>
    <t>Затраты на эксплуатацию машин и механизмов</t>
  </si>
  <si>
    <t>5.</t>
  </si>
  <si>
    <t>Затраты на приобретение материалов, изделий и конструкций.</t>
  </si>
  <si>
    <t>6.</t>
  </si>
  <si>
    <t>Затраты на приобретение оборудования, включая заготовительно-складские расходы</t>
  </si>
  <si>
    <t>7.</t>
  </si>
  <si>
    <t xml:space="preserve">Накладные расходы </t>
  </si>
  <si>
    <t>8.</t>
  </si>
  <si>
    <t>Сметную прибыль</t>
  </si>
  <si>
    <t>9.</t>
  </si>
  <si>
    <t>Затраты на строительство временных зданий и сооружений (ВЗИС) с учетом возврата от разборки ВЗИС в размере 15 % от суммы затрат на их возведение</t>
  </si>
  <si>
    <t>10.</t>
  </si>
  <si>
    <t xml:space="preserve">Затраты на зимнее удорожание </t>
  </si>
  <si>
    <t>11.</t>
  </si>
  <si>
    <t>Пусконаладочные работы</t>
  </si>
  <si>
    <t>12.</t>
  </si>
  <si>
    <t>13.</t>
  </si>
  <si>
    <t>14.</t>
  </si>
  <si>
    <t>Плату за выбросы в атмосферный воздух</t>
  </si>
  <si>
    <t>15.</t>
  </si>
  <si>
    <t>16.</t>
  </si>
  <si>
    <t>17.</t>
  </si>
  <si>
    <t xml:space="preserve">Резерв средств на непредвиденные работы и затраты </t>
  </si>
  <si>
    <t>18.</t>
  </si>
  <si>
    <t>19.</t>
  </si>
  <si>
    <t>Приложение:</t>
  </si>
  <si>
    <t>Расчет начальной (максимальной) цены контракта.</t>
  </si>
  <si>
    <t>Создание геодезической разбивочной основы и вынос в натуру объекта (ГРО)</t>
  </si>
  <si>
    <t>Затраты по созданию геодезической разбивочной основы и выносу в натуру объекта (ГРО)</t>
  </si>
  <si>
    <t>20.</t>
  </si>
  <si>
    <t>21.</t>
  </si>
  <si>
    <t>Плату за негативное воздействие при размещении отходов</t>
  </si>
  <si>
    <t>Индекс прогнозной инфляции для пересчета из уровня цен на дату определения НМЦК в уровень цен соответствующего периода реализации проекта</t>
  </si>
  <si>
    <t>ПОЯСНИТЕЛЬНАЯ ЗАПИСКА</t>
  </si>
  <si>
    <t>К РАСЧЕТУ НАЧАЛЬНОЙ МАКСИМАЛЬНОЙ ЦЕНЫ ДОГОВОРА</t>
  </si>
  <si>
    <t xml:space="preserve">Начальная максимальная цена договора (далее - НМЦД) определена в соответствии с требованием Федерального Закона  от 05.04.2013 г. № 44 "О контрактной системе в сфере закупок товаров, работ, услуг для обеспечения государственных и муниципальных нужд", Порядком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в сфере градостроительной деятельности (за исключением территориального планирования), утвержденным приказом Министерства строительства и жилищно-коммунального хозяйства Российской Федерации от 23 декабря 2019 г. № 841/пр. </t>
  </si>
  <si>
    <t>Расчет стоимости строительства выполнен проектно- сметным методом.</t>
  </si>
  <si>
    <t>Цена работ учитывает все затраты Подрядчика, включая стоимость проектных работ стадии "Рабочая документация", стоимость приобретения материалов и оборудования, заготовительно-складские расходы, стоимость строительно-монтажных работ и прочих затрат согласно перечню затрат, учтенному сводным сметным расчетом стоимости строительства, накладных расходов, сметной прибыли.</t>
  </si>
  <si>
    <t>Описание метода расчета стоимости проектных работ и строительства</t>
  </si>
  <si>
    <t>Итоговая начальная максимальная цена  работ  составляет:</t>
  </si>
  <si>
    <t>рублей с учетом НДС</t>
  </si>
  <si>
    <t>В расчете учтены затраты на временные здания и сооружения в размере 2,3% от суммы строительно-монтажных работ, зимнее удорожание в размере 0,5% от суммы строительно-монтажных работ, непредвиденные затраты в размере согласно сводному сметному расчету 2 %  от итоговой суммы затрат по смете контракта  и возврат от разборки временных зданий и сооружений в размере 15% от суммы затрат на их возведение.</t>
  </si>
  <si>
    <t xml:space="preserve">Индекс фактической инфляции для пересчета сметной стоимости из уровня цен утверждения проектной документации в уровень цен на датуопределения НМЦК определен с применением официальной статистической информации об индексах цен на продукцию (затраты, услуги) инвестиционного назначения по видам экономической деятельности (строительство), публикуемой Федеральной службой государственной статистики для соответствующего периода в целом по Российской Федерации. </t>
  </si>
  <si>
    <r>
      <t>Индекс фактической инфляции от цен утвержденной сметной документации</t>
    </r>
    <r>
      <rPr>
        <sz val="12"/>
        <color rgb="FFFF0000"/>
        <rFont val="Times New Roman"/>
        <family val="1"/>
        <charset val="204"/>
      </rPr>
      <t xml:space="preserve"> (3 квартала 2024 г.)</t>
    </r>
    <r>
      <rPr>
        <sz val="12"/>
        <rFont val="Times New Roman"/>
        <family val="1"/>
        <charset val="204"/>
      </rPr>
      <t xml:space="preserve"> до цен на дату формирования НМЦК</t>
    </r>
  </si>
  <si>
    <t>Сумма, тыс. руб.</t>
  </si>
  <si>
    <t>Непредвиденные-2%</t>
  </si>
  <si>
    <t>Итого с учетом НДС</t>
  </si>
  <si>
    <t>Затраты Подрядчика</t>
  </si>
  <si>
    <t>без учета возврата ВЗИС</t>
  </si>
  <si>
    <t>Затраты Заказчика</t>
  </si>
  <si>
    <t>Итого:</t>
  </si>
  <si>
    <t>проверка</t>
  </si>
  <si>
    <t>погрешность</t>
  </si>
  <si>
    <t>база для начисления затрат на СК</t>
  </si>
  <si>
    <t>руб. с НДС</t>
  </si>
  <si>
    <t>норматив затрат на СК</t>
  </si>
  <si>
    <t>сумма затрат на СК</t>
  </si>
  <si>
    <t>График производства работ  Сервисный Центр ВТРК Эльбрус</t>
  </si>
  <si>
    <t>Наименование работ</t>
  </si>
  <si>
    <t>Количество</t>
  </si>
  <si>
    <t>Ед.Изм.</t>
  </si>
  <si>
    <t>Начало</t>
  </si>
  <si>
    <t>Окончание</t>
  </si>
  <si>
    <t>Передача фундамента в монтаж</t>
  </si>
  <si>
    <t>Октябрь</t>
  </si>
  <si>
    <t>Ноябрь</t>
  </si>
  <si>
    <t>Декабрь</t>
  </si>
  <si>
    <t>ВТРК "Эльбрус"</t>
  </si>
  <si>
    <t>Сервисный центр</t>
  </si>
  <si>
    <t>Работы подготовительного периода</t>
  </si>
  <si>
    <t>подписание сторонами акта о соответствии состояния земельного участка (объекта капитального строительства, подлежащего реконструкции) условиям контракта</t>
  </si>
  <si>
    <t>передача подрядчику копии разрешения на строительство, реконструкцию объекта; копии решения собственника имущества о его сносе (при необходимости); копии разрешения на вырубку зеленых и лесных насаждений; копии технических условий и разрешений на временное присоединение объекта к сетям инженерно-технического обеспечения в соответствии с проектом организации строительства</t>
  </si>
  <si>
    <t>передача подрядчику копий документов, подтверждающих согласование производства отдельных работ, если необходимость такого согласования установлена законодательством Российской Федерации</t>
  </si>
  <si>
    <t>Обустройство временных площадок на поляне Азау, устройство временных подъездных дорог к участку производства работ</t>
  </si>
  <si>
    <t>Обусройство временных площадок на территории производства работ</t>
  </si>
  <si>
    <t>ССР на ПИР</t>
  </si>
  <si>
    <t>Рабочая документация</t>
  </si>
  <si>
    <t>комп</t>
  </si>
  <si>
    <t>Создание ГРО</t>
  </si>
  <si>
    <t>Геодезические работы, установка временного ограждения,устройство временных проездов,размещение временных зданий,установка мойки колёс,перекладка инженерных коммуникаций</t>
  </si>
  <si>
    <t>Ввод объекта в эксплуатацию</t>
  </si>
  <si>
    <t>подключение объекта к сетям инженерно-технического обеспечения в соответствии с техническими условиями, предусмотренными проектной документацией</t>
  </si>
  <si>
    <t>подписание акта о соответствии состояния земельного участка условиям контракта при завершении строительства, реконструкции объекта</t>
  </si>
  <si>
    <t>«Сервисный центр ВТРК «Эльбрус»</t>
  </si>
  <si>
    <t>в виде К</t>
  </si>
  <si>
    <t>* В случае отсутствия информации о величине индекса фактической инфляции на месяц, предшествующий дате определения НМЦК, для расчета принимается индекс фактической инфляции в размере, установленном для последнего опубликованного месяца.</t>
  </si>
  <si>
    <t>2. ГРО:</t>
  </si>
  <si>
    <t>3. Строительство:</t>
  </si>
  <si>
    <t>Для расчета цены строительства  использован сводный сметный расчет, локальные сметные расчеты и расчеты прочих затрат в ценах III квартала 2024 года, получившие положительное заключение ФАУ "Главгосэкспертиза России" от 06.03.2025 № 07-1-1-3-011790-2025.</t>
  </si>
  <si>
    <t>ежемесячный прогнозный индекс на 2027 год</t>
  </si>
  <si>
    <t>Х - дата заключения договора</t>
  </si>
  <si>
    <t>окончание первого года</t>
  </si>
  <si>
    <t>начало второго года</t>
  </si>
  <si>
    <t>2017</t>
  </si>
  <si>
    <t>2018</t>
  </si>
  <si>
    <t>2019</t>
  </si>
  <si>
    <t>2020</t>
  </si>
  <si>
    <t>2021</t>
  </si>
  <si>
    <t>2022</t>
  </si>
  <si>
    <t xml:space="preserve">    Российская Федерация без учета новых субъектов (с 01.01.2023)</t>
  </si>
  <si>
    <t>2023</t>
  </si>
  <si>
    <t>2026</t>
  </si>
  <si>
    <t>июль*</t>
  </si>
  <si>
    <t>Расчет индекса фактической инфляции от цен утвержденной сметной документации (3 квартала 2024 г.) до цен на дату формирования НМЦК (01.08.2026)</t>
  </si>
  <si>
    <t>(произведение помесячных индексов за период: октябрь 2024 - июль 2026)</t>
  </si>
  <si>
    <r>
      <t>Д</t>
    </r>
    <r>
      <rPr>
        <vertAlign val="sub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- доля сметной стоимости, подлежащая выполнению подрядчиком в 2026 году</t>
    </r>
  </si>
  <si>
    <r>
      <t>Д</t>
    </r>
    <r>
      <rPr>
        <vertAlign val="sub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- Доля сметной стоимости, подлежащая выполнению подрядчиком в 2027 году</t>
    </r>
  </si>
  <si>
    <t>Индекс Минэкономразвития РФ на 2026 г.  (Письмо Минэкономразвития России от 30.09.2025 г. N 37099-ПК/Д03и)</t>
  </si>
  <si>
    <t>Индекс Минэкономразвития РФ на 2027 г.  (Письмо Минэкономразвития России от 30.09.2025 г. N 37099-ПК/Д03и)</t>
  </si>
  <si>
    <r>
      <t>К</t>
    </r>
    <r>
      <rPr>
        <vertAlign val="sub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 xml:space="preserve"> на 2026 =</t>
    </r>
  </si>
  <si>
    <r>
      <t>К</t>
    </r>
    <r>
      <rPr>
        <vertAlign val="sub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на 2027 =</t>
    </r>
  </si>
  <si>
    <r>
      <t>Д</t>
    </r>
    <r>
      <rPr>
        <vertAlign val="sub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- доля сметной стоимости, подлежащая выполнению подрядчиком в 2027 году</t>
    </r>
  </si>
  <si>
    <r>
      <t>Д</t>
    </r>
    <r>
      <rPr>
        <vertAlign val="sub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- доля сметной стоимости, подлежащая выполнению подрядчиком в 2028 году</t>
    </r>
  </si>
  <si>
    <t>Индекс Минэкономразвития РФ на 2028 г.  (Письмо Минэкономразвития России от 30.09.2025 г. N 37099-ПК/Д03и)</t>
  </si>
  <si>
    <t>ежемесячный прогнозный индекс на 2028 год</t>
  </si>
  <si>
    <r>
      <t>К</t>
    </r>
    <r>
      <rPr>
        <vertAlign val="sub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на 2028 =</t>
    </r>
  </si>
  <si>
    <t>НДС - 22%</t>
  </si>
  <si>
    <t>Заместитель директора департамента
по ценообразованию и сметному регулированию
Департамента развития инфраструктуры</t>
  </si>
  <si>
    <t>Е.А. Татаринова</t>
  </si>
  <si>
    <t>НДС 22%</t>
  </si>
  <si>
    <t>НДС 20%</t>
  </si>
  <si>
    <t>Индекс фактической инфляции</t>
  </si>
  <si>
    <t>НДС-22 %</t>
  </si>
  <si>
    <t>Налог на добавленную стоимость в размере 22%</t>
  </si>
  <si>
    <t>Индексы прогнозной инфляции для пересчета из уровня цен на дату определения НМЦК в уровень цен соответствующего периода реализации проекта определены с применением индексов-дефляторов Министерства экономического развития Российской Федерации по строке "Инвестиции в основной капитал (капитальные вложения) согласно письму от 30.09.2025 № 37099-ПК/Д03и.</t>
  </si>
  <si>
    <t>Налог на добавленную стоимость - 22 %</t>
  </si>
  <si>
    <r>
      <t xml:space="preserve">после изменения ставки НДС </t>
    </r>
    <r>
      <rPr>
        <b/>
        <strike/>
        <sz val="8"/>
        <color rgb="FFFF0000"/>
        <rFont val="Arial"/>
        <family val="2"/>
        <charset val="204"/>
      </rPr>
      <t xml:space="preserve">20% </t>
    </r>
    <r>
      <rPr>
        <b/>
        <sz val="8"/>
        <color rgb="FFFF0000"/>
        <rFont val="Arial"/>
        <family val="2"/>
        <charset val="204"/>
      </rPr>
      <t>22%:</t>
    </r>
  </si>
  <si>
    <t>с НДС</t>
  </si>
  <si>
    <t>внесена поправка -0,02.</t>
  </si>
  <si>
    <t>с исключением немонтируемого оборудования: (В РАБОТЕ!)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</si>
</sst>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0"/>
    <numFmt numFmtId="165" formatCode="#,##0.0000"/>
    <numFmt numFmtId="166" formatCode="_-* #,##0.00\ _₽_-;\-* #,##0.00\ _₽_-;_-* &quot;-&quot;??\ _₽_-;_-@_-"/>
    <numFmt numFmtId="167" formatCode="_-* #,##0.00_р_._-;\-* #,##0.00_р_._-;_-* &quot;-&quot;??_р_.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#,##0.00_ ;\-#,##0.00\ "/>
    <numFmt numFmtId="171" formatCode="#,##0.####"/>
    <numFmt numFmtId="172" formatCode="0.0"/>
    <numFmt numFmtId="173" formatCode="0.0000000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7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i/>
      <sz val="12"/>
      <color rgb="FF0070C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70C0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indexed="18"/>
      <name val="Arial"/>
      <family val="2"/>
      <charset val="204"/>
    </font>
    <font>
      <i/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b/>
      <u/>
      <sz val="10"/>
      <name val="Arial Cyr"/>
      <charset val="204"/>
    </font>
    <font>
      <vertAlign val="subscript"/>
      <sz val="12"/>
      <color theme="1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0070C0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FF0000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18"/>
      <color rgb="FF36363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sz val="18"/>
      <color rgb="FF363636"/>
      <name val="Times New Roman"/>
      <family val="1"/>
      <charset val="204"/>
    </font>
    <font>
      <b/>
      <u/>
      <sz val="20"/>
      <color rgb="FF00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u/>
      <sz val="18"/>
      <name val="Times New Roman"/>
      <family val="1"/>
      <charset val="204"/>
    </font>
    <font>
      <i/>
      <u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0"/>
      <color indexed="1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trike/>
      <sz val="8"/>
      <color rgb="FFFF0000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9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theme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261">
    <xf numFmtId="0" fontId="0" fillId="0" borderId="0"/>
    <xf numFmtId="43" fontId="8" fillId="0" borderId="0" applyFont="0" applyFill="0" applyBorder="0" applyAlignment="0" applyProtection="0"/>
    <xf numFmtId="0" fontId="8" fillId="0" borderId="0"/>
    <xf numFmtId="0" fontId="14" fillId="0" borderId="0"/>
    <xf numFmtId="0" fontId="7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14" fillId="0" borderId="0"/>
    <xf numFmtId="0" fontId="7" fillId="0" borderId="0"/>
    <xf numFmtId="0" fontId="24" fillId="0" borderId="0"/>
    <xf numFmtId="0" fontId="22" fillId="0" borderId="0">
      <alignment horizontal="left" vertical="top"/>
    </xf>
    <xf numFmtId="0" fontId="20" fillId="0" borderId="0"/>
    <xf numFmtId="0" fontId="22" fillId="0" borderId="0">
      <alignment horizontal="center"/>
    </xf>
    <xf numFmtId="0" fontId="20" fillId="0" borderId="1" applyBorder="0" applyAlignment="0">
      <alignment horizontal="center" wrapText="1"/>
    </xf>
    <xf numFmtId="0" fontId="7" fillId="0" borderId="0"/>
    <xf numFmtId="0" fontId="9" fillId="0" borderId="0"/>
    <xf numFmtId="0" fontId="8" fillId="0" borderId="0"/>
    <xf numFmtId="0" fontId="8" fillId="0" borderId="0"/>
    <xf numFmtId="0" fontId="26" fillId="0" borderId="0">
      <alignment horizontal="left" vertical="top"/>
    </xf>
    <xf numFmtId="0" fontId="20" fillId="0" borderId="1" applyBorder="0" applyAlignment="0">
      <alignment horizontal="center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7" fillId="0" borderId="0">
      <alignment horizontal="center" vertical="top"/>
    </xf>
    <xf numFmtId="0" fontId="7" fillId="0" borderId="0"/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left" vertical="center"/>
    </xf>
    <xf numFmtId="0" fontId="26" fillId="0" borderId="0">
      <alignment horizontal="center" vertical="center"/>
    </xf>
    <xf numFmtId="0" fontId="26" fillId="0" borderId="0">
      <alignment horizontal="center"/>
    </xf>
    <xf numFmtId="0" fontId="25" fillId="0" borderId="0"/>
    <xf numFmtId="0" fontId="25" fillId="0" borderId="0"/>
    <xf numFmtId="43" fontId="7" fillId="0" borderId="0" applyFont="0" applyFill="0" applyBorder="0" applyAlignment="0" applyProtection="0"/>
    <xf numFmtId="0" fontId="29" fillId="0" borderId="0">
      <alignment horizontal="left" vertical="center"/>
    </xf>
    <xf numFmtId="0" fontId="30" fillId="0" borderId="0">
      <alignment horizontal="right" vertical="center"/>
    </xf>
    <xf numFmtId="0" fontId="31" fillId="0" borderId="0">
      <alignment horizontal="left"/>
    </xf>
    <xf numFmtId="0" fontId="31" fillId="0" borderId="0">
      <alignment horizontal="left" vertical="top"/>
    </xf>
    <xf numFmtId="0" fontId="32" fillId="0" borderId="0">
      <alignment horizontal="center" vertical="center"/>
    </xf>
    <xf numFmtId="0" fontId="31" fillId="0" borderId="0">
      <alignment horizontal="center" vertical="top"/>
    </xf>
    <xf numFmtId="0" fontId="30" fillId="0" borderId="0">
      <alignment horizontal="left" vertical="top"/>
    </xf>
    <xf numFmtId="0" fontId="31" fillId="0" borderId="1">
      <alignment horizontal="center" vertical="top"/>
    </xf>
    <xf numFmtId="0" fontId="31" fillId="0" borderId="1">
      <alignment horizontal="left" vertical="center"/>
    </xf>
    <xf numFmtId="0" fontId="31" fillId="0" borderId="0">
      <alignment horizontal="left" vertical="center"/>
    </xf>
    <xf numFmtId="0" fontId="7" fillId="0" borderId="0"/>
    <xf numFmtId="0" fontId="24" fillId="0" borderId="0">
      <alignment horizontal="center" vertical="center"/>
    </xf>
    <xf numFmtId="0" fontId="31" fillId="0" borderId="1">
      <alignment horizontal="center" vertical="center"/>
    </xf>
    <xf numFmtId="0" fontId="31" fillId="0" borderId="1">
      <alignment horizontal="left" vertical="top"/>
    </xf>
    <xf numFmtId="9" fontId="7" fillId="0" borderId="0" applyFont="0" applyFill="0" applyBorder="0" applyAlignment="0" applyProtection="0"/>
    <xf numFmtId="0" fontId="25" fillId="0" borderId="0"/>
    <xf numFmtId="0" fontId="33" fillId="0" borderId="0"/>
    <xf numFmtId="0" fontId="7" fillId="0" borderId="0"/>
    <xf numFmtId="0" fontId="7" fillId="0" borderId="0"/>
    <xf numFmtId="0" fontId="25" fillId="0" borderId="0"/>
    <xf numFmtId="0" fontId="22" fillId="0" borderId="0">
      <alignment horizontal="right" vertical="top" wrapText="1"/>
    </xf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7" fillId="0" borderId="0"/>
    <xf numFmtId="0" fontId="32" fillId="0" borderId="0">
      <alignment horizontal="center" vertical="center"/>
    </xf>
    <xf numFmtId="0" fontId="31" fillId="0" borderId="0">
      <alignment horizontal="center" vertical="top"/>
    </xf>
    <xf numFmtId="0" fontId="30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center"/>
    </xf>
    <xf numFmtId="0" fontId="30" fillId="0" borderId="0">
      <alignment horizontal="left" vertical="center"/>
    </xf>
    <xf numFmtId="0" fontId="31" fillId="0" borderId="1">
      <alignment horizontal="center" vertical="center"/>
    </xf>
    <xf numFmtId="0" fontId="31" fillId="0" borderId="1">
      <alignment horizontal="left" vertical="center"/>
    </xf>
    <xf numFmtId="0" fontId="31" fillId="0" borderId="4">
      <alignment horizontal="left" vertical="top"/>
    </xf>
    <xf numFmtId="167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5" fillId="0" borderId="0"/>
    <xf numFmtId="168" fontId="25" fillId="0" borderId="0" applyFont="0" applyFill="0" applyBorder="0" applyAlignment="0" applyProtection="0"/>
    <xf numFmtId="0" fontId="7" fillId="0" borderId="0"/>
    <xf numFmtId="169" fontId="25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4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31" fillId="0" borderId="1">
      <alignment horizontal="center" vertical="top"/>
    </xf>
    <xf numFmtId="0" fontId="31" fillId="0" borderId="1">
      <alignment horizontal="left" vertical="center"/>
    </xf>
    <xf numFmtId="0" fontId="7" fillId="0" borderId="0"/>
    <xf numFmtId="0" fontId="31" fillId="0" borderId="1">
      <alignment horizontal="center" vertical="center"/>
    </xf>
    <xf numFmtId="0" fontId="31" fillId="0" borderId="1">
      <alignment horizontal="left" vertical="top"/>
    </xf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1" fillId="0" borderId="1">
      <alignment horizontal="center" vertical="center"/>
    </xf>
    <xf numFmtId="0" fontId="31" fillId="0" borderId="1">
      <alignment horizontal="left"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6">
      <alignment horizontal="center" vertical="top"/>
    </xf>
    <xf numFmtId="0" fontId="31" fillId="0" borderId="6">
      <alignment horizontal="left" vertical="center"/>
    </xf>
    <xf numFmtId="0" fontId="7" fillId="0" borderId="0"/>
    <xf numFmtId="0" fontId="31" fillId="0" borderId="6">
      <alignment horizontal="center" vertical="center"/>
    </xf>
    <xf numFmtId="0" fontId="31" fillId="0" borderId="6">
      <alignment horizontal="left" vertical="top"/>
    </xf>
    <xf numFmtId="9" fontId="7" fillId="0" borderId="0" applyFont="0" applyFill="0" applyBorder="0" applyAlignment="0" applyProtection="0"/>
    <xf numFmtId="0" fontId="31" fillId="0" borderId="6">
      <alignment horizontal="left" vertical="center"/>
    </xf>
    <xf numFmtId="0" fontId="38" fillId="6" borderId="0">
      <alignment horizontal="right" vertical="center"/>
    </xf>
    <xf numFmtId="0" fontId="7" fillId="0" borderId="0"/>
    <xf numFmtId="0" fontId="7" fillId="0" borderId="0"/>
    <xf numFmtId="0" fontId="31" fillId="0" borderId="6">
      <alignment horizontal="center" vertical="center"/>
    </xf>
    <xf numFmtId="0" fontId="31" fillId="0" borderId="6">
      <alignment horizontal="left" vertical="center"/>
    </xf>
    <xf numFmtId="44" fontId="2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4" fillId="0" borderId="0" applyFont="0" applyFill="0" applyBorder="0" applyAlignment="0" applyProtection="0"/>
    <xf numFmtId="0" fontId="7" fillId="0" borderId="0"/>
    <xf numFmtId="0" fontId="20" fillId="0" borderId="0"/>
    <xf numFmtId="9" fontId="25" fillId="0" borderId="0" applyFont="0" applyFill="0" applyBorder="0" applyAlignment="0" applyProtection="0"/>
    <xf numFmtId="0" fontId="7" fillId="0" borderId="0"/>
    <xf numFmtId="0" fontId="7" fillId="0" borderId="0"/>
    <xf numFmtId="0" fontId="37" fillId="0" borderId="0"/>
    <xf numFmtId="0" fontId="7" fillId="0" borderId="0"/>
    <xf numFmtId="167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31" fillId="0" borderId="6">
      <alignment horizontal="left" vertical="center"/>
    </xf>
    <xf numFmtId="0" fontId="20" fillId="0" borderId="6" applyBorder="0" applyAlignment="0">
      <alignment horizontal="center" wrapText="1"/>
    </xf>
    <xf numFmtId="0" fontId="31" fillId="0" borderId="12">
      <alignment horizontal="center" vertical="center"/>
    </xf>
    <xf numFmtId="0" fontId="31" fillId="0" borderId="12">
      <alignment horizontal="left" vertical="top"/>
    </xf>
    <xf numFmtId="0" fontId="31" fillId="0" borderId="6">
      <alignment horizontal="center" vertical="center"/>
    </xf>
    <xf numFmtId="0" fontId="31" fillId="0" borderId="12">
      <alignment horizontal="left" vertical="center"/>
    </xf>
    <xf numFmtId="0" fontId="20" fillId="0" borderId="12" applyBorder="0" applyAlignment="0">
      <alignment horizontal="center" wrapText="1"/>
    </xf>
    <xf numFmtId="0" fontId="31" fillId="0" borderId="6">
      <alignment horizontal="left" vertical="top"/>
    </xf>
    <xf numFmtId="0" fontId="31" fillId="0" borderId="12">
      <alignment horizontal="left" vertical="center"/>
    </xf>
    <xf numFmtId="0" fontId="20" fillId="0" borderId="6" applyBorder="0" applyAlignment="0">
      <alignment horizontal="center" wrapText="1"/>
    </xf>
    <xf numFmtId="0" fontId="31" fillId="0" borderId="6">
      <alignment horizontal="center" vertical="top"/>
    </xf>
    <xf numFmtId="0" fontId="31" fillId="0" borderId="6">
      <alignment horizontal="center" vertical="center"/>
    </xf>
    <xf numFmtId="0" fontId="31" fillId="0" borderId="6">
      <alignment horizontal="left" vertical="top"/>
    </xf>
    <xf numFmtId="0" fontId="31" fillId="0" borderId="6">
      <alignment horizontal="center" vertical="center"/>
    </xf>
    <xf numFmtId="0" fontId="31" fillId="0" borderId="6">
      <alignment horizontal="left" vertical="center"/>
    </xf>
    <xf numFmtId="0" fontId="31" fillId="0" borderId="12">
      <alignment horizontal="center" vertical="top"/>
    </xf>
    <xf numFmtId="0" fontId="31" fillId="0" borderId="12">
      <alignment horizontal="center" vertical="center"/>
    </xf>
    <xf numFmtId="0" fontId="20" fillId="0" borderId="12" applyBorder="0" applyAlignment="0">
      <alignment horizontal="center" wrapText="1"/>
    </xf>
    <xf numFmtId="43" fontId="14" fillId="0" borderId="0" applyFont="0" applyFill="0" applyBorder="0" applyAlignment="0" applyProtection="0"/>
    <xf numFmtId="0" fontId="31" fillId="0" borderId="6">
      <alignment horizontal="center" vertical="top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12">
      <alignment horizontal="center" vertical="top"/>
    </xf>
    <xf numFmtId="0" fontId="31" fillId="0" borderId="12">
      <alignment horizontal="left" vertical="center"/>
    </xf>
    <xf numFmtId="0" fontId="6" fillId="0" borderId="0"/>
    <xf numFmtId="0" fontId="31" fillId="0" borderId="12">
      <alignment horizontal="center" vertical="center"/>
    </xf>
    <xf numFmtId="0" fontId="31" fillId="0" borderId="12">
      <alignment horizontal="left" vertical="top"/>
    </xf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1" fillId="0" borderId="12">
      <alignment horizontal="center" vertical="center"/>
    </xf>
    <xf numFmtId="0" fontId="31" fillId="0" borderId="12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12">
      <alignment horizontal="center" vertical="top"/>
    </xf>
    <xf numFmtId="0" fontId="31" fillId="0" borderId="12">
      <alignment horizontal="left" vertical="center"/>
    </xf>
    <xf numFmtId="0" fontId="6" fillId="0" borderId="0"/>
    <xf numFmtId="0" fontId="31" fillId="0" borderId="12">
      <alignment horizontal="center" vertical="center"/>
    </xf>
    <xf numFmtId="0" fontId="31" fillId="0" borderId="12">
      <alignment horizontal="left" vertical="top"/>
    </xf>
    <xf numFmtId="9" fontId="6" fillId="0" borderId="0" applyFont="0" applyFill="0" applyBorder="0" applyAlignment="0" applyProtection="0"/>
    <xf numFmtId="0" fontId="31" fillId="0" borderId="12">
      <alignment horizontal="left" vertical="center"/>
    </xf>
    <xf numFmtId="0" fontId="6" fillId="0" borderId="0"/>
    <xf numFmtId="0" fontId="6" fillId="0" borderId="0"/>
    <xf numFmtId="0" fontId="31" fillId="0" borderId="12">
      <alignment horizontal="center" vertical="center"/>
    </xf>
    <xf numFmtId="0" fontId="31" fillId="0" borderId="12">
      <alignment horizontal="left" vertical="center"/>
    </xf>
    <xf numFmtId="44" fontId="2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20" fillId="0" borderId="15" applyBorder="0" applyAlignment="0">
      <alignment horizontal="center" wrapText="1"/>
    </xf>
    <xf numFmtId="0" fontId="31" fillId="0" borderId="16">
      <alignment horizontal="left" vertical="top"/>
    </xf>
    <xf numFmtId="0" fontId="20" fillId="0" borderId="15" applyBorder="0" applyAlignment="0">
      <alignment horizontal="center" wrapText="1"/>
    </xf>
    <xf numFmtId="0" fontId="31" fillId="0" borderId="16">
      <alignment horizontal="center" vertical="center"/>
    </xf>
    <xf numFmtId="0" fontId="31" fillId="0" borderId="15">
      <alignment horizontal="center" vertical="center"/>
    </xf>
    <xf numFmtId="0" fontId="31" fillId="0" borderId="15">
      <alignment horizontal="center" vertical="top"/>
    </xf>
    <xf numFmtId="0" fontId="31" fillId="0" borderId="15">
      <alignment horizontal="left" vertical="center"/>
    </xf>
    <xf numFmtId="0" fontId="31" fillId="0" borderId="15">
      <alignment horizontal="center" vertical="center"/>
    </xf>
    <xf numFmtId="0" fontId="31" fillId="0" borderId="15">
      <alignment horizontal="left" vertical="top"/>
    </xf>
    <xf numFmtId="0" fontId="31" fillId="0" borderId="16">
      <alignment horizontal="center" vertical="center"/>
    </xf>
    <xf numFmtId="0" fontId="31" fillId="0" borderId="16">
      <alignment horizontal="left" vertical="center"/>
    </xf>
    <xf numFmtId="0" fontId="31" fillId="0" borderId="15">
      <alignment horizontal="center" vertical="center"/>
    </xf>
    <xf numFmtId="0" fontId="31" fillId="0" borderId="15">
      <alignment horizontal="left" vertical="center"/>
    </xf>
    <xf numFmtId="0" fontId="31" fillId="0" borderId="15">
      <alignment horizontal="left" vertical="top"/>
    </xf>
    <xf numFmtId="0" fontId="31" fillId="0" borderId="16">
      <alignment horizontal="center" vertical="top"/>
    </xf>
    <xf numFmtId="0" fontId="31" fillId="0" borderId="15">
      <alignment horizontal="center" vertical="center"/>
    </xf>
    <xf numFmtId="0" fontId="31" fillId="0" borderId="16">
      <alignment horizontal="center" vertical="top"/>
    </xf>
    <xf numFmtId="0" fontId="31" fillId="0" borderId="16">
      <alignment horizontal="left" vertical="center"/>
    </xf>
    <xf numFmtId="0" fontId="31" fillId="0" borderId="16">
      <alignment horizontal="center" vertical="center"/>
    </xf>
    <xf numFmtId="0" fontId="31" fillId="0" borderId="16">
      <alignment horizontal="left" vertical="top"/>
    </xf>
    <xf numFmtId="0" fontId="31" fillId="0" borderId="16">
      <alignment horizontal="left" vertical="center"/>
    </xf>
    <xf numFmtId="0" fontId="31" fillId="0" borderId="15">
      <alignment horizontal="center" vertical="top"/>
    </xf>
    <xf numFmtId="0" fontId="31" fillId="0" borderId="16">
      <alignment horizontal="center" vertical="center"/>
    </xf>
    <xf numFmtId="0" fontId="31" fillId="0" borderId="16">
      <alignment horizontal="left" vertical="center"/>
    </xf>
    <xf numFmtId="0" fontId="31" fillId="0" borderId="15">
      <alignment horizontal="left" vertical="center"/>
    </xf>
    <xf numFmtId="0" fontId="31" fillId="0" borderId="15">
      <alignment horizontal="left" vertical="center"/>
    </xf>
    <xf numFmtId="0" fontId="58" fillId="0" borderId="0"/>
    <xf numFmtId="0" fontId="20" fillId="0" borderId="0"/>
    <xf numFmtId="0" fontId="2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61">
    <xf numFmtId="0" fontId="0" fillId="0" borderId="0" xfId="0"/>
    <xf numFmtId="0" fontId="10" fillId="0" borderId="0" xfId="2" applyFont="1" applyAlignment="1">
      <alignment horizontal="center" vertical="center" wrapText="1"/>
    </xf>
    <xf numFmtId="0" fontId="11" fillId="0" borderId="0" xfId="2" applyFont="1"/>
    <xf numFmtId="0" fontId="12" fillId="0" borderId="0" xfId="2" applyFont="1"/>
    <xf numFmtId="0" fontId="11" fillId="2" borderId="0" xfId="2" applyFont="1" applyFill="1" applyAlignment="1">
      <alignment vertical="center"/>
    </xf>
    <xf numFmtId="0" fontId="13" fillId="2" borderId="0" xfId="2" applyFont="1" applyFill="1" applyAlignment="1">
      <alignment vertical="center"/>
    </xf>
    <xf numFmtId="0" fontId="15" fillId="0" borderId="0" xfId="3" applyFont="1"/>
    <xf numFmtId="0" fontId="16" fillId="3" borderId="1" xfId="3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6" fillId="4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/>
    </xf>
    <xf numFmtId="49" fontId="16" fillId="5" borderId="1" xfId="3" applyNumberFormat="1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 wrapText="1"/>
    </xf>
    <xf numFmtId="43" fontId="16" fillId="5" borderId="1" xfId="1" applyFont="1" applyFill="1" applyBorder="1" applyAlignment="1">
      <alignment horizontal="center" vertical="center" wrapText="1"/>
    </xf>
    <xf numFmtId="4" fontId="10" fillId="5" borderId="1" xfId="3" applyNumberFormat="1" applyFont="1" applyFill="1" applyBorder="1" applyAlignment="1">
      <alignment horizontal="center" vertical="center"/>
    </xf>
    <xf numFmtId="49" fontId="12" fillId="2" borderId="1" xfId="3" applyNumberFormat="1" applyFont="1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4" fontId="11" fillId="2" borderId="1" xfId="3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2" fillId="0" borderId="0" xfId="8" applyFont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49" fontId="11" fillId="2" borderId="1" xfId="0" quotePrefix="1" applyNumberFormat="1" applyFont="1" applyFill="1" applyBorder="1" applyAlignment="1">
      <alignment horizontal="center" vertical="center"/>
    </xf>
    <xf numFmtId="4" fontId="11" fillId="2" borderId="9" xfId="0" applyNumberFormat="1" applyFont="1" applyFill="1" applyBorder="1" applyAlignment="1">
      <alignment horizontal="center" vertical="center"/>
    </xf>
    <xf numFmtId="4" fontId="11" fillId="2" borderId="6" xfId="17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/>
    <xf numFmtId="0" fontId="41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center"/>
    </xf>
    <xf numFmtId="0" fontId="42" fillId="0" borderId="0" xfId="0" applyNumberFormat="1" applyFont="1" applyFill="1" applyBorder="1" applyAlignment="1" applyProtection="1">
      <alignment horizontal="center"/>
    </xf>
    <xf numFmtId="0" fontId="35" fillId="0" borderId="0" xfId="0" applyNumberFormat="1" applyFont="1" applyFill="1" applyBorder="1" applyAlignment="1" applyProtection="1">
      <alignment vertical="top"/>
    </xf>
    <xf numFmtId="0" fontId="35" fillId="0" borderId="0" xfId="0" applyNumberFormat="1" applyFont="1" applyFill="1" applyBorder="1" applyAlignment="1" applyProtection="1">
      <alignment horizontal="center"/>
    </xf>
    <xf numFmtId="0" fontId="35" fillId="0" borderId="0" xfId="0" applyNumberFormat="1" applyFont="1" applyFill="1" applyBorder="1" applyAlignment="1" applyProtection="1"/>
    <xf numFmtId="0" fontId="41" fillId="0" borderId="0" xfId="0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wrapText="1"/>
    </xf>
    <xf numFmtId="0" fontId="39" fillId="0" borderId="0" xfId="0" applyNumberFormat="1" applyFont="1" applyFill="1" applyBorder="1" applyAlignment="1" applyProtection="1">
      <alignment wrapText="1"/>
    </xf>
    <xf numFmtId="0" fontId="34" fillId="0" borderId="0" xfId="0" applyNumberFormat="1" applyFont="1" applyFill="1" applyBorder="1" applyAlignment="1" applyProtection="1">
      <alignment wrapText="1"/>
    </xf>
    <xf numFmtId="0" fontId="41" fillId="0" borderId="0" xfId="0" applyNumberFormat="1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horizontal="left" vertical="top"/>
    </xf>
    <xf numFmtId="0" fontId="23" fillId="0" borderId="0" xfId="0" applyNumberFormat="1" applyFont="1" applyFill="1" applyBorder="1" applyAlignment="1" applyProtection="1">
      <alignment vertical="top"/>
    </xf>
    <xf numFmtId="0" fontId="21" fillId="0" borderId="0" xfId="0" applyNumberFormat="1" applyFont="1" applyFill="1" applyBorder="1" applyAlignment="1" applyProtection="1">
      <alignment vertical="top" wrapText="1"/>
    </xf>
    <xf numFmtId="0" fontId="23" fillId="0" borderId="0" xfId="0" applyNumberFormat="1" applyFont="1" applyFill="1" applyBorder="1" applyAlignment="1" applyProtection="1">
      <alignment vertical="top" wrapText="1"/>
    </xf>
    <xf numFmtId="0" fontId="21" fillId="0" borderId="0" xfId="0" applyNumberFormat="1" applyFont="1" applyFill="1" applyBorder="1" applyAlignment="1" applyProtection="1">
      <alignment vertical="top"/>
    </xf>
    <xf numFmtId="0" fontId="23" fillId="0" borderId="0" xfId="0" applyNumberFormat="1" applyFont="1" applyFill="1" applyBorder="1" applyAlignment="1" applyProtection="1">
      <alignment horizontal="center" vertical="top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 vertical="top"/>
    </xf>
    <xf numFmtId="0" fontId="23" fillId="0" borderId="2" xfId="0" applyNumberFormat="1" applyFont="1" applyFill="1" applyBorder="1" applyAlignment="1" applyProtection="1">
      <alignment horizontal="left" vertical="top"/>
    </xf>
    <xf numFmtId="4" fontId="16" fillId="5" borderId="1" xfId="1" applyNumberFormat="1" applyFont="1" applyFill="1" applyBorder="1" applyAlignment="1">
      <alignment horizontal="center" vertical="center" wrapText="1"/>
    </xf>
    <xf numFmtId="4" fontId="12" fillId="2" borderId="1" xfId="1" applyNumberFormat="1" applyFont="1" applyFill="1" applyBorder="1" applyAlignment="1">
      <alignment horizontal="center" vertical="center" wrapText="1"/>
    </xf>
    <xf numFmtId="165" fontId="11" fillId="2" borderId="1" xfId="3" applyNumberFormat="1" applyFont="1" applyFill="1" applyBorder="1" applyAlignment="1">
      <alignment horizontal="center" vertical="center"/>
    </xf>
    <xf numFmtId="164" fontId="10" fillId="5" borderId="1" xfId="3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165" fontId="10" fillId="5" borderId="1" xfId="3" applyNumberFormat="1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/>
    </xf>
    <xf numFmtId="0" fontId="16" fillId="4" borderId="6" xfId="3" applyFont="1" applyFill="1" applyBorder="1" applyAlignment="1">
      <alignment horizontal="center" vertical="center" wrapText="1"/>
    </xf>
    <xf numFmtId="4" fontId="16" fillId="5" borderId="6" xfId="1" applyNumberFormat="1" applyFont="1" applyFill="1" applyBorder="1" applyAlignment="1">
      <alignment horizontal="center" vertical="center" wrapText="1"/>
    </xf>
    <xf numFmtId="4" fontId="12" fillId="2" borderId="6" xfId="1" applyNumberFormat="1" applyFont="1" applyFill="1" applyBorder="1" applyAlignment="1">
      <alignment horizontal="center" vertical="center" wrapText="1"/>
    </xf>
    <xf numFmtId="4" fontId="10" fillId="3" borderId="6" xfId="0" applyNumberFormat="1" applyFont="1" applyFill="1" applyBorder="1" applyAlignment="1">
      <alignment horizontal="center" vertical="center"/>
    </xf>
    <xf numFmtId="0" fontId="17" fillId="4" borderId="6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top" wrapText="1"/>
    </xf>
    <xf numFmtId="1" fontId="21" fillId="0" borderId="12" xfId="0" applyNumberFormat="1" applyFont="1" applyFill="1" applyBorder="1" applyAlignment="1" applyProtection="1">
      <alignment horizontal="center" vertical="top" wrapText="1"/>
    </xf>
    <xf numFmtId="0" fontId="21" fillId="0" borderId="12" xfId="0" applyNumberFormat="1" applyFont="1" applyFill="1" applyBorder="1" applyAlignment="1" applyProtection="1">
      <alignment horizontal="left" vertical="top" wrapText="1"/>
    </xf>
    <xf numFmtId="4" fontId="21" fillId="0" borderId="12" xfId="0" applyNumberFormat="1" applyFont="1" applyFill="1" applyBorder="1" applyAlignment="1" applyProtection="1">
      <alignment horizontal="right" vertical="top" wrapText="1"/>
    </xf>
    <xf numFmtId="0" fontId="34" fillId="0" borderId="12" xfId="0" applyNumberFormat="1" applyFont="1" applyFill="1" applyBorder="1" applyAlignment="1" applyProtection="1"/>
    <xf numFmtId="4" fontId="34" fillId="0" borderId="12" xfId="0" applyNumberFormat="1" applyFont="1" applyFill="1" applyBorder="1" applyAlignment="1" applyProtection="1">
      <alignment horizontal="right" vertical="top" wrapText="1"/>
    </xf>
    <xf numFmtId="4" fontId="34" fillId="0" borderId="12" xfId="0" applyNumberFormat="1" applyFont="1" applyFill="1" applyBorder="1" applyAlignment="1" applyProtection="1">
      <alignment horizontal="right" vertical="top"/>
    </xf>
    <xf numFmtId="4" fontId="10" fillId="2" borderId="12" xfId="3" applyNumberFormat="1" applyFont="1" applyFill="1" applyBorder="1" applyAlignment="1">
      <alignment horizontal="center" vertical="center"/>
    </xf>
    <xf numFmtId="0" fontId="15" fillId="0" borderId="12" xfId="0" applyNumberFormat="1" applyFont="1" applyFill="1" applyBorder="1" applyAlignment="1" applyProtection="1">
      <alignment horizontal="center" vertical="center" wrapText="1"/>
    </xf>
    <xf numFmtId="49" fontId="11" fillId="2" borderId="12" xfId="0" quotePrefix="1" applyNumberFormat="1" applyFont="1" applyFill="1" applyBorder="1" applyAlignment="1">
      <alignment horizontal="center" vertical="center"/>
    </xf>
    <xf numFmtId="4" fontId="11" fillId="2" borderId="12" xfId="0" applyNumberFormat="1" applyFont="1" applyFill="1" applyBorder="1" applyAlignment="1">
      <alignment horizontal="center" vertical="center"/>
    </xf>
    <xf numFmtId="164" fontId="11" fillId="2" borderId="12" xfId="3" applyNumberFormat="1" applyFont="1" applyFill="1" applyBorder="1" applyAlignment="1">
      <alignment horizontal="center" vertical="center"/>
    </xf>
    <xf numFmtId="165" fontId="11" fillId="2" borderId="12" xfId="0" applyNumberFormat="1" applyFont="1" applyFill="1" applyBorder="1" applyAlignment="1">
      <alignment horizontal="center" vertical="center"/>
    </xf>
    <xf numFmtId="4" fontId="43" fillId="2" borderId="12" xfId="3" applyNumberFormat="1" applyFont="1" applyFill="1" applyBorder="1" applyAlignment="1">
      <alignment horizontal="center" vertical="center"/>
    </xf>
    <xf numFmtId="4" fontId="18" fillId="2" borderId="6" xfId="89" applyNumberFormat="1" applyFont="1" applyFill="1" applyBorder="1" applyAlignment="1">
      <alignment horizontal="center" vertical="center" wrapText="1"/>
    </xf>
    <xf numFmtId="49" fontId="18" fillId="2" borderId="1" xfId="0" quotePrefix="1" applyNumberFormat="1" applyFont="1" applyFill="1" applyBorder="1" applyAlignment="1">
      <alignment horizontal="center" vertical="center"/>
    </xf>
    <xf numFmtId="4" fontId="18" fillId="0" borderId="6" xfId="44" applyNumberFormat="1" applyFont="1" applyBorder="1" applyAlignment="1">
      <alignment horizontal="center" vertical="center"/>
    </xf>
    <xf numFmtId="49" fontId="12" fillId="2" borderId="12" xfId="3" applyNumberFormat="1" applyFont="1" applyFill="1" applyBorder="1" applyAlignment="1">
      <alignment horizontal="center" vertical="center" wrapText="1"/>
    </xf>
    <xf numFmtId="49" fontId="18" fillId="2" borderId="12" xfId="3" applyNumberFormat="1" applyFont="1" applyFill="1" applyBorder="1" applyAlignment="1">
      <alignment horizontal="center" vertical="center" wrapText="1"/>
    </xf>
    <xf numFmtId="49" fontId="18" fillId="2" borderId="12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1" fillId="3" borderId="1" xfId="0" applyNumberFormat="1" applyFont="1" applyFill="1" applyBorder="1" applyAlignment="1">
      <alignment vertical="center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9" fillId="3" borderId="1" xfId="0" applyNumberFormat="1" applyFont="1" applyFill="1" applyBorder="1" applyAlignment="1" applyProtection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" fontId="18" fillId="2" borderId="15" xfId="0" applyNumberFormat="1" applyFont="1" applyFill="1" applyBorder="1" applyAlignment="1">
      <alignment horizontal="center" vertical="center"/>
    </xf>
    <xf numFmtId="49" fontId="18" fillId="0" borderId="15" xfId="0" applyNumberFormat="1" applyFont="1" applyBorder="1" applyAlignment="1">
      <alignment horizontal="center" vertical="center" wrapText="1"/>
    </xf>
    <xf numFmtId="49" fontId="18" fillId="2" borderId="15" xfId="0" quotePrefix="1" applyNumberFormat="1" applyFont="1" applyFill="1" applyBorder="1" applyAlignment="1">
      <alignment horizontal="center" vertical="center"/>
    </xf>
    <xf numFmtId="4" fontId="18" fillId="0" borderId="15" xfId="44" applyNumberFormat="1" applyFont="1" applyBorder="1" applyAlignment="1">
      <alignment horizontal="center" vertical="center"/>
    </xf>
    <xf numFmtId="165" fontId="11" fillId="2" borderId="12" xfId="3" applyNumberFormat="1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4" fontId="11" fillId="2" borderId="12" xfId="3" applyNumberFormat="1" applyFont="1" applyFill="1" applyBorder="1" applyAlignment="1">
      <alignment horizontal="center" vertical="center"/>
    </xf>
    <xf numFmtId="4" fontId="18" fillId="2" borderId="12" xfId="3" applyNumberFormat="1" applyFont="1" applyFill="1" applyBorder="1" applyAlignment="1">
      <alignment horizontal="center" vertical="center"/>
    </xf>
    <xf numFmtId="49" fontId="11" fillId="2" borderId="15" xfId="0" quotePrefix="1" applyNumberFormat="1" applyFont="1" applyFill="1" applyBorder="1" applyAlignment="1">
      <alignment horizontal="center" vertical="center"/>
    </xf>
    <xf numFmtId="4" fontId="11" fillId="2" borderId="15" xfId="0" applyNumberFormat="1" applyFont="1" applyFill="1" applyBorder="1" applyAlignment="1">
      <alignment horizontal="center" vertical="center"/>
    </xf>
    <xf numFmtId="4" fontId="11" fillId="0" borderId="15" xfId="44" applyNumberFormat="1" applyFont="1" applyBorder="1" applyAlignment="1">
      <alignment horizontal="center" vertical="center"/>
    </xf>
    <xf numFmtId="164" fontId="11" fillId="2" borderId="15" xfId="3" applyNumberFormat="1" applyFont="1" applyFill="1" applyBorder="1" applyAlignment="1">
      <alignment horizontal="center" vertical="center"/>
    </xf>
    <xf numFmtId="165" fontId="11" fillId="2" borderId="15" xfId="0" applyNumberFormat="1" applyFont="1" applyFill="1" applyBorder="1" applyAlignment="1">
      <alignment horizontal="center" vertical="center"/>
    </xf>
    <xf numFmtId="4" fontId="18" fillId="2" borderId="12" xfId="0" applyNumberFormat="1" applyFont="1" applyFill="1" applyBorder="1" applyAlignment="1">
      <alignment horizontal="center" vertical="center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170" fontId="12" fillId="2" borderId="16" xfId="226" applyNumberFormat="1" applyFont="1" applyFill="1" applyBorder="1" applyAlignment="1">
      <alignment horizontal="center" vertical="center"/>
    </xf>
    <xf numFmtId="4" fontId="18" fillId="2" borderId="3" xfId="0" applyNumberFormat="1" applyFont="1" applyFill="1" applyBorder="1" applyAlignment="1">
      <alignment horizontal="center" vertical="center"/>
    </xf>
    <xf numFmtId="4" fontId="45" fillId="0" borderId="12" xfId="17" applyNumberFormat="1" applyFont="1" applyBorder="1" applyAlignment="1">
      <alignment horizontal="center" vertical="center"/>
    </xf>
    <xf numFmtId="4" fontId="45" fillId="2" borderId="14" xfId="17" applyNumberFormat="1" applyFont="1" applyFill="1" applyBorder="1" applyAlignment="1">
      <alignment horizontal="center" vertical="center" wrapText="1"/>
    </xf>
    <xf numFmtId="4" fontId="45" fillId="2" borderId="13" xfId="17" applyNumberFormat="1" applyFont="1" applyFill="1" applyBorder="1" applyAlignment="1">
      <alignment horizontal="center" vertical="center" wrapText="1"/>
    </xf>
    <xf numFmtId="4" fontId="11" fillId="0" borderId="12" xfId="89" applyNumberFormat="1" applyFont="1" applyBorder="1" applyAlignment="1">
      <alignment horizontal="center" vertical="center" wrapText="1"/>
    </xf>
    <xf numFmtId="4" fontId="45" fillId="0" borderId="0" xfId="17" applyNumberFormat="1" applyFont="1" applyAlignment="1">
      <alignment horizontal="center" vertical="center"/>
    </xf>
    <xf numFmtId="4" fontId="11" fillId="0" borderId="16" xfId="224" applyNumberFormat="1" applyFont="1" applyBorder="1" applyAlignment="1">
      <alignment horizontal="center" vertical="center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5" fillId="7" borderId="16" xfId="92" applyFont="1" applyFill="1" applyBorder="1" applyAlignment="1">
      <alignment horizontal="center" vertical="center" wrapText="1"/>
    </xf>
    <xf numFmtId="0" fontId="0" fillId="5" borderId="16" xfId="0" applyFill="1" applyBorder="1"/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49" fillId="3" borderId="16" xfId="0" applyFont="1" applyFill="1" applyBorder="1" applyAlignment="1">
      <alignment horizontal="center"/>
    </xf>
    <xf numFmtId="164" fontId="52" fillId="2" borderId="12" xfId="3" applyNumberFormat="1" applyFont="1" applyFill="1" applyBorder="1" applyAlignment="1">
      <alignment horizontal="center" vertical="center"/>
    </xf>
    <xf numFmtId="0" fontId="25" fillId="0" borderId="0" xfId="60"/>
    <xf numFmtId="0" fontId="54" fillId="0" borderId="0" xfId="60" applyFont="1"/>
    <xf numFmtId="14" fontId="11" fillId="9" borderId="16" xfId="0" applyNumberFormat="1" applyFont="1" applyFill="1" applyBorder="1" applyAlignment="1">
      <alignment vertical="center"/>
    </xf>
    <xf numFmtId="14" fontId="11" fillId="0" borderId="0" xfId="0" applyNumberFormat="1" applyFont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/>
    <xf numFmtId="0" fontId="12" fillId="0" borderId="18" xfId="0" applyFont="1" applyBorder="1"/>
    <xf numFmtId="0" fontId="12" fillId="0" borderId="19" xfId="0" applyFont="1" applyBorder="1"/>
    <xf numFmtId="0" fontId="11" fillId="0" borderId="0" xfId="0" applyFont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0" xfId="0" applyFont="1"/>
    <xf numFmtId="0" fontId="12" fillId="0" borderId="0" xfId="0" applyFont="1"/>
    <xf numFmtId="0" fontId="12" fillId="0" borderId="23" xfId="0" applyFont="1" applyBorder="1"/>
    <xf numFmtId="14" fontId="11" fillId="9" borderId="16" xfId="0" applyNumberFormat="1" applyFont="1" applyFill="1" applyBorder="1"/>
    <xf numFmtId="14" fontId="11" fillId="0" borderId="0" xfId="0" applyNumberFormat="1" applyFont="1"/>
    <xf numFmtId="0" fontId="11" fillId="10" borderId="21" xfId="0" applyFont="1" applyFill="1" applyBorder="1" applyAlignment="1">
      <alignment vertical="center"/>
    </xf>
    <xf numFmtId="164" fontId="10" fillId="12" borderId="16" xfId="0" applyNumberFormat="1" applyFont="1" applyFill="1" applyBorder="1" applyAlignment="1">
      <alignment horizontal="right" vertical="center"/>
    </xf>
    <xf numFmtId="164" fontId="11" fillId="0" borderId="0" xfId="0" applyNumberFormat="1" applyFont="1" applyAlignment="1">
      <alignment vertical="center"/>
    </xf>
    <xf numFmtId="0" fontId="11" fillId="0" borderId="0" xfId="60" applyFont="1"/>
    <xf numFmtId="172" fontId="11" fillId="0" borderId="16" xfId="0" applyNumberFormat="1" applyFont="1" applyBorder="1" applyAlignment="1">
      <alignment vertical="center"/>
    </xf>
    <xf numFmtId="0" fontId="11" fillId="0" borderId="22" xfId="0" applyFont="1" applyBorder="1"/>
    <xf numFmtId="0" fontId="11" fillId="0" borderId="23" xfId="0" applyFont="1" applyBorder="1"/>
    <xf numFmtId="0" fontId="56" fillId="0" borderId="0" xfId="60" applyFont="1"/>
    <xf numFmtId="164" fontId="25" fillId="0" borderId="0" xfId="60" applyNumberFormat="1"/>
    <xf numFmtId="4" fontId="0" fillId="0" borderId="0" xfId="0" applyNumberFormat="1"/>
    <xf numFmtId="0" fontId="15" fillId="7" borderId="25" xfId="92" applyFont="1" applyFill="1" applyBorder="1" applyAlignment="1">
      <alignment horizontal="center" vertical="center" wrapText="1"/>
    </xf>
    <xf numFmtId="0" fontId="15" fillId="7" borderId="16" xfId="92" applyFont="1" applyFill="1" applyBorder="1" applyAlignment="1">
      <alignment horizontal="center" vertical="top" wrapText="1"/>
    </xf>
    <xf numFmtId="49" fontId="11" fillId="2" borderId="25" xfId="0" applyNumberFormat="1" applyFont="1" applyFill="1" applyBorder="1" applyAlignment="1">
      <alignment horizontal="center" vertical="center"/>
    </xf>
    <xf numFmtId="0" fontId="15" fillId="0" borderId="25" xfId="0" applyNumberFormat="1" applyFont="1" applyFill="1" applyBorder="1" applyAlignment="1" applyProtection="1">
      <alignment horizontal="center" vertical="center" wrapText="1"/>
    </xf>
    <xf numFmtId="49" fontId="11" fillId="7" borderId="16" xfId="0" applyNumberFormat="1" applyFont="1" applyFill="1" applyBorder="1" applyAlignment="1">
      <alignment vertical="center"/>
    </xf>
    <xf numFmtId="0" fontId="15" fillId="7" borderId="16" xfId="0" applyNumberFormat="1" applyFont="1" applyFill="1" applyBorder="1" applyAlignment="1" applyProtection="1">
      <alignment horizontal="center" vertical="center" wrapText="1"/>
    </xf>
    <xf numFmtId="0" fontId="19" fillId="7" borderId="16" xfId="0" applyNumberFormat="1" applyFont="1" applyFill="1" applyBorder="1" applyAlignment="1" applyProtection="1">
      <alignment horizontal="center" vertical="center" wrapText="1"/>
    </xf>
    <xf numFmtId="0" fontId="12" fillId="5" borderId="16" xfId="0" applyFont="1" applyFill="1" applyBorder="1"/>
    <xf numFmtId="4" fontId="16" fillId="5" borderId="16" xfId="0" applyNumberFormat="1" applyFont="1" applyFill="1" applyBorder="1" applyAlignment="1">
      <alignment horizontal="center" vertical="center"/>
    </xf>
    <xf numFmtId="0" fontId="16" fillId="5" borderId="16" xfId="0" applyFont="1" applyFill="1" applyBorder="1"/>
    <xf numFmtId="4" fontId="12" fillId="0" borderId="16" xfId="0" applyNumberFormat="1" applyFont="1" applyBorder="1" applyAlignment="1">
      <alignment horizontal="center" vertical="center"/>
    </xf>
    <xf numFmtId="0" fontId="12" fillId="0" borderId="16" xfId="0" applyFont="1" applyBorder="1"/>
    <xf numFmtId="0" fontId="12" fillId="0" borderId="16" xfId="0" applyFont="1" applyBorder="1" applyAlignment="1">
      <alignment horizontal="center" vertical="center"/>
    </xf>
    <xf numFmtId="4" fontId="16" fillId="5" borderId="16" xfId="0" applyNumberFormat="1" applyFont="1" applyFill="1" applyBorder="1" applyAlignment="1">
      <alignment horizontal="center"/>
    </xf>
    <xf numFmtId="0" fontId="57" fillId="0" borderId="16" xfId="0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0" fontId="18" fillId="0" borderId="16" xfId="0" applyFont="1" applyBorder="1"/>
    <xf numFmtId="4" fontId="12" fillId="0" borderId="16" xfId="0" applyNumberFormat="1" applyFont="1" applyBorder="1" applyAlignment="1">
      <alignment horizontal="center"/>
    </xf>
    <xf numFmtId="4" fontId="11" fillId="0" borderId="16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7" borderId="16" xfId="0" applyFont="1" applyFill="1" applyBorder="1"/>
    <xf numFmtId="4" fontId="16" fillId="7" borderId="16" xfId="0" applyNumberFormat="1" applyFont="1" applyFill="1" applyBorder="1" applyAlignment="1">
      <alignment horizontal="center" vertical="center"/>
    </xf>
    <xf numFmtId="0" fontId="58" fillId="0" borderId="0" xfId="253"/>
    <xf numFmtId="0" fontId="16" fillId="0" borderId="0" xfId="253" applyFont="1" applyAlignment="1">
      <alignment horizontal="center" vertical="center" wrapText="1"/>
    </xf>
    <xf numFmtId="0" fontId="16" fillId="0" borderId="0" xfId="253" applyFont="1" applyAlignment="1">
      <alignment vertical="center"/>
    </xf>
    <xf numFmtId="172" fontId="10" fillId="0" borderId="0" xfId="253" applyNumberFormat="1" applyFont="1" applyAlignment="1">
      <alignment horizontal="center" vertical="center"/>
    </xf>
    <xf numFmtId="0" fontId="17" fillId="0" borderId="0" xfId="253" applyFont="1" applyAlignment="1">
      <alignment vertical="center"/>
    </xf>
    <xf numFmtId="0" fontId="11" fillId="0" borderId="0" xfId="253" applyFont="1"/>
    <xf numFmtId="14" fontId="17" fillId="2" borderId="0" xfId="253" applyNumberFormat="1" applyFont="1" applyFill="1" applyAlignment="1">
      <alignment horizontal="center" vertical="center"/>
    </xf>
    <xf numFmtId="0" fontId="12" fillId="0" borderId="0" xfId="253" applyFont="1"/>
    <xf numFmtId="0" fontId="59" fillId="0" borderId="0" xfId="253" applyFont="1"/>
    <xf numFmtId="0" fontId="11" fillId="0" borderId="0" xfId="107" applyFont="1" applyAlignment="1">
      <alignment vertical="top" wrapText="1"/>
    </xf>
    <xf numFmtId="0" fontId="12" fillId="0" borderId="0" xfId="8" applyFont="1"/>
    <xf numFmtId="0" fontId="58" fillId="0" borderId="0" xfId="253" applyAlignment="1">
      <alignment horizontal="center"/>
    </xf>
    <xf numFmtId="4" fontId="58" fillId="0" borderId="0" xfId="253" applyNumberFormat="1"/>
    <xf numFmtId="49" fontId="12" fillId="0" borderId="16" xfId="254" applyNumberFormat="1" applyFont="1" applyBorder="1" applyAlignment="1">
      <alignment horizontal="center" vertical="center" wrapText="1"/>
    </xf>
    <xf numFmtId="0" fontId="12" fillId="0" borderId="16" xfId="254" applyFont="1" applyBorder="1" applyAlignment="1">
      <alignment horizontal="left" vertical="center" wrapText="1"/>
    </xf>
    <xf numFmtId="4" fontId="12" fillId="0" borderId="16" xfId="253" applyNumberFormat="1" applyFont="1" applyBorder="1" applyAlignment="1">
      <alignment horizontal="center" vertical="center" wrapText="1"/>
    </xf>
    <xf numFmtId="4" fontId="11" fillId="0" borderId="16" xfId="253" applyNumberFormat="1" applyFont="1" applyBorder="1" applyAlignment="1">
      <alignment horizontal="center" vertical="center"/>
    </xf>
    <xf numFmtId="49" fontId="12" fillId="0" borderId="16" xfId="253" applyNumberFormat="1" applyFont="1" applyBorder="1" applyAlignment="1">
      <alignment horizontal="center" vertical="center" wrapText="1"/>
    </xf>
    <xf numFmtId="0" fontId="12" fillId="0" borderId="16" xfId="253" applyFont="1" applyBorder="1" applyAlignment="1">
      <alignment horizontal="left" vertical="center" wrapText="1"/>
    </xf>
    <xf numFmtId="0" fontId="12" fillId="7" borderId="16" xfId="253" applyFont="1" applyFill="1" applyBorder="1" applyAlignment="1">
      <alignment horizontal="center" vertical="center" wrapText="1"/>
    </xf>
    <xf numFmtId="0" fontId="11" fillId="7" borderId="16" xfId="253" applyFont="1" applyFill="1" applyBorder="1" applyAlignment="1">
      <alignment horizontal="center"/>
    </xf>
    <xf numFmtId="0" fontId="10" fillId="0" borderId="0" xfId="255" applyFont="1"/>
    <xf numFmtId="0" fontId="20" fillId="0" borderId="0" xfId="255"/>
    <xf numFmtId="0" fontId="8" fillId="0" borderId="0" xfId="8"/>
    <xf numFmtId="0" fontId="11" fillId="0" borderId="0" xfId="255" applyFont="1"/>
    <xf numFmtId="4" fontId="10" fillId="0" borderId="0" xfId="255" applyNumberFormat="1" applyFont="1" applyAlignment="1">
      <alignment horizontal="center" vertical="center" wrapText="1"/>
    </xf>
    <xf numFmtId="0" fontId="17" fillId="0" borderId="0" xfId="255" applyFont="1"/>
    <xf numFmtId="0" fontId="17" fillId="0" borderId="0" xfId="255" applyFont="1" applyAlignment="1">
      <alignment vertical="center" wrapText="1"/>
    </xf>
    <xf numFmtId="0" fontId="11" fillId="0" borderId="0" xfId="255" applyFont="1" applyAlignment="1">
      <alignment horizontal="center"/>
    </xf>
    <xf numFmtId="0" fontId="11" fillId="0" borderId="0" xfId="255" applyFont="1" applyAlignment="1">
      <alignment horizontal="center" vertical="center"/>
    </xf>
    <xf numFmtId="0" fontId="13" fillId="0" borderId="0" xfId="255" applyFo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49" fontId="11" fillId="0" borderId="0" xfId="255" applyNumberFormat="1" applyFont="1"/>
    <xf numFmtId="0" fontId="11" fillId="0" borderId="0" xfId="107" applyFont="1"/>
    <xf numFmtId="0" fontId="15" fillId="2" borderId="0" xfId="17" applyFont="1" applyFill="1" applyAlignment="1">
      <alignment vertical="center" wrapText="1"/>
    </xf>
    <xf numFmtId="0" fontId="47" fillId="0" borderId="0" xfId="255" applyFont="1"/>
    <xf numFmtId="0" fontId="13" fillId="0" borderId="0" xfId="9" applyFont="1" applyAlignment="1">
      <alignment horizontal="left" vertical="center" wrapText="1"/>
    </xf>
    <xf numFmtId="0" fontId="16" fillId="7" borderId="16" xfId="253" applyFont="1" applyFill="1" applyBorder="1" applyAlignment="1">
      <alignment vertical="center" wrapText="1"/>
    </xf>
    <xf numFmtId="4" fontId="16" fillId="7" borderId="16" xfId="253" applyNumberFormat="1" applyFont="1" applyFill="1" applyBorder="1" applyAlignment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2" fillId="0" borderId="0" xfId="253" applyFont="1" applyAlignment="1">
      <alignment vertical="center" wrapText="1"/>
    </xf>
    <xf numFmtId="0" fontId="11" fillId="0" borderId="0" xfId="253" applyFont="1" applyAlignment="1">
      <alignment vertical="center" wrapText="1"/>
    </xf>
    <xf numFmtId="0" fontId="10" fillId="0" borderId="0" xfId="253" applyFont="1"/>
    <xf numFmtId="4" fontId="10" fillId="0" borderId="0" xfId="253" applyNumberFormat="1" applyFont="1" applyAlignment="1">
      <alignment horizontal="right"/>
    </xf>
    <xf numFmtId="0" fontId="12" fillId="0" borderId="0" xfId="8" applyFont="1" applyAlignment="1">
      <alignment horizontal="right"/>
    </xf>
    <xf numFmtId="0" fontId="12" fillId="0" borderId="0" xfId="8" applyFont="1" applyAlignment="1">
      <alignment vertical="center"/>
    </xf>
    <xf numFmtId="0" fontId="16" fillId="0" borderId="0" xfId="253" applyFont="1" applyAlignment="1">
      <alignment wrapText="1"/>
    </xf>
    <xf numFmtId="0" fontId="21" fillId="7" borderId="16" xfId="0" applyNumberFormat="1" applyFont="1" applyFill="1" applyBorder="1" applyAlignment="1" applyProtection="1"/>
    <xf numFmtId="0" fontId="21" fillId="7" borderId="16" xfId="0" applyNumberFormat="1" applyFont="1" applyFill="1" applyBorder="1" applyAlignment="1" applyProtection="1">
      <alignment horizontal="center"/>
    </xf>
    <xf numFmtId="0" fontId="21" fillId="13" borderId="16" xfId="0" applyNumberFormat="1" applyFont="1" applyFill="1" applyBorder="1" applyAlignment="1" applyProtection="1"/>
    <xf numFmtId="4" fontId="21" fillId="13" borderId="16" xfId="0" applyNumberFormat="1" applyFont="1" applyFill="1" applyBorder="1" applyAlignment="1" applyProtection="1"/>
    <xf numFmtId="4" fontId="21" fillId="13" borderId="16" xfId="0" applyNumberFormat="1" applyFont="1" applyFill="1" applyBorder="1" applyAlignment="1" applyProtection="1">
      <alignment horizontal="center"/>
    </xf>
    <xf numFmtId="0" fontId="21" fillId="14" borderId="16" xfId="0" applyNumberFormat="1" applyFont="1" applyFill="1" applyBorder="1" applyAlignment="1" applyProtection="1"/>
    <xf numFmtId="4" fontId="21" fillId="14" borderId="16" xfId="0" applyNumberFormat="1" applyFont="1" applyFill="1" applyBorder="1" applyAlignment="1" applyProtection="1"/>
    <xf numFmtId="4" fontId="21" fillId="14" borderId="16" xfId="0" applyNumberFormat="1" applyFont="1" applyFill="1" applyBorder="1" applyAlignment="1" applyProtection="1">
      <alignment horizontal="center"/>
    </xf>
    <xf numFmtId="4" fontId="21" fillId="7" borderId="16" xfId="0" applyNumberFormat="1" applyFont="1" applyFill="1" applyBorder="1" applyAlignment="1" applyProtection="1"/>
    <xf numFmtId="4" fontId="21" fillId="7" borderId="16" xfId="0" applyNumberFormat="1" applyFont="1" applyFill="1" applyBorder="1" applyAlignment="1" applyProtection="1">
      <alignment horizontal="center"/>
    </xf>
    <xf numFmtId="0" fontId="0" fillId="0" borderId="0" xfId="0"/>
    <xf numFmtId="2" fontId="0" fillId="0" borderId="0" xfId="0" applyNumberFormat="1"/>
    <xf numFmtId="0" fontId="60" fillId="0" borderId="0" xfId="0" applyFont="1"/>
    <xf numFmtId="4" fontId="60" fillId="0" borderId="0" xfId="0" applyNumberFormat="1" applyFont="1"/>
    <xf numFmtId="10" fontId="60" fillId="0" borderId="0" xfId="0" applyNumberFormat="1" applyFont="1"/>
    <xf numFmtId="14" fontId="11" fillId="9" borderId="16" xfId="0" applyNumberFormat="1" applyFont="1" applyFill="1" applyBorder="1" applyAlignment="1">
      <alignment horizontal="right" vertical="center"/>
    </xf>
    <xf numFmtId="0" fontId="11" fillId="0" borderId="0" xfId="0" applyFont="1" applyBorder="1"/>
    <xf numFmtId="0" fontId="12" fillId="0" borderId="0" xfId="0" applyFont="1" applyBorder="1" applyAlignment="1">
      <alignment horizontal="justify" vertical="center"/>
    </xf>
    <xf numFmtId="164" fontId="11" fillId="0" borderId="0" xfId="0" applyNumberFormat="1" applyFont="1"/>
    <xf numFmtId="14" fontId="76" fillId="0" borderId="22" xfId="0" applyNumberFormat="1" applyFont="1" applyFill="1" applyBorder="1"/>
    <xf numFmtId="0" fontId="12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14" fontId="11" fillId="9" borderId="66" xfId="0" applyNumberFormat="1" applyFont="1" applyFill="1" applyBorder="1"/>
    <xf numFmtId="172" fontId="11" fillId="0" borderId="66" xfId="0" applyNumberFormat="1" applyFont="1" applyBorder="1"/>
    <xf numFmtId="2" fontId="11" fillId="0" borderId="66" xfId="0" applyNumberFormat="1" applyFont="1" applyBorder="1"/>
    <xf numFmtId="10" fontId="11" fillId="0" borderId="66" xfId="0" applyNumberFormat="1" applyFont="1" applyBorder="1" applyAlignment="1">
      <alignment vertical="center"/>
    </xf>
    <xf numFmtId="10" fontId="11" fillId="10" borderId="65" xfId="0" applyNumberFormat="1" applyFont="1" applyFill="1" applyBorder="1" applyAlignment="1">
      <alignment vertical="center"/>
    </xf>
    <xf numFmtId="164" fontId="11" fillId="11" borderId="66" xfId="0" applyNumberFormat="1" applyFont="1" applyFill="1" applyBorder="1" applyAlignment="1">
      <alignment vertical="center"/>
    </xf>
    <xf numFmtId="0" fontId="11" fillId="10" borderId="66" xfId="0" applyFont="1" applyFill="1" applyBorder="1" applyAlignment="1">
      <alignment vertical="center"/>
    </xf>
    <xf numFmtId="164" fontId="11" fillId="9" borderId="66" xfId="0" applyNumberFormat="1" applyFont="1" applyFill="1" applyBorder="1"/>
    <xf numFmtId="173" fontId="11" fillId="0" borderId="0" xfId="0" applyNumberFormat="1" applyFont="1"/>
    <xf numFmtId="0" fontId="11" fillId="1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vertical="center"/>
    </xf>
    <xf numFmtId="14" fontId="12" fillId="9" borderId="66" xfId="9" applyNumberFormat="1" applyFont="1" applyFill="1" applyBorder="1"/>
    <xf numFmtId="14" fontId="76" fillId="0" borderId="5" xfId="9" applyNumberFormat="1" applyFont="1" applyFill="1" applyBorder="1"/>
    <xf numFmtId="0" fontId="12" fillId="0" borderId="0" xfId="9" applyFont="1"/>
    <xf numFmtId="172" fontId="12" fillId="0" borderId="66" xfId="9" applyNumberFormat="1" applyFont="1" applyBorder="1"/>
    <xf numFmtId="0" fontId="12" fillId="0" borderId="0" xfId="0" applyFont="1" applyBorder="1" applyAlignment="1">
      <alignment horizontal="center" vertical="center" wrapText="1"/>
    </xf>
    <xf numFmtId="2" fontId="12" fillId="0" borderId="66" xfId="9" applyNumberFormat="1" applyFont="1" applyBorder="1"/>
    <xf numFmtId="0" fontId="11" fillId="10" borderId="66" xfId="9" applyFont="1" applyFill="1" applyBorder="1" applyAlignment="1">
      <alignment vertical="center"/>
    </xf>
    <xf numFmtId="164" fontId="12" fillId="9" borderId="66" xfId="9" applyNumberFormat="1" applyFont="1" applyFill="1" applyBorder="1"/>
    <xf numFmtId="0" fontId="12" fillId="0" borderId="0" xfId="9" applyFont="1" applyBorder="1"/>
    <xf numFmtId="14" fontId="11" fillId="9" borderId="65" xfId="0" applyNumberFormat="1" applyFont="1" applyFill="1" applyBorder="1" applyAlignment="1">
      <alignment vertical="center"/>
    </xf>
    <xf numFmtId="14" fontId="11" fillId="9" borderId="65" xfId="0" applyNumberFormat="1" applyFont="1" applyFill="1" applyBorder="1"/>
    <xf numFmtId="0" fontId="76" fillId="0" borderId="0" xfId="0" applyFont="1"/>
    <xf numFmtId="0" fontId="20" fillId="0" borderId="0" xfId="89"/>
    <xf numFmtId="0" fontId="51" fillId="8" borderId="80" xfId="89" applyFont="1" applyFill="1" applyBorder="1" applyAlignment="1">
      <alignment horizontal="left" vertical="top" wrapText="1"/>
    </xf>
    <xf numFmtId="171" fontId="20" fillId="0" borderId="0" xfId="89" applyNumberFormat="1" applyAlignment="1">
      <alignment horizontal="right" vertical="top"/>
    </xf>
    <xf numFmtId="3" fontId="20" fillId="0" borderId="80" xfId="89" applyNumberFormat="1" applyBorder="1" applyAlignment="1">
      <alignment horizontal="right" vertical="top"/>
    </xf>
    <xf numFmtId="0" fontId="50" fillId="0" borderId="29" xfId="89" applyFont="1" applyBorder="1"/>
    <xf numFmtId="0" fontId="50" fillId="0" borderId="39" xfId="89" applyFont="1" applyBorder="1"/>
    <xf numFmtId="0" fontId="50" fillId="9" borderId="82" xfId="89" applyFont="1" applyFill="1" applyBorder="1"/>
    <xf numFmtId="0" fontId="77" fillId="8" borderId="80" xfId="89" applyFont="1" applyFill="1" applyBorder="1" applyAlignment="1">
      <alignment horizontal="left" vertical="top" wrapText="1"/>
    </xf>
    <xf numFmtId="171" fontId="50" fillId="0" borderId="0" xfId="89" applyNumberFormat="1" applyFont="1" applyAlignment="1">
      <alignment horizontal="right" vertical="top"/>
    </xf>
    <xf numFmtId="171" fontId="50" fillId="9" borderId="0" xfId="89" applyNumberFormat="1" applyFont="1" applyFill="1"/>
    <xf numFmtId="49" fontId="61" fillId="15" borderId="69" xfId="260" applyNumberFormat="1" applyFont="1" applyFill="1" applyBorder="1" applyAlignment="1">
      <alignment vertical="center" wrapText="1"/>
    </xf>
    <xf numFmtId="0" fontId="1" fillId="0" borderId="0" xfId="260"/>
    <xf numFmtId="0" fontId="66" fillId="16" borderId="67" xfId="260" applyFont="1" applyFill="1" applyBorder="1" applyAlignment="1">
      <alignment horizontal="center" vertical="center"/>
    </xf>
    <xf numFmtId="0" fontId="66" fillId="16" borderId="81" xfId="260" applyFont="1" applyFill="1" applyBorder="1" applyAlignment="1">
      <alignment horizontal="center" vertical="center"/>
    </xf>
    <xf numFmtId="0" fontId="66" fillId="16" borderId="84" xfId="260" applyFont="1" applyFill="1" applyBorder="1" applyAlignment="1">
      <alignment horizontal="center" vertical="center"/>
    </xf>
    <xf numFmtId="0" fontId="66" fillId="16" borderId="83" xfId="260" applyFont="1" applyFill="1" applyBorder="1" applyAlignment="1">
      <alignment horizontal="center" vertical="center"/>
    </xf>
    <xf numFmtId="0" fontId="66" fillId="16" borderId="75" xfId="260" applyFont="1" applyFill="1" applyBorder="1" applyAlignment="1">
      <alignment horizontal="center" vertical="center"/>
    </xf>
    <xf numFmtId="49" fontId="62" fillId="15" borderId="37" xfId="260" applyNumberFormat="1" applyFont="1" applyFill="1" applyBorder="1" applyAlignment="1">
      <alignment horizontal="center" vertical="center" wrapText="1"/>
    </xf>
    <xf numFmtId="49" fontId="62" fillId="15" borderId="49" xfId="260" applyNumberFormat="1" applyFont="1" applyFill="1" applyBorder="1" applyAlignment="1">
      <alignment horizontal="center" vertical="center" wrapText="1"/>
    </xf>
    <xf numFmtId="0" fontId="62" fillId="15" borderId="50" xfId="260" applyFont="1" applyFill="1" applyBorder="1" applyAlignment="1">
      <alignment horizontal="center" vertical="center" wrapText="1"/>
    </xf>
    <xf numFmtId="0" fontId="62" fillId="15" borderId="81" xfId="260" applyFont="1" applyFill="1" applyBorder="1" applyAlignment="1">
      <alignment vertical="center" wrapText="1"/>
    </xf>
    <xf numFmtId="14" fontId="62" fillId="15" borderId="76" xfId="260" applyNumberFormat="1" applyFont="1" applyFill="1" applyBorder="1" applyAlignment="1">
      <alignment horizontal="center" vertical="center" wrapText="1"/>
    </xf>
    <xf numFmtId="14" fontId="62" fillId="15" borderId="51" xfId="260" applyNumberFormat="1" applyFont="1" applyFill="1" applyBorder="1" applyAlignment="1">
      <alignment horizontal="center" vertical="center" wrapText="1"/>
    </xf>
    <xf numFmtId="14" fontId="62" fillId="15" borderId="85" xfId="260" applyNumberFormat="1" applyFont="1" applyFill="1" applyBorder="1" applyAlignment="1">
      <alignment horizontal="center" vertical="center" wrapText="1"/>
    </xf>
    <xf numFmtId="0" fontId="64" fillId="15" borderId="52" xfId="260" applyFont="1" applyFill="1" applyBorder="1" applyAlignment="1">
      <alignment horizontal="center" vertical="center"/>
    </xf>
    <xf numFmtId="0" fontId="64" fillId="15" borderId="8" xfId="260" applyFont="1" applyFill="1" applyBorder="1" applyAlignment="1">
      <alignment horizontal="center" vertical="center"/>
    </xf>
    <xf numFmtId="0" fontId="64" fillId="15" borderId="53" xfId="260" applyFont="1" applyFill="1" applyBorder="1" applyAlignment="1">
      <alignment horizontal="center" vertical="center"/>
    </xf>
    <xf numFmtId="0" fontId="64" fillId="15" borderId="9" xfId="260" applyFont="1" applyFill="1" applyBorder="1" applyAlignment="1">
      <alignment horizontal="center" vertical="center"/>
    </xf>
    <xf numFmtId="49" fontId="67" fillId="12" borderId="37" xfId="260" applyNumberFormat="1" applyFont="1" applyFill="1" applyBorder="1" applyAlignment="1">
      <alignment horizontal="center" vertical="center" wrapText="1"/>
    </xf>
    <xf numFmtId="49" fontId="67" fillId="2" borderId="49" xfId="260" applyNumberFormat="1" applyFont="1" applyFill="1" applyBorder="1" applyAlignment="1">
      <alignment horizontal="center" vertical="center" wrapText="1"/>
    </xf>
    <xf numFmtId="0" fontId="68" fillId="12" borderId="50" xfId="260" applyFont="1" applyFill="1" applyBorder="1" applyAlignment="1">
      <alignment horizontal="center" vertical="center" wrapText="1"/>
    </xf>
    <xf numFmtId="0" fontId="66" fillId="12" borderId="54" xfId="260" applyFont="1" applyFill="1" applyBorder="1" applyAlignment="1">
      <alignment horizontal="center" vertical="center" wrapText="1"/>
    </xf>
    <xf numFmtId="14" fontId="69" fillId="12" borderId="55" xfId="260" applyNumberFormat="1" applyFont="1" applyFill="1" applyBorder="1" applyAlignment="1">
      <alignment horizontal="center" vertical="center" wrapText="1"/>
    </xf>
    <xf numFmtId="14" fontId="67" fillId="12" borderId="85" xfId="260" applyNumberFormat="1" applyFont="1" applyFill="1" applyBorder="1" applyAlignment="1">
      <alignment horizontal="center" vertical="center" wrapText="1"/>
    </xf>
    <xf numFmtId="0" fontId="66" fillId="12" borderId="67" xfId="260" applyFont="1" applyFill="1" applyBorder="1" applyAlignment="1">
      <alignment horizontal="center" vertical="center"/>
    </xf>
    <xf numFmtId="0" fontId="66" fillId="12" borderId="81" xfId="260" applyFont="1" applyFill="1" applyBorder="1" applyAlignment="1">
      <alignment horizontal="center" vertical="center"/>
    </xf>
    <xf numFmtId="0" fontId="66" fillId="12" borderId="84" xfId="260" applyFont="1" applyFill="1" applyBorder="1" applyAlignment="1">
      <alignment horizontal="center" vertical="center"/>
    </xf>
    <xf numFmtId="0" fontId="66" fillId="12" borderId="83" xfId="260" applyFont="1" applyFill="1" applyBorder="1" applyAlignment="1">
      <alignment horizontal="center" vertical="center"/>
    </xf>
    <xf numFmtId="49" fontId="67" fillId="0" borderId="49" xfId="260" applyNumberFormat="1" applyFont="1" applyFill="1" applyBorder="1" applyAlignment="1">
      <alignment horizontal="center" vertical="center" wrapText="1"/>
    </xf>
    <xf numFmtId="14" fontId="69" fillId="12" borderId="40" xfId="260" applyNumberFormat="1" applyFont="1" applyFill="1" applyBorder="1" applyAlignment="1">
      <alignment horizontal="center" vertical="center" wrapText="1"/>
    </xf>
    <xf numFmtId="14" fontId="67" fillId="12" borderId="86" xfId="260" applyNumberFormat="1" applyFont="1" applyFill="1" applyBorder="1" applyAlignment="1">
      <alignment horizontal="center" vertical="center" wrapText="1"/>
    </xf>
    <xf numFmtId="0" fontId="66" fillId="0" borderId="67" xfId="260" applyFont="1" applyFill="1" applyBorder="1" applyAlignment="1">
      <alignment horizontal="center" vertical="center"/>
    </xf>
    <xf numFmtId="0" fontId="66" fillId="0" borderId="81" xfId="260" applyFont="1" applyFill="1" applyBorder="1" applyAlignment="1">
      <alignment horizontal="center" vertical="center"/>
    </xf>
    <xf numFmtId="0" fontId="66" fillId="0" borderId="84" xfId="260" applyFont="1" applyFill="1" applyBorder="1" applyAlignment="1">
      <alignment horizontal="center" vertical="center"/>
    </xf>
    <xf numFmtId="0" fontId="66" fillId="0" borderId="83" xfId="260" applyFont="1" applyFill="1" applyBorder="1" applyAlignment="1">
      <alignment horizontal="center" vertical="center"/>
    </xf>
    <xf numFmtId="49" fontId="67" fillId="0" borderId="37" xfId="260" applyNumberFormat="1" applyFont="1" applyFill="1" applyBorder="1" applyAlignment="1">
      <alignment horizontal="center" vertical="center" wrapText="1"/>
    </xf>
    <xf numFmtId="49" fontId="67" fillId="0" borderId="56" xfId="260" applyNumberFormat="1" applyFont="1" applyFill="1" applyBorder="1" applyAlignment="1">
      <alignment horizontal="center" vertical="center" wrapText="1"/>
    </xf>
    <xf numFmtId="0" fontId="66" fillId="12" borderId="54" xfId="260" applyFont="1" applyFill="1" applyBorder="1" applyAlignment="1">
      <alignment horizontal="left" vertical="center" wrapText="1"/>
    </xf>
    <xf numFmtId="0" fontId="66" fillId="2" borderId="81" xfId="260" applyFont="1" applyFill="1" applyBorder="1" applyAlignment="1">
      <alignment horizontal="center" vertical="center"/>
    </xf>
    <xf numFmtId="0" fontId="66" fillId="0" borderId="85" xfId="260" applyFont="1" applyFill="1" applyBorder="1" applyAlignment="1">
      <alignment horizontal="center" vertical="center"/>
    </xf>
    <xf numFmtId="49" fontId="67" fillId="0" borderId="77" xfId="260" applyNumberFormat="1" applyFont="1" applyFill="1" applyBorder="1" applyAlignment="1">
      <alignment horizontal="center" vertical="center" wrapText="1"/>
    </xf>
    <xf numFmtId="49" fontId="67" fillId="0" borderId="57" xfId="260" applyNumberFormat="1" applyFont="1" applyFill="1" applyBorder="1" applyAlignment="1">
      <alignment horizontal="center" vertical="center" wrapText="1"/>
    </xf>
    <xf numFmtId="49" fontId="67" fillId="0" borderId="81" xfId="260" applyNumberFormat="1" applyFont="1" applyFill="1" applyBorder="1" applyAlignment="1">
      <alignment horizontal="center" vertical="center" wrapText="1"/>
    </xf>
    <xf numFmtId="0" fontId="66" fillId="12" borderId="56" xfId="260" applyFont="1" applyFill="1" applyBorder="1" applyAlignment="1">
      <alignment horizontal="left" vertical="center" wrapText="1"/>
    </xf>
    <xf numFmtId="49" fontId="67" fillId="0" borderId="41" xfId="260" applyNumberFormat="1" applyFont="1" applyFill="1" applyBorder="1" applyAlignment="1">
      <alignment horizontal="center" vertical="center" wrapText="1"/>
    </xf>
    <xf numFmtId="49" fontId="67" fillId="0" borderId="43" xfId="260" applyNumberFormat="1" applyFont="1" applyFill="1" applyBorder="1" applyAlignment="1">
      <alignment horizontal="center" vertical="center" wrapText="1"/>
    </xf>
    <xf numFmtId="0" fontId="66" fillId="12" borderId="68" xfId="260" applyFont="1" applyFill="1" applyBorder="1" applyAlignment="1">
      <alignment horizontal="center" vertical="center" wrapText="1"/>
    </xf>
    <xf numFmtId="0" fontId="66" fillId="12" borderId="50" xfId="260" applyFont="1" applyFill="1" applyBorder="1" applyAlignment="1">
      <alignment horizontal="center" vertical="center" wrapText="1"/>
    </xf>
    <xf numFmtId="0" fontId="66" fillId="12" borderId="81" xfId="260" applyFont="1" applyFill="1" applyBorder="1" applyAlignment="1">
      <alignment horizontal="center" vertical="center" wrapText="1"/>
    </xf>
    <xf numFmtId="0" fontId="66" fillId="18" borderId="54" xfId="260" applyFont="1" applyFill="1" applyBorder="1" applyAlignment="1">
      <alignment horizontal="left" vertical="center" wrapText="1"/>
    </xf>
    <xf numFmtId="0" fontId="66" fillId="18" borderId="50" xfId="260" applyFont="1" applyFill="1" applyBorder="1" applyAlignment="1">
      <alignment horizontal="center" vertical="center" wrapText="1"/>
    </xf>
    <xf numFmtId="0" fontId="66" fillId="18" borderId="81" xfId="260" applyFont="1" applyFill="1" applyBorder="1" applyAlignment="1">
      <alignment horizontal="center" vertical="center" wrapText="1"/>
    </xf>
    <xf numFmtId="14" fontId="69" fillId="18" borderId="55" xfId="260" applyNumberFormat="1" applyFont="1" applyFill="1" applyBorder="1" applyAlignment="1">
      <alignment horizontal="center" vertical="center" wrapText="1"/>
    </xf>
    <xf numFmtId="0" fontId="66" fillId="18" borderId="81" xfId="260" applyFont="1" applyFill="1" applyBorder="1" applyAlignment="1">
      <alignment horizontal="center" vertical="center"/>
    </xf>
    <xf numFmtId="49" fontId="67" fillId="17" borderId="37" xfId="260" applyNumberFormat="1" applyFont="1" applyFill="1" applyBorder="1" applyAlignment="1">
      <alignment horizontal="center" vertical="center" wrapText="1"/>
    </xf>
    <xf numFmtId="0" fontId="69" fillId="18" borderId="50" xfId="260" applyFont="1" applyFill="1" applyBorder="1" applyAlignment="1">
      <alignment horizontal="left" vertical="center" wrapText="1"/>
    </xf>
    <xf numFmtId="0" fontId="68" fillId="18" borderId="50" xfId="260" applyFont="1" applyFill="1" applyBorder="1" applyAlignment="1">
      <alignment horizontal="center" vertical="center" wrapText="1"/>
    </xf>
    <xf numFmtId="0" fontId="68" fillId="18" borderId="44" xfId="260" applyFont="1" applyFill="1" applyBorder="1" applyAlignment="1">
      <alignment horizontal="center" vertical="center" wrapText="1"/>
    </xf>
    <xf numFmtId="14" fontId="69" fillId="18" borderId="81" xfId="260" applyNumberFormat="1" applyFont="1" applyFill="1" applyBorder="1" applyAlignment="1">
      <alignment horizontal="center" vertical="center" wrapText="1"/>
    </xf>
    <xf numFmtId="14" fontId="67" fillId="2" borderId="86" xfId="260" applyNumberFormat="1" applyFont="1" applyFill="1" applyBorder="1" applyAlignment="1">
      <alignment horizontal="center" vertical="center" wrapText="1"/>
    </xf>
    <xf numFmtId="0" fontId="66" fillId="18" borderId="85" xfId="260" applyFont="1" applyFill="1" applyBorder="1" applyAlignment="1">
      <alignment horizontal="center" vertical="center"/>
    </xf>
    <xf numFmtId="0" fontId="66" fillId="2" borderId="67" xfId="260" applyFont="1" applyFill="1" applyBorder="1" applyAlignment="1">
      <alignment horizontal="center" vertical="center"/>
    </xf>
    <xf numFmtId="0" fontId="66" fillId="2" borderId="84" xfId="260" applyFont="1" applyFill="1" applyBorder="1" applyAlignment="1">
      <alignment horizontal="center" vertical="center"/>
    </xf>
    <xf numFmtId="0" fontId="66" fillId="2" borderId="83" xfId="260" applyFont="1" applyFill="1" applyBorder="1" applyAlignment="1">
      <alignment horizontal="center" vertical="center"/>
    </xf>
    <xf numFmtId="0" fontId="66" fillId="2" borderId="85" xfId="260" applyFont="1" applyFill="1" applyBorder="1" applyAlignment="1">
      <alignment horizontal="center" vertical="center"/>
    </xf>
    <xf numFmtId="49" fontId="67" fillId="17" borderId="0" xfId="260" applyNumberFormat="1" applyFont="1" applyFill="1" applyBorder="1" applyAlignment="1">
      <alignment horizontal="center" vertical="center" wrapText="1"/>
    </xf>
    <xf numFmtId="0" fontId="70" fillId="17" borderId="81" xfId="260" applyFont="1" applyFill="1" applyBorder="1" applyAlignment="1">
      <alignment vertical="center" wrapText="1"/>
    </xf>
    <xf numFmtId="0" fontId="62" fillId="17" borderId="81" xfId="260" applyFont="1" applyFill="1" applyBorder="1" applyAlignment="1">
      <alignment horizontal="center" vertical="center" wrapText="1"/>
    </xf>
    <xf numFmtId="14" fontId="67" fillId="17" borderId="64" xfId="260" applyNumberFormat="1" applyFont="1" applyFill="1" applyBorder="1" applyAlignment="1">
      <alignment horizontal="center" vertical="center" wrapText="1"/>
    </xf>
    <xf numFmtId="14" fontId="67" fillId="17" borderId="40" xfId="260" applyNumberFormat="1" applyFont="1" applyFill="1" applyBorder="1" applyAlignment="1">
      <alignment horizontal="center" vertical="center" wrapText="1"/>
    </xf>
    <xf numFmtId="49" fontId="67" fillId="2" borderId="37" xfId="260" applyNumberFormat="1" applyFont="1" applyFill="1" applyBorder="1" applyAlignment="1">
      <alignment horizontal="center" vertical="center" wrapText="1"/>
    </xf>
    <xf numFmtId="0" fontId="71" fillId="0" borderId="50" xfId="260" applyFont="1" applyFill="1" applyBorder="1" applyAlignment="1">
      <alignment horizontal="left" vertical="center" wrapText="1"/>
    </xf>
    <xf numFmtId="0" fontId="62" fillId="0" borderId="81" xfId="260" applyFont="1" applyFill="1" applyBorder="1" applyAlignment="1">
      <alignment horizontal="center" vertical="center" wrapText="1"/>
    </xf>
    <xf numFmtId="14" fontId="69" fillId="0" borderId="87" xfId="260" applyNumberFormat="1" applyFont="1" applyFill="1" applyBorder="1" applyAlignment="1">
      <alignment horizontal="center" vertical="center" wrapText="1"/>
    </xf>
    <xf numFmtId="14" fontId="69" fillId="0" borderId="40" xfId="260" applyNumberFormat="1" applyFont="1" applyFill="1" applyBorder="1" applyAlignment="1">
      <alignment horizontal="center" vertical="center" wrapText="1"/>
    </xf>
    <xf numFmtId="0" fontId="67" fillId="16" borderId="50" xfId="260" applyFont="1" applyFill="1" applyBorder="1" applyAlignment="1">
      <alignment horizontal="left" vertical="center" wrapText="1"/>
    </xf>
    <xf numFmtId="0" fontId="62" fillId="16" borderId="81" xfId="260" applyFont="1" applyFill="1" applyBorder="1" applyAlignment="1">
      <alignment horizontal="center" vertical="center" wrapText="1"/>
    </xf>
    <xf numFmtId="14" fontId="69" fillId="16" borderId="58" xfId="260" applyNumberFormat="1" applyFont="1" applyFill="1" applyBorder="1" applyAlignment="1">
      <alignment horizontal="center" vertical="center" wrapText="1"/>
    </xf>
    <xf numFmtId="14" fontId="69" fillId="16" borderId="40" xfId="260" applyNumberFormat="1" applyFont="1" applyFill="1" applyBorder="1" applyAlignment="1">
      <alignment horizontal="center" vertical="center" wrapText="1"/>
    </xf>
    <xf numFmtId="0" fontId="66" fillId="16" borderId="85" xfId="260" applyFont="1" applyFill="1" applyBorder="1" applyAlignment="1">
      <alignment horizontal="center" vertical="center"/>
    </xf>
    <xf numFmtId="14" fontId="69" fillId="16" borderId="55" xfId="260" applyNumberFormat="1" applyFont="1" applyFill="1" applyBorder="1" applyAlignment="1">
      <alignment horizontal="center" vertical="center" wrapText="1"/>
    </xf>
    <xf numFmtId="0" fontId="66" fillId="16" borderId="50" xfId="260" applyFont="1" applyFill="1" applyBorder="1" applyAlignment="1">
      <alignment horizontal="left" vertical="center" wrapText="1"/>
    </xf>
    <xf numFmtId="14" fontId="72" fillId="2" borderId="49" xfId="260" applyNumberFormat="1" applyFont="1" applyFill="1" applyBorder="1" applyAlignment="1">
      <alignment horizontal="center" vertical="center" wrapText="1"/>
    </xf>
    <xf numFmtId="14" fontId="72" fillId="2" borderId="59" xfId="260" applyNumberFormat="1" applyFont="1" applyFill="1" applyBorder="1" applyAlignment="1">
      <alignment horizontal="center" vertical="center" wrapText="1"/>
    </xf>
    <xf numFmtId="14" fontId="72" fillId="2" borderId="0" xfId="260" applyNumberFormat="1" applyFont="1" applyFill="1" applyBorder="1" applyAlignment="1">
      <alignment horizontal="center" vertical="center" wrapText="1"/>
    </xf>
    <xf numFmtId="0" fontId="65" fillId="16" borderId="50" xfId="260" applyFont="1" applyFill="1" applyBorder="1" applyAlignment="1">
      <alignment horizontal="left" vertical="center" wrapText="1"/>
    </xf>
    <xf numFmtId="49" fontId="67" fillId="2" borderId="77" xfId="260" applyNumberFormat="1" applyFont="1" applyFill="1" applyBorder="1" applyAlignment="1">
      <alignment horizontal="center" vertical="center" wrapText="1"/>
    </xf>
    <xf numFmtId="49" fontId="67" fillId="2" borderId="59" xfId="260" applyNumberFormat="1" applyFont="1" applyFill="1" applyBorder="1" applyAlignment="1">
      <alignment horizontal="center" vertical="center" wrapText="1"/>
    </xf>
    <xf numFmtId="0" fontId="73" fillId="0" borderId="50" xfId="260" applyFont="1" applyFill="1" applyBorder="1" applyAlignment="1">
      <alignment horizontal="center" vertical="center" wrapText="1"/>
    </xf>
    <xf numFmtId="14" fontId="69" fillId="0" borderId="60" xfId="260" applyNumberFormat="1" applyFont="1" applyFill="1" applyBorder="1" applyAlignment="1">
      <alignment horizontal="center" vertical="center" wrapText="1"/>
    </xf>
    <xf numFmtId="14" fontId="69" fillId="16" borderId="60" xfId="260" applyNumberFormat="1" applyFont="1" applyFill="1" applyBorder="1" applyAlignment="1">
      <alignment horizontal="center" vertical="center" wrapText="1"/>
    </xf>
    <xf numFmtId="49" fontId="67" fillId="0" borderId="59" xfId="260" applyNumberFormat="1" applyFont="1" applyFill="1" applyBorder="1" applyAlignment="1">
      <alignment vertical="center" wrapText="1"/>
    </xf>
    <xf numFmtId="0" fontId="62" fillId="0" borderId="81" xfId="260" applyFont="1" applyFill="1" applyBorder="1" applyAlignment="1">
      <alignment vertical="center" wrapText="1"/>
    </xf>
    <xf numFmtId="14" fontId="69" fillId="0" borderId="78" xfId="260" applyNumberFormat="1" applyFont="1" applyFill="1" applyBorder="1" applyAlignment="1">
      <alignment horizontal="center" vertical="center" wrapText="1"/>
    </xf>
    <xf numFmtId="49" fontId="67" fillId="0" borderId="59" xfId="260" applyNumberFormat="1" applyFont="1" applyFill="1" applyBorder="1" applyAlignment="1">
      <alignment horizontal="center" vertical="center" wrapText="1"/>
    </xf>
    <xf numFmtId="49" fontId="67" fillId="2" borderId="61" xfId="260" applyNumberFormat="1" applyFont="1" applyFill="1" applyBorder="1" applyAlignment="1">
      <alignment horizontal="center" vertical="center" wrapText="1"/>
    </xf>
    <xf numFmtId="49" fontId="67" fillId="2" borderId="79" xfId="260" applyNumberFormat="1" applyFont="1" applyFill="1" applyBorder="1" applyAlignment="1">
      <alignment horizontal="center" vertical="center" wrapText="1"/>
    </xf>
    <xf numFmtId="0" fontId="69" fillId="11" borderId="50" xfId="260" applyFont="1" applyFill="1" applyBorder="1" applyAlignment="1">
      <alignment horizontal="center" vertical="center" wrapText="1"/>
    </xf>
    <xf numFmtId="0" fontId="62" fillId="11" borderId="81" xfId="260" applyFont="1" applyFill="1" applyBorder="1" applyAlignment="1">
      <alignment vertical="center" wrapText="1"/>
    </xf>
    <xf numFmtId="14" fontId="69" fillId="11" borderId="62" xfId="260" applyNumberFormat="1" applyFont="1" applyFill="1" applyBorder="1" applyAlignment="1">
      <alignment horizontal="center" vertical="center" wrapText="1"/>
    </xf>
    <xf numFmtId="14" fontId="69" fillId="11" borderId="40" xfId="260" applyNumberFormat="1" applyFont="1" applyFill="1" applyBorder="1" applyAlignment="1">
      <alignment horizontal="center" vertical="center" wrapText="1"/>
    </xf>
    <xf numFmtId="49" fontId="67" fillId="2" borderId="8" xfId="260" applyNumberFormat="1" applyFont="1" applyFill="1" applyBorder="1" applyAlignment="1">
      <alignment horizontal="center" vertical="center" wrapText="1"/>
    </xf>
    <xf numFmtId="49" fontId="67" fillId="2" borderId="24" xfId="260" applyNumberFormat="1" applyFont="1" applyFill="1" applyBorder="1" applyAlignment="1">
      <alignment horizontal="center" vertical="center" wrapText="1"/>
    </xf>
    <xf numFmtId="0" fontId="67" fillId="11" borderId="24" xfId="260" applyFont="1" applyFill="1" applyBorder="1" applyAlignment="1">
      <alignment horizontal="left" vertical="center" wrapText="1"/>
    </xf>
    <xf numFmtId="0" fontId="66" fillId="17" borderId="81" xfId="260" applyFont="1" applyFill="1" applyBorder="1" applyAlignment="1">
      <alignment horizontal="center" vertical="center"/>
    </xf>
    <xf numFmtId="0" fontId="66" fillId="17" borderId="84" xfId="260" applyFont="1" applyFill="1" applyBorder="1" applyAlignment="1">
      <alignment horizontal="center" vertical="center"/>
    </xf>
    <xf numFmtId="49" fontId="67" fillId="2" borderId="81" xfId="260" applyNumberFormat="1" applyFont="1" applyFill="1" applyBorder="1" applyAlignment="1">
      <alignment horizontal="center" vertical="center" wrapText="1"/>
    </xf>
    <xf numFmtId="0" fontId="67" fillId="11" borderId="81" xfId="260" applyFont="1" applyFill="1" applyBorder="1" applyAlignment="1">
      <alignment horizontal="left" vertical="center" wrapText="1"/>
    </xf>
    <xf numFmtId="0" fontId="0" fillId="0" borderId="0" xfId="260" applyFont="1"/>
    <xf numFmtId="49" fontId="1" fillId="0" borderId="0" xfId="260" applyNumberFormat="1"/>
    <xf numFmtId="0" fontId="78" fillId="0" borderId="0" xfId="0" applyNumberFormat="1" applyFont="1" applyFill="1" applyBorder="1" applyAlignment="1" applyProtection="1"/>
    <xf numFmtId="43" fontId="0" fillId="0" borderId="0" xfId="1" applyFont="1"/>
    <xf numFmtId="49" fontId="18" fillId="0" borderId="1" xfId="0" applyNumberFormat="1" applyFont="1" applyFill="1" applyBorder="1" applyAlignment="1">
      <alignment horizontal="center" vertical="center"/>
    </xf>
    <xf numFmtId="0" fontId="34" fillId="9" borderId="89" xfId="0" applyNumberFormat="1" applyFont="1" applyFill="1" applyBorder="1" applyAlignment="1" applyProtection="1"/>
    <xf numFmtId="0" fontId="21" fillId="9" borderId="89" xfId="0" applyNumberFormat="1" applyFont="1" applyFill="1" applyBorder="1" applyAlignment="1" applyProtection="1"/>
    <xf numFmtId="0" fontId="21" fillId="0" borderId="91" xfId="0" applyNumberFormat="1" applyFont="1" applyFill="1" applyBorder="1" applyAlignment="1" applyProtection="1"/>
    <xf numFmtId="0" fontId="21" fillId="0" borderId="92" xfId="0" applyNumberFormat="1" applyFont="1" applyFill="1" applyBorder="1" applyAlignment="1" applyProtection="1"/>
    <xf numFmtId="0" fontId="21" fillId="7" borderId="0" xfId="0" applyNumberFormat="1" applyFont="1" applyFill="1" applyBorder="1" applyAlignment="1" applyProtection="1"/>
    <xf numFmtId="0" fontId="21" fillId="7" borderId="0" xfId="0" applyNumberFormat="1" applyFont="1" applyFill="1" applyBorder="1" applyAlignment="1" applyProtection="1">
      <alignment horizontal="center"/>
    </xf>
    <xf numFmtId="0" fontId="21" fillId="13" borderId="0" xfId="0" applyNumberFormat="1" applyFont="1" applyFill="1" applyBorder="1" applyAlignment="1" applyProtection="1"/>
    <xf numFmtId="4" fontId="21" fillId="13" borderId="0" xfId="0" applyNumberFormat="1" applyFont="1" applyFill="1" applyBorder="1" applyAlignment="1" applyProtection="1"/>
    <xf numFmtId="4" fontId="21" fillId="13" borderId="0" xfId="0" applyNumberFormat="1" applyFont="1" applyFill="1" applyBorder="1" applyAlignment="1" applyProtection="1">
      <alignment horizontal="center"/>
    </xf>
    <xf numFmtId="0" fontId="21" fillId="14" borderId="0" xfId="0" applyNumberFormat="1" applyFont="1" applyFill="1" applyBorder="1" applyAlignment="1" applyProtection="1"/>
    <xf numFmtId="4" fontId="21" fillId="14" borderId="0" xfId="0" applyNumberFormat="1" applyFont="1" applyFill="1" applyBorder="1" applyAlignment="1" applyProtection="1"/>
    <xf numFmtId="4" fontId="21" fillId="14" borderId="0" xfId="0" applyNumberFormat="1" applyFont="1" applyFill="1" applyBorder="1" applyAlignment="1" applyProtection="1">
      <alignment horizontal="center"/>
    </xf>
    <xf numFmtId="4" fontId="21" fillId="7" borderId="0" xfId="0" applyNumberFormat="1" applyFont="1" applyFill="1" applyBorder="1" applyAlignment="1" applyProtection="1"/>
    <xf numFmtId="4" fontId="21" fillId="7" borderId="0" xfId="0" applyNumberFormat="1" applyFont="1" applyFill="1" applyBorder="1" applyAlignment="1" applyProtection="1">
      <alignment horizontal="center"/>
    </xf>
    <xf numFmtId="0" fontId="21" fillId="0" borderId="93" xfId="0" applyNumberFormat="1" applyFont="1" applyFill="1" applyBorder="1" applyAlignment="1" applyProtection="1"/>
    <xf numFmtId="0" fontId="21" fillId="0" borderId="94" xfId="0" applyNumberFormat="1" applyFont="1" applyFill="1" applyBorder="1" applyAlignment="1" applyProtection="1"/>
    <xf numFmtId="0" fontId="21" fillId="0" borderId="94" xfId="0" applyNumberFormat="1" applyFont="1" applyFill="1" applyBorder="1" applyAlignment="1" applyProtection="1">
      <alignment wrapText="1"/>
    </xf>
    <xf numFmtId="0" fontId="21" fillId="0" borderId="95" xfId="0" applyNumberFormat="1" applyFont="1" applyFill="1" applyBorder="1" applyAlignment="1" applyProtection="1"/>
    <xf numFmtId="0" fontId="21" fillId="9" borderId="88" xfId="0" applyNumberFormat="1" applyFont="1" applyFill="1" applyBorder="1" applyAlignment="1" applyProtection="1"/>
    <xf numFmtId="0" fontId="21" fillId="9" borderId="89" xfId="0" applyNumberFormat="1" applyFont="1" applyFill="1" applyBorder="1" applyAlignment="1" applyProtection="1">
      <alignment wrapText="1"/>
    </xf>
    <xf numFmtId="0" fontId="21" fillId="9" borderId="90" xfId="0" applyNumberFormat="1" applyFont="1" applyFill="1" applyBorder="1" applyAlignment="1" applyProtection="1"/>
    <xf numFmtId="49" fontId="18" fillId="0" borderId="12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11" fillId="0" borderId="0" xfId="253" applyFont="1" applyAlignment="1">
      <alignment horizontal="left" vertical="center" wrapText="1"/>
    </xf>
    <xf numFmtId="0" fontId="10" fillId="0" borderId="0" xfId="253" applyFont="1" applyAlignment="1">
      <alignment horizontal="center" vertical="center" wrapText="1"/>
    </xf>
    <xf numFmtId="0" fontId="11" fillId="0" borderId="0" xfId="253" applyFont="1" applyAlignment="1">
      <alignment horizontal="left" vertical="top" wrapText="1"/>
    </xf>
    <xf numFmtId="49" fontId="11" fillId="0" borderId="0" xfId="253" applyNumberFormat="1" applyFont="1" applyAlignment="1">
      <alignment horizontal="left" vertical="center" wrapText="1"/>
    </xf>
    <xf numFmtId="0" fontId="10" fillId="0" borderId="0" xfId="253" applyFont="1" applyAlignment="1">
      <alignment horizontal="center"/>
    </xf>
    <xf numFmtId="0" fontId="12" fillId="0" borderId="0" xfId="253" applyFont="1" applyAlignment="1">
      <alignment horizontal="center" vertical="center" wrapText="1"/>
    </xf>
    <xf numFmtId="0" fontId="16" fillId="0" borderId="0" xfId="253" applyFont="1" applyAlignment="1">
      <alignment horizontal="center" wrapText="1"/>
    </xf>
    <xf numFmtId="0" fontId="11" fillId="0" borderId="0" xfId="253" applyFont="1" applyAlignment="1">
      <alignment vertical="center" wrapText="1"/>
    </xf>
    <xf numFmtId="0" fontId="11" fillId="0" borderId="0" xfId="107" applyFont="1" applyAlignment="1">
      <alignment horizontal="left" vertical="top" wrapText="1"/>
    </xf>
    <xf numFmtId="0" fontId="15" fillId="2" borderId="0" xfId="0" applyFont="1" applyFill="1" applyAlignment="1">
      <alignment horizontal="left" vertical="center" wrapText="1"/>
    </xf>
    <xf numFmtId="0" fontId="74" fillId="0" borderId="0" xfId="255" applyFont="1" applyAlignment="1">
      <alignment horizontal="left" vertical="center" wrapText="1"/>
    </xf>
    <xf numFmtId="0" fontId="10" fillId="0" borderId="0" xfId="255" applyFont="1" applyAlignment="1">
      <alignment horizontal="center"/>
    </xf>
    <xf numFmtId="0" fontId="10" fillId="0" borderId="0" xfId="255" applyFont="1" applyAlignment="1">
      <alignment horizontal="left" vertical="center" wrapText="1"/>
    </xf>
    <xf numFmtId="0" fontId="11" fillId="0" borderId="0" xfId="255" applyFont="1" applyAlignment="1">
      <alignment horizontal="left" vertical="center" wrapText="1"/>
    </xf>
    <xf numFmtId="0" fontId="12" fillId="0" borderId="0" xfId="8" applyFont="1" applyAlignment="1">
      <alignment horizontal="center" vertical="center"/>
    </xf>
    <xf numFmtId="0" fontId="47" fillId="0" borderId="0" xfId="255" applyFont="1" applyAlignment="1">
      <alignment horizontal="center"/>
    </xf>
    <xf numFmtId="0" fontId="11" fillId="0" borderId="0" xfId="255" applyFont="1" applyAlignment="1">
      <alignment horizontal="left" wrapText="1"/>
    </xf>
    <xf numFmtId="0" fontId="16" fillId="0" borderId="0" xfId="253" applyFont="1" applyAlignment="1">
      <alignment horizontal="center" vertical="center"/>
    </xf>
    <xf numFmtId="0" fontId="16" fillId="0" borderId="0" xfId="253" applyFont="1" applyAlignment="1">
      <alignment horizontal="center" vertical="center" wrapText="1"/>
    </xf>
    <xf numFmtId="0" fontId="12" fillId="7" borderId="16" xfId="253" applyFont="1" applyFill="1" applyBorder="1" applyAlignment="1">
      <alignment horizontal="center" vertical="center" wrapText="1"/>
    </xf>
    <xf numFmtId="0" fontId="12" fillId="7" borderId="25" xfId="253" applyFont="1" applyFill="1" applyBorder="1" applyAlignment="1">
      <alignment horizontal="center" vertical="center" wrapText="1"/>
    </xf>
    <xf numFmtId="0" fontId="12" fillId="7" borderId="5" xfId="253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46" fillId="0" borderId="0" xfId="92" applyFont="1" applyAlignment="1">
      <alignment horizontal="center" vertical="center" wrapText="1"/>
    </xf>
    <xf numFmtId="0" fontId="47" fillId="0" borderId="0" xfId="92" applyFont="1" applyAlignment="1">
      <alignment horizontal="center" vertical="top"/>
    </xf>
    <xf numFmtId="0" fontId="60" fillId="0" borderId="0" xfId="0" applyFont="1" applyAlignment="1">
      <alignment horizontal="center"/>
    </xf>
    <xf numFmtId="0" fontId="46" fillId="0" borderId="0" xfId="92" applyFont="1" applyAlignment="1">
      <alignment horizontal="center" wrapText="1"/>
    </xf>
    <xf numFmtId="0" fontId="15" fillId="7" borderId="16" xfId="92" applyFont="1" applyFill="1" applyBorder="1" applyAlignment="1">
      <alignment horizontal="center" vertical="center" wrapText="1"/>
    </xf>
    <xf numFmtId="0" fontId="15" fillId="7" borderId="7" xfId="92" applyFont="1" applyFill="1" applyBorder="1" applyAlignment="1">
      <alignment horizontal="center" vertical="center" wrapText="1"/>
    </xf>
    <xf numFmtId="0" fontId="15" fillId="7" borderId="21" xfId="92" applyFont="1" applyFill="1" applyBorder="1" applyAlignment="1">
      <alignment horizontal="center" vertical="center" wrapText="1"/>
    </xf>
    <xf numFmtId="49" fontId="61" fillId="15" borderId="26" xfId="260" applyNumberFormat="1" applyFont="1" applyFill="1" applyBorder="1" applyAlignment="1">
      <alignment horizontal="center" vertical="center" wrapText="1"/>
    </xf>
    <xf numFmtId="49" fontId="62" fillId="16" borderId="27" xfId="260" applyNumberFormat="1" applyFont="1" applyFill="1" applyBorder="1" applyAlignment="1">
      <alignment horizontal="center" vertical="center" wrapText="1"/>
    </xf>
    <xf numFmtId="49" fontId="62" fillId="16" borderId="37" xfId="260" applyNumberFormat="1" applyFont="1" applyFill="1" applyBorder="1" applyAlignment="1">
      <alignment horizontal="center" vertical="center" wrapText="1"/>
    </xf>
    <xf numFmtId="49" fontId="62" fillId="16" borderId="70" xfId="260" applyNumberFormat="1" applyFont="1" applyFill="1" applyBorder="1" applyAlignment="1">
      <alignment horizontal="center" vertical="center" wrapText="1"/>
    </xf>
    <xf numFmtId="49" fontId="62" fillId="16" borderId="71" xfId="260" applyNumberFormat="1" applyFont="1" applyFill="1" applyBorder="1" applyAlignment="1">
      <alignment horizontal="center" vertical="center" wrapText="1"/>
    </xf>
    <xf numFmtId="49" fontId="62" fillId="16" borderId="42" xfId="260" applyNumberFormat="1" applyFont="1" applyFill="1" applyBorder="1" applyAlignment="1">
      <alignment horizontal="center" vertical="center" wrapText="1"/>
    </xf>
    <xf numFmtId="0" fontId="62" fillId="16" borderId="28" xfId="260" applyFont="1" applyFill="1" applyBorder="1" applyAlignment="1">
      <alignment horizontal="center" vertical="center" wrapText="1"/>
    </xf>
    <xf numFmtId="0" fontId="62" fillId="16" borderId="38" xfId="260" applyFont="1" applyFill="1" applyBorder="1" applyAlignment="1">
      <alignment horizontal="center" vertical="center" wrapText="1"/>
    </xf>
    <xf numFmtId="0" fontId="62" fillId="16" borderId="29" xfId="260" applyFont="1" applyFill="1" applyBorder="1" applyAlignment="1">
      <alignment horizontal="center" vertical="center" wrapText="1"/>
    </xf>
    <xf numFmtId="0" fontId="62" fillId="16" borderId="39" xfId="260" applyFont="1" applyFill="1" applyBorder="1" applyAlignment="1">
      <alignment horizontal="center" vertical="center" wrapText="1"/>
    </xf>
    <xf numFmtId="0" fontId="62" fillId="16" borderId="74" xfId="260" applyFont="1" applyFill="1" applyBorder="1" applyAlignment="1">
      <alignment horizontal="center" vertical="center" wrapText="1"/>
    </xf>
    <xf numFmtId="0" fontId="62" fillId="16" borderId="30" xfId="260" applyFont="1" applyFill="1" applyBorder="1" applyAlignment="1">
      <alignment horizontal="center" vertical="center" wrapText="1"/>
    </xf>
    <xf numFmtId="0" fontId="62" fillId="16" borderId="40" xfId="260" applyFont="1" applyFill="1" applyBorder="1" applyAlignment="1">
      <alignment horizontal="center" vertical="center" wrapText="1"/>
    </xf>
    <xf numFmtId="0" fontId="62" fillId="16" borderId="48" xfId="260" applyFont="1" applyFill="1" applyBorder="1" applyAlignment="1">
      <alignment horizontal="center" vertical="center" wrapText="1"/>
    </xf>
    <xf numFmtId="0" fontId="62" fillId="16" borderId="31" xfId="260" applyFont="1" applyFill="1" applyBorder="1" applyAlignment="1">
      <alignment horizontal="center" vertical="center" wrapText="1"/>
    </xf>
    <xf numFmtId="0" fontId="62" fillId="16" borderId="83" xfId="260" applyFont="1" applyFill="1" applyBorder="1" applyAlignment="1">
      <alignment horizontal="center" vertical="center" wrapText="1"/>
    </xf>
    <xf numFmtId="0" fontId="63" fillId="16" borderId="32" xfId="260" applyFont="1" applyFill="1" applyBorder="1" applyAlignment="1">
      <alignment horizontal="center" vertical="center"/>
    </xf>
    <xf numFmtId="0" fontId="63" fillId="16" borderId="33" xfId="260" applyFont="1" applyFill="1" applyBorder="1" applyAlignment="1">
      <alignment horizontal="center" vertical="center"/>
    </xf>
    <xf numFmtId="0" fontId="64" fillId="16" borderId="34" xfId="260" applyFont="1" applyFill="1" applyBorder="1" applyAlignment="1">
      <alignment horizontal="center" vertical="center"/>
    </xf>
    <xf numFmtId="0" fontId="64" fillId="16" borderId="35" xfId="260" applyFont="1" applyFill="1" applyBorder="1" applyAlignment="1">
      <alignment horizontal="center" vertical="center"/>
    </xf>
    <xf numFmtId="0" fontId="64" fillId="16" borderId="36" xfId="260" applyFont="1" applyFill="1" applyBorder="1" applyAlignment="1">
      <alignment horizontal="center" vertical="center"/>
    </xf>
    <xf numFmtId="0" fontId="64" fillId="16" borderId="72" xfId="260" applyFont="1" applyFill="1" applyBorder="1" applyAlignment="1">
      <alignment horizontal="center" vertical="center"/>
    </xf>
    <xf numFmtId="0" fontId="64" fillId="16" borderId="2" xfId="260" applyFont="1" applyFill="1" applyBorder="1" applyAlignment="1">
      <alignment horizontal="center" vertical="center"/>
    </xf>
    <xf numFmtId="0" fontId="64" fillId="16" borderId="45" xfId="260" applyFont="1" applyFill="1" applyBorder="1" applyAlignment="1">
      <alignment horizontal="center" vertical="center"/>
    </xf>
    <xf numFmtId="0" fontId="64" fillId="16" borderId="31" xfId="260" applyFont="1" applyFill="1" applyBorder="1" applyAlignment="1">
      <alignment horizontal="center" vertical="center"/>
    </xf>
    <xf numFmtId="0" fontId="64" fillId="16" borderId="46" xfId="260" applyFont="1" applyFill="1" applyBorder="1" applyAlignment="1">
      <alignment horizontal="center" vertical="center"/>
    </xf>
    <xf numFmtId="0" fontId="64" fillId="16" borderId="73" xfId="260" applyFont="1" applyFill="1" applyBorder="1" applyAlignment="1">
      <alignment horizontal="center" vertical="center"/>
    </xf>
    <xf numFmtId="0" fontId="64" fillId="16" borderId="47" xfId="260" applyFont="1" applyFill="1" applyBorder="1" applyAlignment="1">
      <alignment horizontal="center" vertical="center"/>
    </xf>
    <xf numFmtId="0" fontId="64" fillId="16" borderId="63" xfId="26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 applyFill="1" applyAlignment="1">
      <alignment horizontal="center"/>
    </xf>
    <xf numFmtId="0" fontId="11" fillId="2" borderId="0" xfId="2" applyFont="1" applyFill="1" applyAlignment="1">
      <alignment horizontal="left" vertical="center"/>
    </xf>
    <xf numFmtId="0" fontId="11" fillId="0" borderId="0" xfId="2" applyFont="1" applyAlignment="1">
      <alignment horizontal="left" vertical="center" wrapText="1"/>
    </xf>
    <xf numFmtId="0" fontId="10" fillId="0" borderId="0" xfId="2" applyFont="1" applyAlignment="1">
      <alignment horizontal="center" wrapText="1"/>
    </xf>
    <xf numFmtId="0" fontId="50" fillId="0" borderId="0" xfId="89" applyFont="1"/>
    <xf numFmtId="0" fontId="20" fillId="0" borderId="0" xfId="89"/>
    <xf numFmtId="0" fontId="51" fillId="8" borderId="80" xfId="89" applyFont="1" applyFill="1" applyBorder="1" applyAlignment="1">
      <alignment horizontal="left" vertical="top" wrapText="1"/>
    </xf>
    <xf numFmtId="0" fontId="20" fillId="0" borderId="0" xfId="89" applyAlignment="1">
      <alignment horizontal="left" vertical="top" wrapText="1"/>
    </xf>
    <xf numFmtId="0" fontId="20" fillId="0" borderId="81" xfId="89" applyBorder="1" applyAlignment="1">
      <alignment horizontal="center"/>
    </xf>
    <xf numFmtId="0" fontId="20" fillId="0" borderId="81" xfId="89" applyBorder="1" applyAlignment="1">
      <alignment horizontal="center" wrapText="1"/>
    </xf>
    <xf numFmtId="164" fontId="49" fillId="19" borderId="81" xfId="0" applyNumberFormat="1" applyFont="1" applyFill="1" applyBorder="1" applyAlignment="1">
      <alignment horizontal="center" vertical="center"/>
    </xf>
    <xf numFmtId="0" fontId="11" fillId="10" borderId="66" xfId="0" applyFont="1" applyFill="1" applyBorder="1" applyAlignment="1">
      <alignment horizontal="left" vertical="center"/>
    </xf>
    <xf numFmtId="0" fontId="11" fillId="0" borderId="66" xfId="0" applyFont="1" applyBorder="1" applyAlignment="1">
      <alignment horizontal="left" wrapText="1"/>
    </xf>
    <xf numFmtId="0" fontId="11" fillId="10" borderId="7" xfId="0" applyFont="1" applyFill="1" applyBorder="1" applyAlignment="1">
      <alignment horizontal="left" vertical="center" wrapText="1"/>
    </xf>
    <xf numFmtId="0" fontId="11" fillId="10" borderId="21" xfId="0" applyFont="1" applyFill="1" applyBorder="1" applyAlignment="1">
      <alignment horizontal="left" vertical="center" wrapText="1"/>
    </xf>
    <xf numFmtId="0" fontId="11" fillId="9" borderId="7" xfId="0" applyFont="1" applyFill="1" applyBorder="1" applyAlignment="1">
      <alignment horizontal="center" vertical="center"/>
    </xf>
    <xf numFmtId="0" fontId="11" fillId="9" borderId="20" xfId="0" applyFont="1" applyFill="1" applyBorder="1" applyAlignment="1">
      <alignment horizontal="center" vertical="center"/>
    </xf>
    <xf numFmtId="0" fontId="11" fillId="9" borderId="21" xfId="0" applyFont="1" applyFill="1" applyBorder="1" applyAlignment="1">
      <alignment horizontal="center" vertical="center"/>
    </xf>
    <xf numFmtId="0" fontId="11" fillId="10" borderId="66" xfId="0" applyFont="1" applyFill="1" applyBorder="1" applyAlignment="1">
      <alignment horizontal="left" vertical="top"/>
    </xf>
    <xf numFmtId="0" fontId="53" fillId="0" borderId="0" xfId="60" applyFont="1" applyAlignment="1">
      <alignment horizontal="center" vertical="center"/>
    </xf>
    <xf numFmtId="0" fontId="11" fillId="0" borderId="66" xfId="0" applyFont="1" applyBorder="1" applyAlignment="1">
      <alignment horizontal="center"/>
    </xf>
    <xf numFmtId="0" fontId="11" fillId="0" borderId="65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10" borderId="66" xfId="9" applyFont="1" applyFill="1" applyBorder="1" applyAlignment="1">
      <alignment horizontal="left" vertical="top"/>
    </xf>
    <xf numFmtId="0" fontId="11" fillId="9" borderId="65" xfId="0" applyFont="1" applyFill="1" applyBorder="1" applyAlignment="1">
      <alignment horizontal="center" vertical="center" wrapText="1"/>
    </xf>
    <xf numFmtId="0" fontId="11" fillId="9" borderId="20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0" fontId="11" fillId="10" borderId="65" xfId="0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66" xfId="9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65" xfId="9" applyFont="1" applyBorder="1" applyAlignment="1">
      <alignment horizontal="center"/>
    </xf>
    <xf numFmtId="0" fontId="11" fillId="0" borderId="20" xfId="9" applyFont="1" applyBorder="1" applyAlignment="1">
      <alignment horizontal="center"/>
    </xf>
    <xf numFmtId="0" fontId="11" fillId="0" borderId="21" xfId="9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1" fillId="10" borderId="65" xfId="9" applyFont="1" applyFill="1" applyBorder="1" applyAlignment="1">
      <alignment horizontal="left" vertical="center" wrapText="1"/>
    </xf>
    <xf numFmtId="0" fontId="11" fillId="10" borderId="21" xfId="9" applyFont="1" applyFill="1" applyBorder="1" applyAlignment="1">
      <alignment horizontal="left" vertical="center" wrapText="1"/>
    </xf>
    <xf numFmtId="0" fontId="11" fillId="9" borderId="65" xfId="9" applyFont="1" applyFill="1" applyBorder="1" applyAlignment="1">
      <alignment horizontal="center" vertical="center" wrapText="1"/>
    </xf>
    <xf numFmtId="0" fontId="11" fillId="9" borderId="20" xfId="9" applyFont="1" applyFill="1" applyBorder="1" applyAlignment="1">
      <alignment horizontal="center" vertical="center" wrapText="1"/>
    </xf>
    <xf numFmtId="0" fontId="11" fillId="9" borderId="21" xfId="9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wrapText="1"/>
    </xf>
    <xf numFmtId="0" fontId="34" fillId="0" borderId="7" xfId="0" applyNumberFormat="1" applyFont="1" applyFill="1" applyBorder="1" applyAlignment="1" applyProtection="1">
      <alignment horizontal="right" vertical="top" wrapText="1"/>
    </xf>
    <xf numFmtId="0" fontId="34" fillId="0" borderId="11" xfId="0" applyNumberFormat="1" applyFont="1" applyFill="1" applyBorder="1" applyAlignment="1" applyProtection="1">
      <alignment horizontal="right" vertical="top" wrapText="1"/>
    </xf>
    <xf numFmtId="0" fontId="39" fillId="0" borderId="7" xfId="0" applyNumberFormat="1" applyFont="1" applyFill="1" applyBorder="1" applyAlignment="1" applyProtection="1">
      <alignment horizontal="left" vertical="center" wrapText="1"/>
    </xf>
    <xf numFmtId="0" fontId="39" fillId="0" borderId="10" xfId="0" applyNumberFormat="1" applyFont="1" applyFill="1" applyBorder="1" applyAlignment="1" applyProtection="1">
      <alignment horizontal="left" vertical="center" wrapText="1"/>
    </xf>
    <xf numFmtId="0" fontId="39" fillId="0" borderId="11" xfId="0" applyNumberFormat="1" applyFont="1" applyFill="1" applyBorder="1" applyAlignment="1" applyProtection="1">
      <alignment horizontal="left" vertical="center" wrapText="1"/>
    </xf>
    <xf numFmtId="0" fontId="41" fillId="0" borderId="7" xfId="0" applyNumberFormat="1" applyFont="1" applyFill="1" applyBorder="1" applyAlignment="1" applyProtection="1">
      <alignment horizontal="right" vertical="top" wrapText="1"/>
    </xf>
    <xf numFmtId="0" fontId="41" fillId="0" borderId="11" xfId="0" applyNumberFormat="1" applyFont="1" applyFill="1" applyBorder="1" applyAlignment="1" applyProtection="1">
      <alignment horizontal="right" vertical="top" wrapText="1"/>
    </xf>
    <xf numFmtId="0" fontId="35" fillId="0" borderId="4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wrapText="1"/>
    </xf>
    <xf numFmtId="0" fontId="21" fillId="0" borderId="3" xfId="0" applyNumberFormat="1" applyFont="1" applyFill="1" applyBorder="1" applyAlignment="1" applyProtection="1">
      <alignment horizontal="center" vertical="center" wrapText="1"/>
    </xf>
    <xf numFmtId="0" fontId="21" fillId="0" borderId="5" xfId="0" applyNumberFormat="1" applyFont="1" applyFill="1" applyBorder="1" applyAlignment="1" applyProtection="1">
      <alignment horizontal="center" vertical="center" wrapText="1"/>
    </xf>
    <xf numFmtId="0" fontId="21" fillId="0" borderId="8" xfId="0" applyNumberFormat="1" applyFont="1" applyFill="1" applyBorder="1" applyAlignment="1" applyProtection="1">
      <alignment horizontal="center" vertical="center" wrapText="1"/>
    </xf>
    <xf numFmtId="0" fontId="21" fillId="0" borderId="7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3" fillId="0" borderId="2" xfId="0" applyNumberFormat="1" applyFont="1" applyFill="1" applyBorder="1" applyAlignment="1" applyProtection="1">
      <alignment horizontal="left" wrapText="1"/>
    </xf>
    <xf numFmtId="0" fontId="35" fillId="0" borderId="4" xfId="0" applyNumberFormat="1" applyFont="1" applyFill="1" applyBorder="1" applyAlignment="1" applyProtection="1">
      <alignment horizontal="center"/>
    </xf>
    <xf numFmtId="1" fontId="23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Alignment="1" applyProtection="1">
      <alignment horizontal="center"/>
    </xf>
    <xf numFmtId="0" fontId="23" fillId="0" borderId="2" xfId="0" applyNumberFormat="1" applyFont="1" applyFill="1" applyBorder="1" applyAlignment="1" applyProtection="1">
      <alignment horizontal="right" vertical="top" wrapText="1"/>
    </xf>
    <xf numFmtId="0" fontId="21" fillId="0" borderId="2" xfId="0" applyNumberFormat="1" applyFont="1" applyFill="1" applyBorder="1" applyAlignment="1" applyProtection="1">
      <alignment horizontal="left" vertical="top" wrapText="1"/>
    </xf>
    <xf numFmtId="49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2" xfId="0" applyNumberFormat="1" applyFont="1" applyFill="1" applyBorder="1" applyAlignment="1" applyProtection="1">
      <alignment horizontal="left" vertical="top" wrapText="1"/>
    </xf>
  </cellXfs>
  <cellStyles count="261">
    <cellStyle name="S0" xfId="31"/>
    <cellStyle name="S0 2" xfId="45"/>
    <cellStyle name="S1" xfId="20"/>
    <cellStyle name="S1 2" xfId="46"/>
    <cellStyle name="S10" xfId="40"/>
    <cellStyle name="S10 2" xfId="53"/>
    <cellStyle name="S10 2 2" xfId="138"/>
    <cellStyle name="S10 2 3" xfId="143"/>
    <cellStyle name="S10 2 4" xfId="233"/>
    <cellStyle name="S10 3" xfId="94"/>
    <cellStyle name="S10 3 2" xfId="114"/>
    <cellStyle name="S10 3 2 2" xfId="204"/>
    <cellStyle name="S10 3 2 3" xfId="247"/>
    <cellStyle name="S10 3 3" xfId="184"/>
    <cellStyle name="S10 3 4" xfId="252"/>
    <cellStyle name="S10 4" xfId="109"/>
    <cellStyle name="S10 4 2" xfId="199"/>
    <cellStyle name="S10 4 3" xfId="244"/>
    <cellStyle name="S10 5" xfId="79"/>
    <cellStyle name="S10 5 2" xfId="103"/>
    <cellStyle name="S10 5 2 2" xfId="152"/>
    <cellStyle name="S10 5 2 3" xfId="193"/>
    <cellStyle name="S10 5 2 4" xfId="237"/>
    <cellStyle name="S10 5 2 5" xfId="251"/>
    <cellStyle name="S10 5 3" xfId="119"/>
    <cellStyle name="S10 5 3 2" xfId="208"/>
    <cellStyle name="S10 5 3 3" xfId="250"/>
    <cellStyle name="S10 5 4" xfId="146"/>
    <cellStyle name="S10 5 5" xfId="239"/>
    <cellStyle name="S11" xfId="41"/>
    <cellStyle name="S11 2" xfId="47"/>
    <cellStyle name="S11 2 2" xfId="115"/>
    <cellStyle name="S12" xfId="49"/>
    <cellStyle name="S12 4 2" xfId="80"/>
    <cellStyle name="S13" xfId="50"/>
    <cellStyle name="S2" xfId="33"/>
    <cellStyle name="S2 2" xfId="54"/>
    <cellStyle name="S2 6" xfId="76"/>
    <cellStyle name="S3" xfId="34"/>
    <cellStyle name="S3 2" xfId="48"/>
    <cellStyle name="S3 3" xfId="72"/>
    <cellStyle name="S4" xfId="56"/>
    <cellStyle name="S4 4" xfId="73"/>
    <cellStyle name="S5" xfId="35"/>
    <cellStyle name="S5 4" xfId="74"/>
    <cellStyle name="S6" xfId="36"/>
    <cellStyle name="S6 2" xfId="51"/>
    <cellStyle name="S6 4" xfId="75"/>
    <cellStyle name="S7" xfId="37"/>
    <cellStyle name="S7 2" xfId="57"/>
    <cellStyle name="S7 2 2" xfId="142"/>
    <cellStyle name="S7 2 3" xfId="154"/>
    <cellStyle name="S7 2 4" xfId="234"/>
    <cellStyle name="S7 3" xfId="77"/>
    <cellStyle name="S7 4" xfId="96"/>
    <cellStyle name="S7 4 2" xfId="149"/>
    <cellStyle name="S7 4 3" xfId="186"/>
    <cellStyle name="S7 4 4" xfId="230"/>
    <cellStyle name="S7 4 5" xfId="242"/>
    <cellStyle name="S7 5" xfId="111"/>
    <cellStyle name="S7 5 2" xfId="201"/>
    <cellStyle name="S7 5 3" xfId="245"/>
    <cellStyle name="S8" xfId="38"/>
    <cellStyle name="S8 2" xfId="58"/>
    <cellStyle name="S8 2 2" xfId="145"/>
    <cellStyle name="S8 2 3" xfId="141"/>
    <cellStyle name="S8 2 4" xfId="235"/>
    <cellStyle name="S8 3" xfId="78"/>
    <cellStyle name="S8 3 2" xfId="102"/>
    <cellStyle name="S8 3 2 2" xfId="151"/>
    <cellStyle name="S8 3 2 3" xfId="192"/>
    <cellStyle name="S8 3 2 4" xfId="236"/>
    <cellStyle name="S8 3 2 5" xfId="231"/>
    <cellStyle name="S8 3 3" xfId="118"/>
    <cellStyle name="S8 3 3 2" xfId="207"/>
    <cellStyle name="S8 3 3 3" xfId="249"/>
    <cellStyle name="S8 3 4" xfId="140"/>
    <cellStyle name="S8 3 5" xfId="238"/>
    <cellStyle name="S8 4" xfId="97"/>
    <cellStyle name="S8 4 2" xfId="150"/>
    <cellStyle name="S8 4 3" xfId="187"/>
    <cellStyle name="S8 4 4" xfId="228"/>
    <cellStyle name="S8 4 5" xfId="240"/>
    <cellStyle name="S8 5" xfId="112"/>
    <cellStyle name="S8 5 2" xfId="202"/>
    <cellStyle name="S8 5 3" xfId="246"/>
    <cellStyle name="S9" xfId="39"/>
    <cellStyle name="S9 2" xfId="52"/>
    <cellStyle name="S9 2 2" xfId="157"/>
    <cellStyle name="S9 2 3" xfId="153"/>
    <cellStyle name="S9 2 4" xfId="232"/>
    <cellStyle name="S9 3" xfId="93"/>
    <cellStyle name="S9 3 2" xfId="148"/>
    <cellStyle name="S9 3 3" xfId="183"/>
    <cellStyle name="S9 3 4" xfId="241"/>
    <cellStyle name="S9 3 5" xfId="248"/>
    <cellStyle name="S9 4" xfId="108"/>
    <cellStyle name="S9 4 2" xfId="198"/>
    <cellStyle name="S9 4 3" xfId="243"/>
    <cellStyle name="Денежный 2" xfId="120"/>
    <cellStyle name="Денежный 2 2" xfId="86"/>
    <cellStyle name="Денежный 2 3" xfId="209"/>
    <cellStyle name="Итоги" xfId="65"/>
    <cellStyle name="Обычный" xfId="0" builtinId="0"/>
    <cellStyle name="Обычный 10" xfId="30"/>
    <cellStyle name="Обычный 10 2" xfId="55"/>
    <cellStyle name="Обычный 10 2 2" xfId="216"/>
    <cellStyle name="Обычный 10 2 2 2" xfId="124"/>
    <cellStyle name="Обычный 10 2 2 2 2" xfId="213"/>
    <cellStyle name="Обычный 10 2 3" xfId="173"/>
    <cellStyle name="Обычный 10 3" xfId="83"/>
    <cellStyle name="Обычный 10 4" xfId="95"/>
    <cellStyle name="Обычный 10 4 2" xfId="185"/>
    <cellStyle name="Обычный 10 5" xfId="110"/>
    <cellStyle name="Обычный 10 5 2" xfId="200"/>
    <cellStyle name="Обычный 10 6" xfId="170"/>
    <cellStyle name="Обычный 11" xfId="92"/>
    <cellStyle name="Обычный 11 2" xfId="182"/>
    <cellStyle name="Обычный 12" xfId="107"/>
    <cellStyle name="Обычный 12 2" xfId="197"/>
    <cellStyle name="Обычный 13" xfId="116"/>
    <cellStyle name="Обычный 13 2" xfId="205"/>
    <cellStyle name="Обычный 14" xfId="16"/>
    <cellStyle name="Обычный 14 2" xfId="22"/>
    <cellStyle name="Обычный 14 2 2" xfId="24"/>
    <cellStyle name="Обычный 14 2 2 2" xfId="167"/>
    <cellStyle name="Обычный 14 2 3" xfId="165"/>
    <cellStyle name="Обычный 14 3" xfId="63"/>
    <cellStyle name="Обычный 14 3 2" xfId="176"/>
    <cellStyle name="Обычный 14 4" xfId="163"/>
    <cellStyle name="Обычный 15" xfId="64"/>
    <cellStyle name="Обычный 16" xfId="135"/>
    <cellStyle name="Обычный 16 2" xfId="214"/>
    <cellStyle name="Обычный 17" xfId="136"/>
    <cellStyle name="Обычный 17 2" xfId="225"/>
    <cellStyle name="Обычный 18" xfId="62"/>
    <cellStyle name="Обычный 18 2" xfId="71"/>
    <cellStyle name="Обычный 18 2 2" xfId="101"/>
    <cellStyle name="Обычный 18 2 2 2" xfId="191"/>
    <cellStyle name="Обычный 18 2 3" xfId="178"/>
    <cellStyle name="Обычный 18 3" xfId="117"/>
    <cellStyle name="Обычный 18 3 2" xfId="206"/>
    <cellStyle name="Обычный 18 4" xfId="175"/>
    <cellStyle name="Обычный 19" xfId="161"/>
    <cellStyle name="Обычный 2" xfId="9"/>
    <cellStyle name="Обычный 2 11" xfId="217"/>
    <cellStyle name="Обычный 2 2" xfId="18"/>
    <cellStyle name="Обычный 2 2 2" xfId="67"/>
    <cellStyle name="Обычный 2 2 2 2" xfId="60"/>
    <cellStyle name="Обычный 2 2 2 2 2" xfId="89"/>
    <cellStyle name="Обычный 2 2 4" xfId="88"/>
    <cellStyle name="Обычный 2 2 4 2" xfId="131"/>
    <cellStyle name="Обычный 2 3" xfId="6"/>
    <cellStyle name="Обычный 2 4" xfId="42"/>
    <cellStyle name="Обычный 23 2" xfId="99"/>
    <cellStyle name="Обычный 23 2 2" xfId="223"/>
    <cellStyle name="Обычный 23 2 3" xfId="189"/>
    <cellStyle name="Обычный 28 4 2" xfId="85"/>
    <cellStyle name="Обычный 28 4 2 2" xfId="104"/>
    <cellStyle name="Обычный 28 4 2 2 2" xfId="129"/>
    <cellStyle name="Обычный 28 4 2 2 2 2" xfId="219"/>
    <cellStyle name="Обычный 28 4 2 2 3" xfId="194"/>
    <cellStyle name="Обычный 28 4 2 3" xfId="121"/>
    <cellStyle name="Обычный 28 4 2 3 2" xfId="210"/>
    <cellStyle name="Обычный 28 4 2 4" xfId="179"/>
    <cellStyle name="Обычный 28 4 3" xfId="218"/>
    <cellStyle name="Обычный 3" xfId="10"/>
    <cellStyle name="Обычный 3 2" xfId="11"/>
    <cellStyle name="Обычный 3 2 2" xfId="43"/>
    <cellStyle name="Обычный 3 2 3" xfId="8"/>
    <cellStyle name="Обычный 3 2 3 2" xfId="221"/>
    <cellStyle name="Обычный 3 2 4" xfId="127"/>
    <cellStyle name="Обычный 3 3" xfId="7"/>
    <cellStyle name="Обычный 3 3 2" xfId="2"/>
    <cellStyle name="Обычный 3 3 2 2" xfId="61"/>
    <cellStyle name="Обычный 3 3 3" xfId="66"/>
    <cellStyle name="Обычный 3 3 4" xfId="255"/>
    <cellStyle name="Обычный 3 4" xfId="19"/>
    <cellStyle name="Обычный 3 5" xfId="26"/>
    <cellStyle name="Обычный 3 5 2" xfId="169"/>
    <cellStyle name="Обычный 3 6" xfId="162"/>
    <cellStyle name="Обычный 32 2" xfId="130"/>
    <cellStyle name="Обычный 32 3" xfId="220"/>
    <cellStyle name="Обычный 33 3" xfId="91"/>
    <cellStyle name="Обычный 33 3 2" xfId="106"/>
    <cellStyle name="Обычный 33 3 2 2" xfId="196"/>
    <cellStyle name="Обычный 33 3 3" xfId="123"/>
    <cellStyle name="Обычный 33 3 3 2" xfId="212"/>
    <cellStyle name="Обычный 33 3 4" xfId="181"/>
    <cellStyle name="Обычный 36 2" xfId="90"/>
    <cellStyle name="Обычный 36 2 2" xfId="105"/>
    <cellStyle name="Обычный 36 2 2 2" xfId="195"/>
    <cellStyle name="Обычный 36 2 3" xfId="122"/>
    <cellStyle name="Обычный 36 2 3 2" xfId="211"/>
    <cellStyle name="Обычный 36 2 4" xfId="180"/>
    <cellStyle name="Обычный 4" xfId="3"/>
    <cellStyle name="Обычный 4 2" xfId="13"/>
    <cellStyle name="Обычный 4 3" xfId="254"/>
    <cellStyle name="Обычный 4 3 2" xfId="253"/>
    <cellStyle name="Обычный 40 3" xfId="132"/>
    <cellStyle name="Обычный 40 3 2" xfId="222"/>
    <cellStyle name="Обычный 43" xfId="70"/>
    <cellStyle name="Обычный 47" xfId="126"/>
    <cellStyle name="Обычный 47 2" xfId="215"/>
    <cellStyle name="Обычный 5" xfId="5"/>
    <cellStyle name="Обычный 6" xfId="17"/>
    <cellStyle name="Обычный 6 2" xfId="32"/>
    <cellStyle name="Обычный 6 2 2" xfId="171"/>
    <cellStyle name="Обычный 6 3" xfId="256"/>
    <cellStyle name="Обычный 6 4" xfId="257"/>
    <cellStyle name="Обычный 6 5" xfId="258"/>
    <cellStyle name="Обычный 6 5 2" xfId="259"/>
    <cellStyle name="Обычный 6 5 3" xfId="260"/>
    <cellStyle name="Обычный 7" xfId="4"/>
    <cellStyle name="Обычный 7 2" xfId="23"/>
    <cellStyle name="Обычный 7 2 2" xfId="166"/>
    <cellStyle name="Обычный 7 3" xfId="164"/>
    <cellStyle name="Обычный 8" xfId="25"/>
    <cellStyle name="Обычный 8 2" xfId="168"/>
    <cellStyle name="Обычный 9" xfId="27"/>
    <cellStyle name="Обычный 9 5 2" xfId="100"/>
    <cellStyle name="Обычный 9 5 2 2" xfId="224"/>
    <cellStyle name="Обычный 9 5 2 3" xfId="190"/>
    <cellStyle name="ПИР" xfId="15"/>
    <cellStyle name="ПИР 2" xfId="21"/>
    <cellStyle name="ПИР 2 2" xfId="139"/>
    <cellStyle name="ПИР 2 3" xfId="144"/>
    <cellStyle name="ПИР 2 4" xfId="229"/>
    <cellStyle name="ПИР 3" xfId="147"/>
    <cellStyle name="ПИР 4" xfId="155"/>
    <cellStyle name="ПИР 5" xfId="227"/>
    <cellStyle name="Процентный 15" xfId="82"/>
    <cellStyle name="Процентный 2" xfId="59"/>
    <cellStyle name="Процентный 2 2" xfId="128"/>
    <cellStyle name="Процентный 2 3" xfId="174"/>
    <cellStyle name="Процентный 3" xfId="98"/>
    <cellStyle name="Процентный 3 2" xfId="188"/>
    <cellStyle name="Процентный 4" xfId="113"/>
    <cellStyle name="Процентный 4 2" xfId="203"/>
    <cellStyle name="Процентный 5" xfId="134"/>
    <cellStyle name="Процентный 6" xfId="125"/>
    <cellStyle name="СводВедРес" xfId="28"/>
    <cellStyle name="СводВедРес 2" xfId="29"/>
    <cellStyle name="Титул" xfId="14"/>
    <cellStyle name="Финансовый" xfId="1" builtinId="3"/>
    <cellStyle name="Финансовый [0] 2" xfId="84"/>
    <cellStyle name="Финансовый 10" xfId="81"/>
    <cellStyle name="Финансовый 11" xfId="160"/>
    <cellStyle name="Финансовый 2" xfId="44"/>
    <cellStyle name="Финансовый 2 2" xfId="172"/>
    <cellStyle name="Финансовый 2 2 2" xfId="68"/>
    <cellStyle name="Финансовый 2 2 2 2" xfId="177"/>
    <cellStyle name="Финансовый 3" xfId="69"/>
    <cellStyle name="Финансовый 4" xfId="133"/>
    <cellStyle name="Финансовый 4 2" xfId="226"/>
    <cellStyle name="Финансовый 5" xfId="137"/>
    <cellStyle name="Финансовый 6" xfId="156"/>
    <cellStyle name="Финансовый 7" xfId="87"/>
    <cellStyle name="Финансовый 8" xfId="158"/>
    <cellStyle name="Финансовый 9" xfId="159"/>
    <cellStyle name="Хвост" xfId="12"/>
  </cellStyles>
  <dxfs count="0"/>
  <tableStyles count="0" defaultTableStyle="TableStyleMedium2" defaultPivotStyle="PivotStyleLight16"/>
  <colors>
    <mruColors>
      <color rgb="FF01FFFF"/>
      <color rgb="FFA8FA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590550</xdr:colOff>
      <xdr:row>24</xdr:row>
      <xdr:rowOff>76200</xdr:rowOff>
    </xdr:from>
    <xdr:to>
      <xdr:col>18</xdr:col>
      <xdr:colOff>9525</xdr:colOff>
      <xdr:row>24</xdr:row>
      <xdr:rowOff>609600</xdr:rowOff>
    </xdr:to>
    <xdr:pic>
      <xdr:nvPicPr>
        <xdr:cNvPr id="3" name="Консультант Плюс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0075" y="6467475"/>
          <a:ext cx="24669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c\&#1055;&#1056;&#1054;&#1045;&#1050;&#1058;&#1067;\&#1055;&#1056;&#1054;&#1052;&#1067;&#1064;&#1051;&#1045;&#1053;&#1053;&#1054;&#1057;&#1058;&#1068;%20&#1048;%20&#1055;&#1056;&#1054;&#1048;&#1047;&#1042;&#1054;&#1044;&#1057;&#1058;&#1042;&#1054;\&#1050;&#1072;&#1085;&#1072;&#1090;&#1085;&#1099;&#1077;%20&#1076;&#1086;&#1088;&#1086;&#1075;&#1080;\!&#1056;&#1058;-&#1041;&#1072;&#1088;&#1090;&#1086;&#1083;&#1077;&#1090;\BoD\23-03-2021_&#1057;&#1044;_&#1042;&#1083;&#1086;&#1078;&#1077;&#1085;&#1080;&#1103;%20&#1042;&#1041;&#1055;\25-03-2021_JV_business_plan%20v_1.8%20(altay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RTHOLET%20WORKS\BUDGET\RTB%202023\SALES%20PROJECTS\&#1052;&#1072;&#1084;&#1080;&#1089;&#1086;&#1085;%20&#1092;&#1080;&#1085;.%20&#1084;&#1086;&#1076;&#1077;&#1083;&#1100;%2029.11.2022_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tarinov\AppData\Roaming\Microsoft\AddIns\sumprop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e Altay"/>
      <sheetName val="Comparison"/>
      <sheetName val="Bridge to 26.01"/>
      <sheetName val="Output"/>
      <sheetName val="PL_CF_statements"/>
      <sheetName val="SU_table"/>
      <sheetName val="Input"/>
      <sheetName val="Pipeline"/>
      <sheetName val="Revenue"/>
      <sheetName val="OPEX"/>
      <sheetName val="Export"/>
      <sheetName val="Guarantees"/>
      <sheetName val="Capex"/>
      <sheetName val="Income tax"/>
      <sheetName val="VAT"/>
      <sheetName val="Other obligation"/>
      <sheetName val="Support&gt;&gt;&gt;"/>
      <sheetName val="Option 1 Costs in Rub"/>
      <sheetName val="3. Cashflow 2021"/>
      <sheetName val="Cashflow_SHA"/>
      <sheetName val="1. Summary 2021-2025"/>
      <sheetName val="4.1 Year 2021E"/>
      <sheetName val="4.1 Year 2022E"/>
      <sheetName val="4.1 Year 2023E"/>
      <sheetName val="4.1 Year 2024E"/>
      <sheetName val="4.1 Year 2025E"/>
      <sheetName val="Upside potential"/>
      <sheetName val="Annex 1 Example customer paym."/>
      <sheetName val="Annex 2 Example project costs"/>
      <sheetName val="Annex 3 Input values"/>
      <sheetName val="Projects&gt;&gt;&gt;"/>
      <sheetName val="Project costs, Rechnoy Moscow"/>
      <sheetName val="Project costs, Altay"/>
      <sheetName val="Project costs, Krim"/>
      <sheetName val="Project costs, Novo 1"/>
      <sheetName val="Project costs, Novo 2"/>
      <sheetName val="Project costs, Ekaterinburg"/>
    </sheetNames>
    <sheetDataSet>
      <sheetData sheetId="0">
        <row r="4">
          <cell r="H4">
            <v>12930917.018667392</v>
          </cell>
        </row>
      </sheetData>
      <sheetData sheetId="1"/>
      <sheetData sheetId="2"/>
      <sheetData sheetId="3"/>
      <sheetData sheetId="4"/>
      <sheetData sheetId="5"/>
      <sheetData sheetId="6">
        <row r="7">
          <cell r="E7">
            <v>87.6</v>
          </cell>
        </row>
      </sheetData>
      <sheetData sheetId="7"/>
      <sheetData sheetId="8">
        <row r="17">
          <cell r="Z17">
            <v>1</v>
          </cell>
        </row>
      </sheetData>
      <sheetData sheetId="9">
        <row r="77">
          <cell r="B77">
            <v>-0.43905783920637442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6">
          <cell r="C6">
            <v>73.39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&amp;A"/>
      <sheetName val="Agreements with MND"/>
      <sheetName val="Mamison cost calc. Swiss 03.06"/>
      <sheetName val="Budget_0"/>
      <sheetName val="Budget_1"/>
      <sheetName val="Chart"/>
      <sheetName val="Monthly CF"/>
      <sheetName val="Мамисон"/>
      <sheetName val="Output"/>
      <sheetName val="Input"/>
      <sheetName val="Revenue"/>
      <sheetName val="Costs_input"/>
      <sheetName val="Guarantee"/>
      <sheetName val="Taxes"/>
      <sheetName val="VAT"/>
      <sheetName val="Assets_Liabilities"/>
      <sheetName val="CFS&amp;PL IFRS"/>
      <sheetName val="&gt;Support"/>
      <sheetName val="21-25 Bugdet"/>
      <sheetName val="Pipeline 21-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3">
          <cell r="I13">
            <v>-980.89960670392304</v>
          </cell>
        </row>
      </sheetData>
      <sheetData sheetId="9">
        <row r="7">
          <cell r="G7">
            <v>0.2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umprop"/>
    </sheetNames>
    <definedNames>
      <definedName name="СуммаПрописью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workbookViewId="0">
      <selection activeCell="F24" sqref="F24"/>
    </sheetView>
  </sheetViews>
  <sheetFormatPr defaultColWidth="9.140625" defaultRowHeight="15" x14ac:dyDescent="0.25"/>
  <cols>
    <col min="1" max="1" width="22" style="175" customWidth="1"/>
    <col min="2" max="2" width="51.5703125" style="175" customWidth="1"/>
    <col min="3" max="3" width="65" style="175" customWidth="1"/>
    <col min="4" max="16384" width="9.140625" style="175"/>
  </cols>
  <sheetData>
    <row r="1" spans="1:13" ht="15.75" x14ac:dyDescent="0.25">
      <c r="A1" s="420" t="s">
        <v>401</v>
      </c>
      <c r="B1" s="420"/>
      <c r="C1" s="420"/>
    </row>
    <row r="2" spans="1:13" ht="15.75" x14ac:dyDescent="0.25">
      <c r="A2" s="420" t="s">
        <v>402</v>
      </c>
      <c r="B2" s="420"/>
      <c r="C2" s="420"/>
    </row>
    <row r="3" spans="1:13" ht="15.75" customHeight="1" x14ac:dyDescent="0.25">
      <c r="A3" s="421" t="s">
        <v>357</v>
      </c>
      <c r="B3" s="421"/>
      <c r="C3" s="421"/>
      <c r="D3" s="217"/>
      <c r="E3" s="217"/>
      <c r="F3" s="217"/>
      <c r="G3" s="217"/>
      <c r="H3" s="217"/>
      <c r="I3" s="217"/>
      <c r="J3" s="217"/>
      <c r="K3" s="217"/>
      <c r="L3" s="217"/>
      <c r="M3" s="217"/>
    </row>
    <row r="4" spans="1:13" ht="42.75" customHeight="1" x14ac:dyDescent="0.25">
      <c r="A4" s="422" t="s">
        <v>288</v>
      </c>
      <c r="B4" s="422"/>
      <c r="C4" s="422"/>
      <c r="D4" s="223"/>
      <c r="E4" s="223"/>
      <c r="F4" s="223"/>
      <c r="G4" s="223"/>
      <c r="H4" s="223"/>
      <c r="I4" s="223"/>
      <c r="J4" s="223"/>
      <c r="K4" s="223"/>
      <c r="L4" s="223"/>
      <c r="M4" s="223"/>
    </row>
    <row r="5" spans="1:13" ht="95.25" customHeight="1" x14ac:dyDescent="0.25">
      <c r="A5" s="416" t="s">
        <v>403</v>
      </c>
      <c r="B5" s="416"/>
      <c r="C5" s="416"/>
    </row>
    <row r="6" spans="1:13" ht="30" customHeight="1" x14ac:dyDescent="0.25">
      <c r="A6" s="416" t="s">
        <v>404</v>
      </c>
      <c r="B6" s="416"/>
      <c r="C6" s="416"/>
    </row>
    <row r="7" spans="1:13" ht="69.75" customHeight="1" x14ac:dyDescent="0.25">
      <c r="A7" s="416" t="s">
        <v>405</v>
      </c>
      <c r="B7" s="416"/>
      <c r="C7" s="416"/>
    </row>
    <row r="8" spans="1:13" ht="34.5" customHeight="1" x14ac:dyDescent="0.25">
      <c r="A8" s="417" t="s">
        <v>406</v>
      </c>
      <c r="B8" s="417"/>
      <c r="C8" s="417"/>
    </row>
    <row r="9" spans="1:13" ht="35.25" customHeight="1" x14ac:dyDescent="0.25">
      <c r="A9" s="418" t="s">
        <v>456</v>
      </c>
      <c r="B9" s="418"/>
      <c r="C9" s="418"/>
    </row>
    <row r="10" spans="1:13" ht="69.75" customHeight="1" x14ac:dyDescent="0.25">
      <c r="A10" s="419" t="s">
        <v>409</v>
      </c>
      <c r="B10" s="419"/>
      <c r="C10" s="419"/>
    </row>
    <row r="11" spans="1:13" ht="69.75" customHeight="1" x14ac:dyDescent="0.25">
      <c r="A11" s="419" t="s">
        <v>410</v>
      </c>
      <c r="B11" s="419"/>
      <c r="C11" s="419"/>
    </row>
    <row r="12" spans="1:13" ht="68.25" customHeight="1" x14ac:dyDescent="0.25">
      <c r="A12" s="416" t="s">
        <v>492</v>
      </c>
      <c r="B12" s="416"/>
      <c r="C12" s="416"/>
    </row>
    <row r="13" spans="1:13" ht="26.25" customHeight="1" x14ac:dyDescent="0.25">
      <c r="A13" s="416" t="s">
        <v>493</v>
      </c>
      <c r="B13" s="416"/>
      <c r="C13" s="416"/>
    </row>
    <row r="14" spans="1:13" ht="15.75" x14ac:dyDescent="0.25">
      <c r="A14" s="218"/>
      <c r="B14" s="218"/>
      <c r="C14" s="218"/>
    </row>
    <row r="15" spans="1:13" ht="15.75" x14ac:dyDescent="0.25">
      <c r="A15" s="219" t="s">
        <v>407</v>
      </c>
      <c r="B15" s="220"/>
      <c r="C15" s="219"/>
    </row>
    <row r="16" spans="1:13" ht="15.75" x14ac:dyDescent="0.25">
      <c r="A16" s="423"/>
      <c r="B16" s="423"/>
      <c r="C16" s="423"/>
    </row>
    <row r="17" spans="1:10" ht="15.75" x14ac:dyDescent="0.25">
      <c r="A17" s="219"/>
      <c r="B17" s="220">
        <f>НМЦ!E14</f>
        <v>1279285162.1900001</v>
      </c>
      <c r="C17" s="219" t="s">
        <v>408</v>
      </c>
    </row>
    <row r="18" spans="1:10" ht="15.75" x14ac:dyDescent="0.25">
      <c r="A18" s="180"/>
      <c r="B18" s="180"/>
      <c r="C18" s="180"/>
    </row>
    <row r="19" spans="1:10" ht="54" customHeight="1" x14ac:dyDescent="0.25">
      <c r="A19" s="424" t="s">
        <v>485</v>
      </c>
      <c r="B19" s="424"/>
      <c r="C19" s="221" t="s">
        <v>486</v>
      </c>
      <c r="D19" s="222"/>
      <c r="E19" s="222"/>
      <c r="F19" s="184"/>
      <c r="G19" s="184"/>
      <c r="H19" s="198"/>
      <c r="I19" s="209"/>
      <c r="J19" s="185"/>
    </row>
  </sheetData>
  <mergeCells count="15">
    <mergeCell ref="A11:C11"/>
    <mergeCell ref="A12:C12"/>
    <mergeCell ref="A13:C13"/>
    <mergeCell ref="A16:C16"/>
    <mergeCell ref="A19:B19"/>
    <mergeCell ref="A7:C7"/>
    <mergeCell ref="A8:C8"/>
    <mergeCell ref="A9:C9"/>
    <mergeCell ref="A10:C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  <pageSetup paperSize="9" scale="6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4"/>
  <sheetViews>
    <sheetView topLeftCell="A86" workbookViewId="0">
      <selection activeCell="E119" sqref="E119"/>
    </sheetView>
  </sheetViews>
  <sheetFormatPr defaultColWidth="9.140625" defaultRowHeight="11.25" x14ac:dyDescent="0.2"/>
  <cols>
    <col min="1" max="1" width="6.7109375" style="34" customWidth="1"/>
    <col min="2" max="2" width="22.140625" style="34" customWidth="1"/>
    <col min="3" max="3" width="32.7109375" style="34" customWidth="1"/>
    <col min="4" max="8" width="20.28515625" style="34" customWidth="1"/>
    <col min="9" max="13" width="113.85546875" style="36" hidden="1" customWidth="1"/>
    <col min="14" max="19" width="136" style="36" hidden="1" customWidth="1"/>
    <col min="20" max="26" width="156.28515625" style="36" hidden="1" customWidth="1"/>
    <col min="27" max="27" width="163" style="36" hidden="1" customWidth="1"/>
    <col min="28" max="29" width="54.85546875" style="36" hidden="1" customWidth="1"/>
    <col min="30" max="31" width="53" style="36" hidden="1" customWidth="1"/>
    <col min="32" max="39" width="81.140625" style="36" hidden="1" customWidth="1"/>
    <col min="40" max="43" width="81.85546875" style="36" hidden="1" customWidth="1"/>
    <col min="44" max="47" width="81.140625" style="36" hidden="1" customWidth="1"/>
    <col min="48" max="49" width="53" style="36" hidden="1" customWidth="1"/>
    <col min="50" max="53" width="81.140625" style="36" hidden="1" customWidth="1"/>
    <col min="54" max="16384" width="9.140625" style="34"/>
  </cols>
  <sheetData>
    <row r="1" spans="1:19" customFormat="1" ht="15" x14ac:dyDescent="0.25">
      <c r="H1" s="35" t="s">
        <v>53</v>
      </c>
    </row>
    <row r="2" spans="1:19" customFormat="1" ht="15" x14ac:dyDescent="0.25">
      <c r="A2" s="37"/>
      <c r="B2" s="37"/>
      <c r="C2" s="37"/>
      <c r="D2" s="37"/>
      <c r="E2" s="37"/>
      <c r="F2" s="37"/>
      <c r="G2" s="37"/>
      <c r="H2" s="35" t="s">
        <v>110</v>
      </c>
    </row>
    <row r="3" spans="1:19" customFormat="1" ht="15" x14ac:dyDescent="0.25">
      <c r="A3" s="37"/>
      <c r="B3" s="37"/>
      <c r="C3" s="37"/>
      <c r="D3" s="37"/>
      <c r="E3" s="37"/>
      <c r="F3" s="37"/>
      <c r="G3" s="37"/>
      <c r="H3" s="35"/>
    </row>
    <row r="4" spans="1:19" customFormat="1" ht="15" x14ac:dyDescent="0.25">
      <c r="A4" s="37"/>
      <c r="B4" s="37" t="s">
        <v>54</v>
      </c>
      <c r="C4" s="552" t="s">
        <v>55</v>
      </c>
      <c r="D4" s="552"/>
      <c r="E4" s="552"/>
      <c r="F4" s="552"/>
      <c r="G4" s="552"/>
      <c r="H4" s="37"/>
      <c r="I4" s="45" t="s">
        <v>55</v>
      </c>
      <c r="J4" s="45" t="s">
        <v>31</v>
      </c>
      <c r="K4" s="45" t="s">
        <v>31</v>
      </c>
      <c r="L4" s="45" t="s">
        <v>31</v>
      </c>
      <c r="M4" s="45" t="s">
        <v>31</v>
      </c>
    </row>
    <row r="5" spans="1:19" customFormat="1" ht="10.5" customHeight="1" x14ac:dyDescent="0.25">
      <c r="A5" s="37"/>
      <c r="B5" s="37"/>
      <c r="C5" s="553" t="s">
        <v>56</v>
      </c>
      <c r="D5" s="553"/>
      <c r="E5" s="553"/>
      <c r="F5" s="553"/>
      <c r="G5" s="553"/>
      <c r="H5" s="37"/>
    </row>
    <row r="6" spans="1:19" customFormat="1" ht="17.25" customHeight="1" x14ac:dyDescent="0.25">
      <c r="A6" s="37"/>
      <c r="B6" s="37" t="s">
        <v>57</v>
      </c>
      <c r="C6" s="39"/>
      <c r="D6" s="39"/>
      <c r="E6" s="39"/>
      <c r="F6" s="39"/>
      <c r="G6" s="39"/>
      <c r="H6" s="37"/>
    </row>
    <row r="7" spans="1:19" customFormat="1" ht="17.25" customHeight="1" x14ac:dyDescent="0.25">
      <c r="A7" s="37"/>
      <c r="B7" s="37"/>
      <c r="C7" s="39"/>
      <c r="D7" s="39"/>
      <c r="E7" s="39"/>
      <c r="F7" s="39"/>
      <c r="G7" s="39"/>
      <c r="H7" s="37"/>
    </row>
    <row r="8" spans="1:19" customFormat="1" ht="17.25" customHeight="1" x14ac:dyDescent="0.25">
      <c r="A8" s="37"/>
      <c r="B8" s="38" t="s">
        <v>111</v>
      </c>
      <c r="C8" s="39"/>
      <c r="D8" s="39"/>
      <c r="E8" s="39"/>
      <c r="F8" s="39"/>
      <c r="G8" s="39"/>
      <c r="H8" s="37"/>
    </row>
    <row r="9" spans="1:19" customFormat="1" ht="17.25" customHeight="1" x14ac:dyDescent="0.25">
      <c r="A9" s="37"/>
      <c r="B9" s="37"/>
      <c r="C9" s="554">
        <v>1</v>
      </c>
      <c r="D9" s="555"/>
      <c r="E9" s="555"/>
      <c r="F9" s="555"/>
      <c r="G9" s="555"/>
      <c r="H9" s="37"/>
    </row>
    <row r="10" spans="1:19" customFormat="1" ht="11.25" customHeight="1" x14ac:dyDescent="0.25">
      <c r="A10" s="40"/>
      <c r="B10" s="40"/>
      <c r="C10" s="553" t="s">
        <v>58</v>
      </c>
      <c r="D10" s="553"/>
      <c r="E10" s="553"/>
      <c r="F10" s="553"/>
      <c r="G10" s="553"/>
      <c r="H10" s="40"/>
    </row>
    <row r="11" spans="1:19" customFormat="1" ht="11.25" customHeight="1" x14ac:dyDescent="0.25">
      <c r="A11" s="40"/>
      <c r="B11" s="40"/>
      <c r="C11" s="39"/>
      <c r="D11" s="39"/>
      <c r="E11" s="39"/>
      <c r="F11" s="39"/>
      <c r="G11" s="39"/>
      <c r="H11" s="40"/>
    </row>
    <row r="12" spans="1:19" customFormat="1" ht="18" x14ac:dyDescent="0.25">
      <c r="A12" s="40"/>
      <c r="B12" s="556" t="s">
        <v>112</v>
      </c>
      <c r="C12" s="556"/>
      <c r="D12" s="556"/>
      <c r="E12" s="556"/>
      <c r="F12" s="556"/>
      <c r="G12" s="556"/>
      <c r="H12" s="40"/>
    </row>
    <row r="13" spans="1:19" customFormat="1" ht="11.25" customHeight="1" x14ac:dyDescent="0.25">
      <c r="A13" s="40"/>
      <c r="B13" s="40"/>
      <c r="C13" s="39"/>
      <c r="D13" s="39"/>
      <c r="E13" s="39"/>
      <c r="F13" s="39"/>
      <c r="G13" s="39"/>
      <c r="H13" s="40"/>
    </row>
    <row r="14" spans="1:19" customFormat="1" ht="11.25" customHeight="1" x14ac:dyDescent="0.25">
      <c r="A14" s="40"/>
      <c r="B14" s="40"/>
      <c r="C14" s="39"/>
      <c r="D14" s="39"/>
      <c r="E14" s="39"/>
      <c r="F14" s="39"/>
      <c r="G14" s="39"/>
      <c r="H14" s="40"/>
    </row>
    <row r="15" spans="1:19" customFormat="1" ht="11.25" customHeight="1" x14ac:dyDescent="0.25">
      <c r="A15" s="40"/>
      <c r="B15" s="40"/>
      <c r="C15" s="39"/>
      <c r="D15" s="39"/>
      <c r="E15" s="39"/>
      <c r="F15" s="39"/>
      <c r="G15" s="39"/>
      <c r="H15" s="40"/>
    </row>
    <row r="16" spans="1:19" customFormat="1" ht="15" x14ac:dyDescent="0.25">
      <c r="A16" s="45"/>
      <c r="B16" s="536" t="s">
        <v>113</v>
      </c>
      <c r="C16" s="536"/>
      <c r="D16" s="536"/>
      <c r="E16" s="536"/>
      <c r="F16" s="536"/>
      <c r="G16" s="536"/>
      <c r="H16" s="45"/>
      <c r="N16" s="45" t="s">
        <v>113</v>
      </c>
      <c r="O16" s="45" t="s">
        <v>31</v>
      </c>
      <c r="P16" s="45" t="s">
        <v>31</v>
      </c>
      <c r="Q16" s="45" t="s">
        <v>31</v>
      </c>
      <c r="R16" s="45" t="s">
        <v>31</v>
      </c>
      <c r="S16" s="45" t="s">
        <v>31</v>
      </c>
    </row>
    <row r="17" spans="1:28" customFormat="1" ht="13.5" customHeight="1" x14ac:dyDescent="0.25">
      <c r="A17" s="41"/>
      <c r="B17" s="544" t="s">
        <v>59</v>
      </c>
      <c r="C17" s="544"/>
      <c r="D17" s="544"/>
      <c r="E17" s="544"/>
      <c r="F17" s="544"/>
      <c r="G17" s="544"/>
      <c r="H17" s="41"/>
    </row>
    <row r="18" spans="1:28" customFormat="1" ht="9.75" customHeight="1" x14ac:dyDescent="0.25">
      <c r="A18" s="37"/>
      <c r="B18" s="37"/>
      <c r="C18" s="37"/>
      <c r="D18" s="42"/>
      <c r="E18" s="42"/>
      <c r="F18" s="42"/>
      <c r="G18" s="43"/>
      <c r="H18" s="43"/>
    </row>
    <row r="19" spans="1:28" customFormat="1" ht="15" x14ac:dyDescent="0.25">
      <c r="A19" s="44"/>
      <c r="B19" s="545" t="s">
        <v>60</v>
      </c>
      <c r="C19" s="545"/>
      <c r="D19" s="545"/>
      <c r="E19" s="545"/>
      <c r="F19" s="545"/>
      <c r="G19" s="545"/>
      <c r="H19" s="545"/>
      <c r="T19" s="45" t="s">
        <v>60</v>
      </c>
      <c r="U19" s="45" t="s">
        <v>31</v>
      </c>
      <c r="V19" s="45" t="s">
        <v>31</v>
      </c>
      <c r="W19" s="45" t="s">
        <v>31</v>
      </c>
      <c r="X19" s="45" t="s">
        <v>31</v>
      </c>
      <c r="Y19" s="45" t="s">
        <v>31</v>
      </c>
      <c r="Z19" s="45" t="s">
        <v>31</v>
      </c>
    </row>
    <row r="20" spans="1:28" customFormat="1" ht="9.75" customHeight="1" x14ac:dyDescent="0.25">
      <c r="A20" s="37"/>
      <c r="B20" s="37"/>
      <c r="C20" s="37"/>
      <c r="D20" s="39"/>
      <c r="E20" s="39"/>
      <c r="F20" s="39"/>
      <c r="G20" s="39"/>
      <c r="H20" s="39"/>
    </row>
    <row r="21" spans="1:28" customFormat="1" ht="16.5" customHeight="1" x14ac:dyDescent="0.25">
      <c r="A21" s="546" t="s">
        <v>61</v>
      </c>
      <c r="B21" s="546" t="s">
        <v>62</v>
      </c>
      <c r="C21" s="546" t="s">
        <v>63</v>
      </c>
      <c r="D21" s="549" t="s">
        <v>64</v>
      </c>
      <c r="E21" s="550"/>
      <c r="F21" s="550"/>
      <c r="G21" s="550"/>
      <c r="H21" s="551"/>
    </row>
    <row r="22" spans="1:28" customFormat="1" ht="52.5" customHeight="1" x14ac:dyDescent="0.25">
      <c r="A22" s="547"/>
      <c r="B22" s="547"/>
      <c r="C22" s="547"/>
      <c r="D22" s="546" t="s">
        <v>114</v>
      </c>
      <c r="E22" s="546" t="s">
        <v>65</v>
      </c>
      <c r="F22" s="546" t="s">
        <v>66</v>
      </c>
      <c r="G22" s="546" t="s">
        <v>67</v>
      </c>
      <c r="H22" s="546" t="s">
        <v>68</v>
      </c>
    </row>
    <row r="23" spans="1:28" customFormat="1" ht="3.75" customHeight="1" x14ac:dyDescent="0.25">
      <c r="A23" s="548"/>
      <c r="B23" s="548"/>
      <c r="C23" s="548"/>
      <c r="D23" s="548"/>
      <c r="E23" s="548"/>
      <c r="F23" s="548"/>
      <c r="G23" s="548"/>
      <c r="H23" s="548"/>
    </row>
    <row r="24" spans="1:28" customFormat="1" ht="15" x14ac:dyDescent="0.25">
      <c r="A24" s="71">
        <v>1</v>
      </c>
      <c r="B24" s="71">
        <v>2</v>
      </c>
      <c r="C24" s="71">
        <v>3</v>
      </c>
      <c r="D24" s="71">
        <v>4</v>
      </c>
      <c r="E24" s="71">
        <v>5</v>
      </c>
      <c r="F24" s="71">
        <v>6</v>
      </c>
      <c r="G24" s="71">
        <v>7</v>
      </c>
      <c r="H24" s="71">
        <v>8</v>
      </c>
    </row>
    <row r="25" spans="1:28" customFormat="1" ht="15" x14ac:dyDescent="0.25">
      <c r="A25" s="539" t="s">
        <v>69</v>
      </c>
      <c r="B25" s="540"/>
      <c r="C25" s="540"/>
      <c r="D25" s="540"/>
      <c r="E25" s="540"/>
      <c r="F25" s="540"/>
      <c r="G25" s="540"/>
      <c r="H25" s="541"/>
      <c r="AA25" s="46" t="s">
        <v>69</v>
      </c>
    </row>
    <row r="26" spans="1:28" customFormat="1" ht="33.75" x14ac:dyDescent="0.25">
      <c r="A26" s="72">
        <v>1</v>
      </c>
      <c r="B26" s="73" t="s">
        <v>37</v>
      </c>
      <c r="C26" s="73" t="s">
        <v>115</v>
      </c>
      <c r="D26" s="74"/>
      <c r="E26" s="74"/>
      <c r="F26" s="74"/>
      <c r="G26" s="74">
        <v>258.74</v>
      </c>
      <c r="H26" s="74">
        <v>258.74</v>
      </c>
      <c r="AA26" s="46"/>
    </row>
    <row r="27" spans="1:28" customFormat="1" ht="22.5" x14ac:dyDescent="0.25">
      <c r="A27" s="72">
        <v>2</v>
      </c>
      <c r="B27" s="73" t="s">
        <v>70</v>
      </c>
      <c r="C27" s="73" t="s">
        <v>116</v>
      </c>
      <c r="D27" s="74"/>
      <c r="E27" s="74"/>
      <c r="F27" s="74"/>
      <c r="G27" s="74">
        <v>1575.76</v>
      </c>
      <c r="H27" s="74">
        <v>1575.76</v>
      </c>
      <c r="AA27" s="46"/>
    </row>
    <row r="28" spans="1:28" customFormat="1" ht="15" x14ac:dyDescent="0.25">
      <c r="A28" s="72">
        <v>3</v>
      </c>
      <c r="B28" s="73" t="s">
        <v>117</v>
      </c>
      <c r="C28" s="73" t="s">
        <v>118</v>
      </c>
      <c r="D28" s="74">
        <v>755.04</v>
      </c>
      <c r="E28" s="74"/>
      <c r="F28" s="74"/>
      <c r="G28" s="74"/>
      <c r="H28" s="74">
        <v>755.04</v>
      </c>
      <c r="AA28" s="46"/>
    </row>
    <row r="29" spans="1:28" customFormat="1" ht="23.25" x14ac:dyDescent="0.25">
      <c r="A29" s="75"/>
      <c r="B29" s="537" t="s">
        <v>71</v>
      </c>
      <c r="C29" s="538"/>
      <c r="D29" s="76">
        <v>755.04</v>
      </c>
      <c r="E29" s="76"/>
      <c r="F29" s="77"/>
      <c r="G29" s="77">
        <v>1834.5</v>
      </c>
      <c r="H29" s="77">
        <v>2589.54</v>
      </c>
      <c r="AA29" s="46"/>
      <c r="AB29" s="47" t="s">
        <v>71</v>
      </c>
    </row>
    <row r="30" spans="1:28" customFormat="1" ht="15" x14ac:dyDescent="0.25">
      <c r="A30" s="539" t="s">
        <v>72</v>
      </c>
      <c r="B30" s="540"/>
      <c r="C30" s="540"/>
      <c r="D30" s="540"/>
      <c r="E30" s="540"/>
      <c r="F30" s="540"/>
      <c r="G30" s="540"/>
      <c r="H30" s="541"/>
      <c r="AA30" s="46" t="s">
        <v>72</v>
      </c>
      <c r="AB30" s="47"/>
    </row>
    <row r="31" spans="1:28" customFormat="1" ht="22.5" x14ac:dyDescent="0.25">
      <c r="A31" s="72">
        <v>4</v>
      </c>
      <c r="B31" s="73" t="s">
        <v>51</v>
      </c>
      <c r="C31" s="73" t="s">
        <v>119</v>
      </c>
      <c r="D31" s="74">
        <v>567683.64</v>
      </c>
      <c r="E31" s="74">
        <v>36331.120000000003</v>
      </c>
      <c r="F31" s="74">
        <v>156678.34</v>
      </c>
      <c r="G31" s="74"/>
      <c r="H31" s="74">
        <v>760693.1</v>
      </c>
      <c r="AA31" s="46"/>
      <c r="AB31" s="47"/>
    </row>
    <row r="32" spans="1:28" customFormat="1" ht="23.25" x14ac:dyDescent="0.25">
      <c r="A32" s="75"/>
      <c r="B32" s="537" t="s">
        <v>73</v>
      </c>
      <c r="C32" s="538"/>
      <c r="D32" s="76">
        <v>567683.64</v>
      </c>
      <c r="E32" s="76">
        <v>36331.120000000003</v>
      </c>
      <c r="F32" s="77">
        <v>156678.34</v>
      </c>
      <c r="G32" s="77"/>
      <c r="H32" s="77">
        <v>760693.1</v>
      </c>
      <c r="AA32" s="46"/>
      <c r="AB32" s="47" t="s">
        <v>73</v>
      </c>
    </row>
    <row r="33" spans="1:29" customFormat="1" ht="15" x14ac:dyDescent="0.25">
      <c r="A33" s="539" t="s">
        <v>74</v>
      </c>
      <c r="B33" s="540"/>
      <c r="C33" s="540"/>
      <c r="D33" s="540"/>
      <c r="E33" s="540"/>
      <c r="F33" s="540"/>
      <c r="G33" s="540"/>
      <c r="H33" s="541"/>
      <c r="AA33" s="46" t="s">
        <v>74</v>
      </c>
      <c r="AB33" s="47"/>
    </row>
    <row r="34" spans="1:29" customFormat="1" ht="15" x14ac:dyDescent="0.25">
      <c r="A34" s="72">
        <v>5</v>
      </c>
      <c r="B34" s="73" t="s">
        <v>120</v>
      </c>
      <c r="C34" s="73" t="s">
        <v>121</v>
      </c>
      <c r="D34" s="74">
        <v>2452.65</v>
      </c>
      <c r="E34" s="74">
        <v>428.02</v>
      </c>
      <c r="F34" s="74">
        <v>32364.83</v>
      </c>
      <c r="G34" s="74"/>
      <c r="H34" s="74">
        <v>35245.5</v>
      </c>
      <c r="AA34" s="46"/>
      <c r="AB34" s="47"/>
    </row>
    <row r="35" spans="1:29" customFormat="1" ht="15" x14ac:dyDescent="0.25">
      <c r="A35" s="75"/>
      <c r="B35" s="537" t="s">
        <v>75</v>
      </c>
      <c r="C35" s="538"/>
      <c r="D35" s="76">
        <v>2452.65</v>
      </c>
      <c r="E35" s="76">
        <v>428.02</v>
      </c>
      <c r="F35" s="77">
        <v>32364.83</v>
      </c>
      <c r="G35" s="77"/>
      <c r="H35" s="77">
        <v>35245.5</v>
      </c>
      <c r="AA35" s="46"/>
      <c r="AB35" s="47" t="s">
        <v>75</v>
      </c>
    </row>
    <row r="36" spans="1:29" customFormat="1" ht="15" x14ac:dyDescent="0.25">
      <c r="A36" s="539" t="s">
        <v>76</v>
      </c>
      <c r="B36" s="540"/>
      <c r="C36" s="540"/>
      <c r="D36" s="540"/>
      <c r="E36" s="540"/>
      <c r="F36" s="540"/>
      <c r="G36" s="540"/>
      <c r="H36" s="541"/>
      <c r="AA36" s="46" t="s">
        <v>76</v>
      </c>
      <c r="AB36" s="47"/>
    </row>
    <row r="37" spans="1:29" customFormat="1" ht="15" x14ac:dyDescent="0.25">
      <c r="A37" s="72">
        <v>6</v>
      </c>
      <c r="B37" s="73" t="s">
        <v>41</v>
      </c>
      <c r="C37" s="73" t="s">
        <v>42</v>
      </c>
      <c r="D37" s="74">
        <v>908.83</v>
      </c>
      <c r="E37" s="74">
        <v>398.92</v>
      </c>
      <c r="F37" s="74">
        <v>26.06</v>
      </c>
      <c r="G37" s="74"/>
      <c r="H37" s="74">
        <v>1333.81</v>
      </c>
      <c r="AA37" s="46"/>
      <c r="AB37" s="47"/>
    </row>
    <row r="38" spans="1:29" customFormat="1" ht="15" x14ac:dyDescent="0.25">
      <c r="A38" s="75"/>
      <c r="B38" s="537" t="s">
        <v>77</v>
      </c>
      <c r="C38" s="538"/>
      <c r="D38" s="76">
        <v>908.83</v>
      </c>
      <c r="E38" s="76">
        <v>398.92</v>
      </c>
      <c r="F38" s="77">
        <v>26.06</v>
      </c>
      <c r="G38" s="77"/>
      <c r="H38" s="77">
        <v>1333.81</v>
      </c>
      <c r="AA38" s="46"/>
      <c r="AB38" s="47" t="s">
        <v>77</v>
      </c>
    </row>
    <row r="39" spans="1:29" customFormat="1" ht="15" x14ac:dyDescent="0.25">
      <c r="A39" s="539" t="s">
        <v>122</v>
      </c>
      <c r="B39" s="540"/>
      <c r="C39" s="540"/>
      <c r="D39" s="540"/>
      <c r="E39" s="540"/>
      <c r="F39" s="540"/>
      <c r="G39" s="540"/>
      <c r="H39" s="541"/>
      <c r="AA39" s="46" t="s">
        <v>122</v>
      </c>
      <c r="AB39" s="47"/>
    </row>
    <row r="40" spans="1:29" customFormat="1" ht="22.5" x14ac:dyDescent="0.25">
      <c r="A40" s="72">
        <v>7</v>
      </c>
      <c r="B40" s="73" t="s">
        <v>123</v>
      </c>
      <c r="C40" s="73" t="s">
        <v>124</v>
      </c>
      <c r="D40" s="74">
        <v>6214.84</v>
      </c>
      <c r="E40" s="74">
        <v>19.989999999999998</v>
      </c>
      <c r="F40" s="74">
        <v>121.59</v>
      </c>
      <c r="G40" s="74"/>
      <c r="H40" s="74">
        <v>6356.42</v>
      </c>
      <c r="AA40" s="46"/>
      <c r="AB40" s="47"/>
    </row>
    <row r="41" spans="1:29" customFormat="1" ht="15" x14ac:dyDescent="0.25">
      <c r="A41" s="72">
        <v>8</v>
      </c>
      <c r="B41" s="73" t="s">
        <v>125</v>
      </c>
      <c r="C41" s="73" t="s">
        <v>126</v>
      </c>
      <c r="D41" s="74">
        <v>1591.58</v>
      </c>
      <c r="E41" s="74">
        <v>45.63</v>
      </c>
      <c r="F41" s="74"/>
      <c r="G41" s="74"/>
      <c r="H41" s="74">
        <v>1637.21</v>
      </c>
      <c r="AA41" s="46"/>
      <c r="AB41" s="47"/>
    </row>
    <row r="42" spans="1:29" customFormat="1" ht="34.5" x14ac:dyDescent="0.25">
      <c r="A42" s="75"/>
      <c r="B42" s="537" t="s">
        <v>127</v>
      </c>
      <c r="C42" s="538"/>
      <c r="D42" s="76">
        <v>7806.42</v>
      </c>
      <c r="E42" s="76">
        <v>65.62</v>
      </c>
      <c r="F42" s="77">
        <v>121.59</v>
      </c>
      <c r="G42" s="77"/>
      <c r="H42" s="77">
        <v>7993.63</v>
      </c>
      <c r="AA42" s="46"/>
      <c r="AB42" s="47" t="s">
        <v>127</v>
      </c>
    </row>
    <row r="43" spans="1:29" customFormat="1" ht="15" x14ac:dyDescent="0.25">
      <c r="A43" s="539" t="s">
        <v>78</v>
      </c>
      <c r="B43" s="540"/>
      <c r="C43" s="540"/>
      <c r="D43" s="540"/>
      <c r="E43" s="540"/>
      <c r="F43" s="540"/>
      <c r="G43" s="540"/>
      <c r="H43" s="541"/>
      <c r="AA43" s="46" t="s">
        <v>78</v>
      </c>
      <c r="AB43" s="47"/>
    </row>
    <row r="44" spans="1:29" customFormat="1" ht="15" x14ac:dyDescent="0.25">
      <c r="A44" s="72">
        <v>9</v>
      </c>
      <c r="B44" s="73" t="s">
        <v>128</v>
      </c>
      <c r="C44" s="73" t="s">
        <v>129</v>
      </c>
      <c r="D44" s="74">
        <v>14646.87</v>
      </c>
      <c r="E44" s="74"/>
      <c r="F44" s="74"/>
      <c r="G44" s="74"/>
      <c r="H44" s="74">
        <v>14646.87</v>
      </c>
      <c r="AA44" s="46"/>
      <c r="AB44" s="47"/>
    </row>
    <row r="45" spans="1:29" customFormat="1" ht="15" x14ac:dyDescent="0.25">
      <c r="A45" s="72">
        <v>10</v>
      </c>
      <c r="B45" s="73" t="s">
        <v>130</v>
      </c>
      <c r="C45" s="73" t="s">
        <v>131</v>
      </c>
      <c r="D45" s="74">
        <v>419.14</v>
      </c>
      <c r="E45" s="74">
        <v>110.9</v>
      </c>
      <c r="F45" s="74"/>
      <c r="G45" s="74"/>
      <c r="H45" s="74">
        <v>530.04</v>
      </c>
      <c r="AA45" s="46"/>
      <c r="AB45" s="47"/>
    </row>
    <row r="46" spans="1:29" customFormat="1" ht="15" x14ac:dyDescent="0.25">
      <c r="A46" s="75"/>
      <c r="B46" s="537" t="s">
        <v>132</v>
      </c>
      <c r="C46" s="538"/>
      <c r="D46" s="76">
        <v>15066.01</v>
      </c>
      <c r="E46" s="76">
        <v>110.9</v>
      </c>
      <c r="F46" s="77"/>
      <c r="G46" s="77"/>
      <c r="H46" s="77">
        <v>15176.91</v>
      </c>
      <c r="AA46" s="46"/>
      <c r="AB46" s="47" t="s">
        <v>132</v>
      </c>
    </row>
    <row r="47" spans="1:29" customFormat="1" ht="15" x14ac:dyDescent="0.25">
      <c r="A47" s="75"/>
      <c r="B47" s="542" t="s">
        <v>79</v>
      </c>
      <c r="C47" s="543"/>
      <c r="D47" s="76">
        <v>594672.59</v>
      </c>
      <c r="E47" s="76">
        <v>37334.58</v>
      </c>
      <c r="F47" s="77">
        <v>189190.82</v>
      </c>
      <c r="G47" s="77">
        <v>1834.5</v>
      </c>
      <c r="H47" s="77">
        <v>823032.49</v>
      </c>
      <c r="AA47" s="46"/>
      <c r="AB47" s="47"/>
      <c r="AC47" s="48" t="s">
        <v>79</v>
      </c>
    </row>
    <row r="48" spans="1:29" customFormat="1" ht="15" x14ac:dyDescent="0.25">
      <c r="A48" s="539" t="s">
        <v>80</v>
      </c>
      <c r="B48" s="540"/>
      <c r="C48" s="540"/>
      <c r="D48" s="540"/>
      <c r="E48" s="540"/>
      <c r="F48" s="540"/>
      <c r="G48" s="540"/>
      <c r="H48" s="541"/>
      <c r="AA48" s="46" t="s">
        <v>80</v>
      </c>
      <c r="AB48" s="47"/>
      <c r="AC48" s="48"/>
    </row>
    <row r="49" spans="1:29" customFormat="1" ht="78.75" x14ac:dyDescent="0.25">
      <c r="A49" s="72">
        <v>11</v>
      </c>
      <c r="B49" s="73" t="s">
        <v>133</v>
      </c>
      <c r="C49" s="73" t="s">
        <v>134</v>
      </c>
      <c r="D49" s="74">
        <v>13677.47</v>
      </c>
      <c r="E49" s="74">
        <v>858.7</v>
      </c>
      <c r="F49" s="74"/>
      <c r="G49" s="74"/>
      <c r="H49" s="74">
        <v>14536.17</v>
      </c>
      <c r="AA49" s="46"/>
      <c r="AB49" s="47"/>
      <c r="AC49" s="48"/>
    </row>
    <row r="50" spans="1:29" customFormat="1" ht="15" x14ac:dyDescent="0.25">
      <c r="A50" s="71"/>
      <c r="B50" s="73"/>
      <c r="C50" s="73"/>
      <c r="D50" s="74" t="s">
        <v>135</v>
      </c>
      <c r="E50" s="74" t="s">
        <v>136</v>
      </c>
      <c r="F50" s="74"/>
      <c r="G50" s="74"/>
      <c r="H50" s="74"/>
      <c r="AA50" s="46"/>
      <c r="AB50" s="47"/>
      <c r="AC50" s="48"/>
    </row>
    <row r="51" spans="1:29" customFormat="1" ht="15" x14ac:dyDescent="0.25">
      <c r="A51" s="75"/>
      <c r="B51" s="537" t="s">
        <v>81</v>
      </c>
      <c r="C51" s="538"/>
      <c r="D51" s="76">
        <v>13677.47</v>
      </c>
      <c r="E51" s="76">
        <v>858.7</v>
      </c>
      <c r="F51" s="77"/>
      <c r="G51" s="77"/>
      <c r="H51" s="77">
        <v>14536.17</v>
      </c>
      <c r="AA51" s="46"/>
      <c r="AB51" s="47" t="s">
        <v>81</v>
      </c>
      <c r="AC51" s="48"/>
    </row>
    <row r="52" spans="1:29" customFormat="1" ht="15" x14ac:dyDescent="0.25">
      <c r="A52" s="75"/>
      <c r="B52" s="542" t="s">
        <v>82</v>
      </c>
      <c r="C52" s="543"/>
      <c r="D52" s="76">
        <v>608350.06000000006</v>
      </c>
      <c r="E52" s="76">
        <v>38193.279999999999</v>
      </c>
      <c r="F52" s="77">
        <v>189190.82</v>
      </c>
      <c r="G52" s="77">
        <v>1834.5</v>
      </c>
      <c r="H52" s="77">
        <v>837568.66</v>
      </c>
      <c r="AA52" s="46"/>
      <c r="AB52" s="47"/>
      <c r="AC52" s="48" t="s">
        <v>82</v>
      </c>
    </row>
    <row r="53" spans="1:29" customFormat="1" ht="15" x14ac:dyDescent="0.25">
      <c r="A53" s="539" t="s">
        <v>83</v>
      </c>
      <c r="B53" s="540"/>
      <c r="C53" s="540"/>
      <c r="D53" s="540"/>
      <c r="E53" s="540"/>
      <c r="F53" s="540"/>
      <c r="G53" s="540"/>
      <c r="H53" s="541"/>
      <c r="AA53" s="46" t="s">
        <v>83</v>
      </c>
      <c r="AB53" s="47"/>
      <c r="AC53" s="48"/>
    </row>
    <row r="54" spans="1:29" customFormat="1" ht="33.75" x14ac:dyDescent="0.25">
      <c r="A54" s="72">
        <v>12</v>
      </c>
      <c r="B54" s="73" t="s">
        <v>137</v>
      </c>
      <c r="C54" s="73" t="s">
        <v>138</v>
      </c>
      <c r="D54" s="74">
        <v>3041.75</v>
      </c>
      <c r="E54" s="74">
        <v>190.97</v>
      </c>
      <c r="F54" s="74"/>
      <c r="G54" s="74"/>
      <c r="H54" s="74">
        <v>3232.72</v>
      </c>
      <c r="AA54" s="46"/>
      <c r="AB54" s="47"/>
      <c r="AC54" s="48"/>
    </row>
    <row r="55" spans="1:29" customFormat="1" ht="22.5" x14ac:dyDescent="0.25">
      <c r="A55" s="72">
        <v>13</v>
      </c>
      <c r="B55" s="73" t="s">
        <v>52</v>
      </c>
      <c r="C55" s="73" t="s">
        <v>139</v>
      </c>
      <c r="D55" s="74"/>
      <c r="E55" s="74"/>
      <c r="F55" s="74"/>
      <c r="G55" s="74">
        <v>16205.32</v>
      </c>
      <c r="H55" s="74">
        <v>16205.32</v>
      </c>
      <c r="AA55" s="46"/>
      <c r="AB55" s="47"/>
      <c r="AC55" s="48"/>
    </row>
    <row r="56" spans="1:29" customFormat="1" ht="15" x14ac:dyDescent="0.25">
      <c r="A56" s="72">
        <v>14</v>
      </c>
      <c r="B56" s="73" t="s">
        <v>140</v>
      </c>
      <c r="C56" s="73" t="s">
        <v>141</v>
      </c>
      <c r="D56" s="74"/>
      <c r="E56" s="74"/>
      <c r="F56" s="74"/>
      <c r="G56" s="74">
        <v>272.02</v>
      </c>
      <c r="H56" s="74">
        <v>272.02</v>
      </c>
      <c r="AA56" s="46"/>
      <c r="AB56" s="47"/>
      <c r="AC56" s="48"/>
    </row>
    <row r="57" spans="1:29" customFormat="1" ht="22.5" x14ac:dyDescent="0.25">
      <c r="A57" s="72">
        <v>15</v>
      </c>
      <c r="B57" s="73" t="s">
        <v>142</v>
      </c>
      <c r="C57" s="73" t="s">
        <v>143</v>
      </c>
      <c r="D57" s="74">
        <v>752.94</v>
      </c>
      <c r="E57" s="74"/>
      <c r="F57" s="74"/>
      <c r="G57" s="74"/>
      <c r="H57" s="74">
        <v>752.94</v>
      </c>
      <c r="AA57" s="46"/>
      <c r="AB57" s="47"/>
      <c r="AC57" s="48"/>
    </row>
    <row r="58" spans="1:29" customFormat="1" ht="22.5" x14ac:dyDescent="0.25">
      <c r="A58" s="72">
        <v>16</v>
      </c>
      <c r="B58" s="73" t="s">
        <v>43</v>
      </c>
      <c r="C58" s="73" t="s">
        <v>44</v>
      </c>
      <c r="D58" s="74"/>
      <c r="E58" s="74"/>
      <c r="F58" s="74"/>
      <c r="G58" s="74">
        <v>0.06</v>
      </c>
      <c r="H58" s="74">
        <v>0.06</v>
      </c>
      <c r="AA58" s="46"/>
      <c r="AB58" s="47"/>
      <c r="AC58" s="48"/>
    </row>
    <row r="59" spans="1:29" customFormat="1" ht="22.5" x14ac:dyDescent="0.25">
      <c r="A59" s="72">
        <v>17</v>
      </c>
      <c r="B59" s="73" t="s">
        <v>45</v>
      </c>
      <c r="C59" s="73" t="s">
        <v>46</v>
      </c>
      <c r="D59" s="74"/>
      <c r="E59" s="74"/>
      <c r="F59" s="74"/>
      <c r="G59" s="74">
        <v>369.67</v>
      </c>
      <c r="H59" s="74">
        <v>369.67</v>
      </c>
      <c r="AA59" s="46"/>
      <c r="AB59" s="47"/>
      <c r="AC59" s="48"/>
    </row>
    <row r="60" spans="1:29" customFormat="1" ht="22.5" x14ac:dyDescent="0.25">
      <c r="A60" s="72">
        <v>18</v>
      </c>
      <c r="B60" s="73" t="s">
        <v>47</v>
      </c>
      <c r="C60" s="73" t="s">
        <v>48</v>
      </c>
      <c r="D60" s="74"/>
      <c r="E60" s="74"/>
      <c r="F60" s="74"/>
      <c r="G60" s="74">
        <v>6.55</v>
      </c>
      <c r="H60" s="74">
        <v>6.55</v>
      </c>
      <c r="AA60" s="46"/>
      <c r="AB60" s="47"/>
      <c r="AC60" s="48"/>
    </row>
    <row r="61" spans="1:29" customFormat="1" ht="22.5" x14ac:dyDescent="0.25">
      <c r="A61" s="72">
        <v>19</v>
      </c>
      <c r="B61" s="73" t="s">
        <v>49</v>
      </c>
      <c r="C61" s="73" t="s">
        <v>144</v>
      </c>
      <c r="D61" s="74"/>
      <c r="E61" s="74"/>
      <c r="F61" s="74"/>
      <c r="G61" s="74">
        <v>93.5</v>
      </c>
      <c r="H61" s="74">
        <v>93.5</v>
      </c>
      <c r="AA61" s="46"/>
      <c r="AB61" s="47"/>
      <c r="AC61" s="48"/>
    </row>
    <row r="62" spans="1:29" customFormat="1" ht="33.75" x14ac:dyDescent="0.25">
      <c r="A62" s="72">
        <v>20</v>
      </c>
      <c r="B62" s="73" t="s">
        <v>145</v>
      </c>
      <c r="C62" s="73" t="s">
        <v>146</v>
      </c>
      <c r="D62" s="74"/>
      <c r="E62" s="74"/>
      <c r="F62" s="74"/>
      <c r="G62" s="74">
        <v>8351.49</v>
      </c>
      <c r="H62" s="74">
        <v>8351.49</v>
      </c>
      <c r="AA62" s="46"/>
      <c r="AB62" s="47"/>
      <c r="AC62" s="48"/>
    </row>
    <row r="63" spans="1:29" customFormat="1" ht="22.5" x14ac:dyDescent="0.25">
      <c r="A63" s="72">
        <v>21</v>
      </c>
      <c r="B63" s="73" t="s">
        <v>90</v>
      </c>
      <c r="C63" s="73" t="s">
        <v>147</v>
      </c>
      <c r="D63" s="74"/>
      <c r="E63" s="74"/>
      <c r="F63" s="74"/>
      <c r="G63" s="74">
        <v>547.22</v>
      </c>
      <c r="H63" s="74">
        <v>547.22</v>
      </c>
      <c r="AA63" s="46"/>
      <c r="AB63" s="47"/>
      <c r="AC63" s="48"/>
    </row>
    <row r="64" spans="1:29" customFormat="1" ht="33.75" x14ac:dyDescent="0.25">
      <c r="A64" s="72">
        <v>22</v>
      </c>
      <c r="B64" s="73" t="s">
        <v>148</v>
      </c>
      <c r="C64" s="73" t="s">
        <v>149</v>
      </c>
      <c r="D64" s="74"/>
      <c r="E64" s="74"/>
      <c r="F64" s="74"/>
      <c r="G64" s="74">
        <v>20.399999999999999</v>
      </c>
      <c r="H64" s="74">
        <v>20.399999999999999</v>
      </c>
      <c r="AA64" s="46"/>
      <c r="AB64" s="47"/>
      <c r="AC64" s="48"/>
    </row>
    <row r="65" spans="1:54" customFormat="1" ht="33.75" x14ac:dyDescent="0.25">
      <c r="A65" s="72">
        <v>23</v>
      </c>
      <c r="B65" s="73" t="s">
        <v>150</v>
      </c>
      <c r="C65" s="73" t="s">
        <v>151</v>
      </c>
      <c r="D65" s="74"/>
      <c r="E65" s="74"/>
      <c r="F65" s="74"/>
      <c r="G65" s="74">
        <v>2426.2800000000002</v>
      </c>
      <c r="H65" s="74">
        <v>2426.2800000000002</v>
      </c>
      <c r="AA65" s="46"/>
      <c r="AB65" s="47"/>
      <c r="AC65" s="48"/>
    </row>
    <row r="66" spans="1:54" customFormat="1" ht="15" x14ac:dyDescent="0.25">
      <c r="A66" s="75"/>
      <c r="B66" s="537" t="s">
        <v>84</v>
      </c>
      <c r="C66" s="538"/>
      <c r="D66" s="76">
        <v>3794.69</v>
      </c>
      <c r="E66" s="76">
        <v>190.97</v>
      </c>
      <c r="F66" s="77"/>
      <c r="G66" s="77">
        <v>28292.51</v>
      </c>
      <c r="H66" s="77">
        <v>32278.17</v>
      </c>
      <c r="AA66" s="46"/>
      <c r="AB66" s="47" t="s">
        <v>84</v>
      </c>
      <c r="AC66" s="48"/>
    </row>
    <row r="67" spans="1:54" customFormat="1" ht="15" x14ac:dyDescent="0.25">
      <c r="A67" s="75"/>
      <c r="B67" s="542" t="s">
        <v>85</v>
      </c>
      <c r="C67" s="543"/>
      <c r="D67" s="76">
        <v>612144.75</v>
      </c>
      <c r="E67" s="76">
        <v>38384.25</v>
      </c>
      <c r="F67" s="77">
        <v>189190.82</v>
      </c>
      <c r="G67" s="77">
        <v>30127.01</v>
      </c>
      <c r="H67" s="77">
        <v>869846.83</v>
      </c>
      <c r="AA67" s="46"/>
      <c r="AB67" s="47"/>
      <c r="AC67" s="48" t="s">
        <v>85</v>
      </c>
    </row>
    <row r="68" spans="1:54" customFormat="1" ht="15" x14ac:dyDescent="0.25">
      <c r="A68" s="539" t="s">
        <v>86</v>
      </c>
      <c r="B68" s="540"/>
      <c r="C68" s="540"/>
      <c r="D68" s="540"/>
      <c r="E68" s="540"/>
      <c r="F68" s="540"/>
      <c r="G68" s="540"/>
      <c r="H68" s="541"/>
      <c r="AA68" s="46" t="s">
        <v>86</v>
      </c>
      <c r="AB68" s="47"/>
      <c r="AC68" s="48"/>
    </row>
    <row r="69" spans="1:54" customFormat="1" ht="22.5" x14ac:dyDescent="0.25">
      <c r="A69" s="72">
        <v>24</v>
      </c>
      <c r="B69" s="73" t="s">
        <v>152</v>
      </c>
      <c r="C69" s="73" t="s">
        <v>153</v>
      </c>
      <c r="D69" s="74"/>
      <c r="E69" s="74"/>
      <c r="F69" s="74"/>
      <c r="G69" s="74">
        <v>14004.53</v>
      </c>
      <c r="H69" s="74">
        <v>14004.53</v>
      </c>
      <c r="AA69" s="46"/>
      <c r="AB69" s="47"/>
      <c r="AC69" s="48"/>
      <c r="BB69" s="152"/>
    </row>
    <row r="70" spans="1:54" customFormat="1" ht="23.25" x14ac:dyDescent="0.25">
      <c r="A70" s="75"/>
      <c r="B70" s="537" t="s">
        <v>87</v>
      </c>
      <c r="C70" s="538"/>
      <c r="D70" s="76"/>
      <c r="E70" s="76"/>
      <c r="F70" s="77"/>
      <c r="G70" s="77">
        <v>14004.53</v>
      </c>
      <c r="H70" s="77">
        <v>14004.53</v>
      </c>
      <c r="AA70" s="46"/>
      <c r="AB70" s="47" t="s">
        <v>87</v>
      </c>
      <c r="AC70" s="48"/>
    </row>
    <row r="71" spans="1:54" customFormat="1" ht="48.75" x14ac:dyDescent="0.25">
      <c r="A71" s="539" t="s">
        <v>88</v>
      </c>
      <c r="B71" s="540"/>
      <c r="C71" s="540"/>
      <c r="D71" s="540"/>
      <c r="E71" s="540"/>
      <c r="F71" s="540"/>
      <c r="G71" s="540"/>
      <c r="H71" s="541"/>
      <c r="AA71" s="46" t="s">
        <v>88</v>
      </c>
      <c r="AB71" s="47"/>
      <c r="AC71" s="48"/>
    </row>
    <row r="72" spans="1:54" customFormat="1" ht="22.5" x14ac:dyDescent="0.25">
      <c r="A72" s="72">
        <v>25</v>
      </c>
      <c r="B72" s="73" t="s">
        <v>154</v>
      </c>
      <c r="C72" s="73" t="s">
        <v>155</v>
      </c>
      <c r="D72" s="74"/>
      <c r="E72" s="74"/>
      <c r="F72" s="74"/>
      <c r="G72" s="74">
        <v>1739.69</v>
      </c>
      <c r="H72" s="74">
        <v>1739.69</v>
      </c>
      <c r="AA72" s="46"/>
      <c r="AB72" s="47"/>
      <c r="AC72" s="48"/>
    </row>
    <row r="73" spans="1:54" customFormat="1" ht="15" x14ac:dyDescent="0.25">
      <c r="A73" s="72">
        <v>26</v>
      </c>
      <c r="B73" s="73" t="s">
        <v>35</v>
      </c>
      <c r="C73" s="73" t="s">
        <v>156</v>
      </c>
      <c r="D73" s="74"/>
      <c r="E73" s="74"/>
      <c r="F73" s="74"/>
      <c r="G73" s="74">
        <v>5749.82</v>
      </c>
      <c r="H73" s="74">
        <v>5749.82</v>
      </c>
      <c r="AA73" s="46"/>
      <c r="AB73" s="47"/>
      <c r="AC73" s="48"/>
    </row>
    <row r="74" spans="1:54" customFormat="1" ht="15" x14ac:dyDescent="0.25">
      <c r="A74" s="72">
        <v>27</v>
      </c>
      <c r="B74" s="73" t="s">
        <v>35</v>
      </c>
      <c r="C74" s="73" t="s">
        <v>89</v>
      </c>
      <c r="D74" s="74"/>
      <c r="E74" s="74"/>
      <c r="F74" s="74"/>
      <c r="G74" s="74">
        <v>24528.959999999999</v>
      </c>
      <c r="H74" s="74">
        <v>24528.959999999999</v>
      </c>
      <c r="AA74" s="46"/>
      <c r="AB74" s="47"/>
      <c r="AC74" s="48"/>
    </row>
    <row r="75" spans="1:54" customFormat="1" ht="15" x14ac:dyDescent="0.25">
      <c r="A75" s="72">
        <v>28</v>
      </c>
      <c r="B75" s="73" t="s">
        <v>35</v>
      </c>
      <c r="C75" s="73" t="s">
        <v>11</v>
      </c>
      <c r="D75" s="74"/>
      <c r="E75" s="74"/>
      <c r="F75" s="74"/>
      <c r="G75" s="74">
        <v>36625.56</v>
      </c>
      <c r="H75" s="74">
        <v>36625.56</v>
      </c>
      <c r="AA75" s="46"/>
      <c r="AB75" s="47"/>
      <c r="AC75" s="48"/>
    </row>
    <row r="76" spans="1:54" customFormat="1" ht="22.5" x14ac:dyDescent="0.25">
      <c r="A76" s="72">
        <v>29</v>
      </c>
      <c r="B76" s="73" t="s">
        <v>35</v>
      </c>
      <c r="C76" s="73" t="s">
        <v>157</v>
      </c>
      <c r="D76" s="74"/>
      <c r="E76" s="74"/>
      <c r="F76" s="74"/>
      <c r="G76" s="74">
        <v>3237.77</v>
      </c>
      <c r="H76" s="74">
        <v>3237.77</v>
      </c>
      <c r="AA76" s="46"/>
      <c r="AB76" s="47"/>
      <c r="AC76" s="48"/>
    </row>
    <row r="77" spans="1:54" customFormat="1" ht="22.5" x14ac:dyDescent="0.25">
      <c r="A77" s="72">
        <v>30</v>
      </c>
      <c r="B77" s="73" t="s">
        <v>158</v>
      </c>
      <c r="C77" s="73" t="s">
        <v>159</v>
      </c>
      <c r="D77" s="74"/>
      <c r="E77" s="74"/>
      <c r="F77" s="74"/>
      <c r="G77" s="74">
        <v>632.61</v>
      </c>
      <c r="H77" s="74">
        <v>632.61</v>
      </c>
      <c r="AA77" s="46"/>
      <c r="AB77" s="47"/>
      <c r="AC77" s="48"/>
    </row>
    <row r="78" spans="1:54" customFormat="1" ht="113.25" x14ac:dyDescent="0.25">
      <c r="A78" s="75"/>
      <c r="B78" s="537" t="s">
        <v>91</v>
      </c>
      <c r="C78" s="538"/>
      <c r="D78" s="76"/>
      <c r="E78" s="76"/>
      <c r="F78" s="77"/>
      <c r="G78" s="77">
        <v>72514.41</v>
      </c>
      <c r="H78" s="77">
        <v>72514.41</v>
      </c>
      <c r="AA78" s="46"/>
      <c r="AB78" s="47" t="s">
        <v>91</v>
      </c>
      <c r="AC78" s="48"/>
    </row>
    <row r="79" spans="1:54" customFormat="1" ht="15" x14ac:dyDescent="0.25">
      <c r="A79" s="75"/>
      <c r="B79" s="542" t="s">
        <v>92</v>
      </c>
      <c r="C79" s="543"/>
      <c r="D79" s="76">
        <v>612144.75</v>
      </c>
      <c r="E79" s="76">
        <v>38384.25</v>
      </c>
      <c r="F79" s="77">
        <v>189190.82</v>
      </c>
      <c r="G79" s="77">
        <v>116645.95</v>
      </c>
      <c r="H79" s="77">
        <v>956365.77</v>
      </c>
      <c r="AA79" s="46"/>
      <c r="AB79" s="47"/>
      <c r="AC79" s="48" t="s">
        <v>92</v>
      </c>
    </row>
    <row r="80" spans="1:54" customFormat="1" ht="15" x14ac:dyDescent="0.25">
      <c r="A80" s="539" t="s">
        <v>93</v>
      </c>
      <c r="B80" s="540"/>
      <c r="C80" s="540"/>
      <c r="D80" s="540"/>
      <c r="E80" s="540"/>
      <c r="F80" s="540"/>
      <c r="G80" s="540"/>
      <c r="H80" s="541"/>
      <c r="AA80" s="46" t="s">
        <v>93</v>
      </c>
      <c r="AB80" s="47"/>
      <c r="AC80" s="48"/>
    </row>
    <row r="81" spans="1:53" customFormat="1" ht="33.75" x14ac:dyDescent="0.25">
      <c r="A81" s="72">
        <v>31</v>
      </c>
      <c r="B81" s="73" t="s">
        <v>160</v>
      </c>
      <c r="C81" s="73" t="s">
        <v>161</v>
      </c>
      <c r="D81" s="74">
        <v>12242.9</v>
      </c>
      <c r="E81" s="74">
        <v>767.69</v>
      </c>
      <c r="F81" s="74">
        <v>3783.82</v>
      </c>
      <c r="G81" s="74">
        <v>2332.92</v>
      </c>
      <c r="H81" s="74">
        <v>19127.330000000002</v>
      </c>
      <c r="AA81" s="46"/>
      <c r="AB81" s="47"/>
      <c r="AC81" s="48"/>
    </row>
    <row r="82" spans="1:53" customFormat="1" ht="15" x14ac:dyDescent="0.25">
      <c r="A82" s="75"/>
      <c r="B82" s="537" t="s">
        <v>94</v>
      </c>
      <c r="C82" s="538"/>
      <c r="D82" s="76">
        <v>12242.9</v>
      </c>
      <c r="E82" s="76">
        <v>767.69</v>
      </c>
      <c r="F82" s="77">
        <v>3783.82</v>
      </c>
      <c r="G82" s="77">
        <v>2332.92</v>
      </c>
      <c r="H82" s="77">
        <v>19127.330000000002</v>
      </c>
      <c r="AA82" s="46"/>
      <c r="AB82" s="47" t="s">
        <v>94</v>
      </c>
      <c r="AC82" s="48"/>
    </row>
    <row r="83" spans="1:53" customFormat="1" ht="15" x14ac:dyDescent="0.25">
      <c r="A83" s="75"/>
      <c r="B83" s="542" t="s">
        <v>95</v>
      </c>
      <c r="C83" s="543"/>
      <c r="D83" s="76">
        <v>624387.65</v>
      </c>
      <c r="E83" s="76">
        <v>39151.94</v>
      </c>
      <c r="F83" s="77">
        <v>192974.64</v>
      </c>
      <c r="G83" s="77">
        <v>118978.87</v>
      </c>
      <c r="H83" s="77">
        <v>975493.1</v>
      </c>
      <c r="AA83" s="46"/>
      <c r="AB83" s="47"/>
      <c r="AC83" s="48" t="s">
        <v>95</v>
      </c>
    </row>
    <row r="84" spans="1:53" customFormat="1" ht="15" x14ac:dyDescent="0.25">
      <c r="A84" s="539" t="s">
        <v>96</v>
      </c>
      <c r="B84" s="540"/>
      <c r="C84" s="540"/>
      <c r="D84" s="540"/>
      <c r="E84" s="540"/>
      <c r="F84" s="540"/>
      <c r="G84" s="540"/>
      <c r="H84" s="541"/>
      <c r="AA84" s="46" t="s">
        <v>96</v>
      </c>
      <c r="AB84" s="47"/>
      <c r="AC84" s="48"/>
    </row>
    <row r="85" spans="1:53" customFormat="1" ht="22.5" x14ac:dyDescent="0.25">
      <c r="A85" s="72">
        <v>32</v>
      </c>
      <c r="B85" s="73" t="s">
        <v>162</v>
      </c>
      <c r="C85" s="73" t="s">
        <v>163</v>
      </c>
      <c r="D85" s="74">
        <v>124877.53</v>
      </c>
      <c r="E85" s="74">
        <v>7830.39</v>
      </c>
      <c r="F85" s="74">
        <v>38594.93</v>
      </c>
      <c r="G85" s="74">
        <v>23795.77</v>
      </c>
      <c r="H85" s="74">
        <v>195098.62</v>
      </c>
      <c r="AA85" s="46"/>
      <c r="AB85" s="47"/>
      <c r="AC85" s="48"/>
    </row>
    <row r="86" spans="1:53" customFormat="1" ht="15" x14ac:dyDescent="0.25">
      <c r="A86" s="75"/>
      <c r="B86" s="537" t="s">
        <v>97</v>
      </c>
      <c r="C86" s="538"/>
      <c r="D86" s="76">
        <v>124877.53</v>
      </c>
      <c r="E86" s="76">
        <v>7830.39</v>
      </c>
      <c r="F86" s="77">
        <v>38594.93</v>
      </c>
      <c r="G86" s="77">
        <v>23795.77</v>
      </c>
      <c r="H86" s="77">
        <v>195098.62</v>
      </c>
      <c r="AA86" s="46"/>
      <c r="AB86" s="47" t="s">
        <v>97</v>
      </c>
      <c r="AC86" s="48"/>
    </row>
    <row r="87" spans="1:53" customFormat="1" ht="15" x14ac:dyDescent="0.25">
      <c r="A87" s="75"/>
      <c r="B87" s="542" t="s">
        <v>98</v>
      </c>
      <c r="C87" s="543"/>
      <c r="D87" s="76">
        <v>749265.18</v>
      </c>
      <c r="E87" s="76">
        <v>46982.33</v>
      </c>
      <c r="F87" s="77">
        <v>231569.57</v>
      </c>
      <c r="G87" s="77">
        <v>142774.64000000001</v>
      </c>
      <c r="H87" s="77">
        <v>1170591.72</v>
      </c>
      <c r="AA87" s="46"/>
      <c r="AB87" s="47"/>
      <c r="AC87" s="48" t="s">
        <v>98</v>
      </c>
    </row>
    <row r="88" spans="1:53" ht="11.25" customHeight="1" x14ac:dyDescent="0.2"/>
    <row r="89" spans="1:53" ht="11.25" customHeight="1" x14ac:dyDescent="0.2"/>
    <row r="90" spans="1:53" s="53" customFormat="1" x14ac:dyDescent="0.25">
      <c r="A90" s="49" t="s">
        <v>99</v>
      </c>
      <c r="B90" s="50"/>
      <c r="C90" s="558"/>
      <c r="D90" s="558"/>
      <c r="E90" s="557" t="s">
        <v>100</v>
      </c>
      <c r="F90" s="557"/>
      <c r="G90" s="557"/>
      <c r="H90" s="557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 t="s">
        <v>31</v>
      </c>
      <c r="AE90" s="51" t="s">
        <v>31</v>
      </c>
      <c r="AF90" s="52" t="s">
        <v>100</v>
      </c>
      <c r="AG90" s="52" t="s">
        <v>31</v>
      </c>
      <c r="AH90" s="52" t="s">
        <v>31</v>
      </c>
      <c r="AI90" s="52" t="s">
        <v>31</v>
      </c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</row>
    <row r="91" spans="1:53" s="56" customFormat="1" ht="18.75" customHeight="1" x14ac:dyDescent="0.25">
      <c r="A91" s="54"/>
      <c r="B91" s="54"/>
      <c r="C91" s="544" t="s">
        <v>101</v>
      </c>
      <c r="D91" s="544"/>
      <c r="E91" s="544"/>
      <c r="F91" s="544"/>
      <c r="G91" s="544"/>
      <c r="H91" s="544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</row>
    <row r="92" spans="1:53" s="53" customFormat="1" ht="15" x14ac:dyDescent="0.25">
      <c r="A92" s="49" t="s">
        <v>102</v>
      </c>
      <c r="B92" s="50"/>
      <c r="C92"/>
      <c r="D92" s="57"/>
      <c r="E92" s="557" t="s">
        <v>103</v>
      </c>
      <c r="F92" s="557"/>
      <c r="G92" s="557"/>
      <c r="H92" s="557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2" t="s">
        <v>103</v>
      </c>
      <c r="AK92" s="52" t="s">
        <v>31</v>
      </c>
      <c r="AL92" s="52" t="s">
        <v>31</v>
      </c>
      <c r="AM92" s="52" t="s">
        <v>31</v>
      </c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</row>
    <row r="93" spans="1:53" s="56" customFormat="1" ht="18.75" customHeight="1" x14ac:dyDescent="0.25">
      <c r="A93" s="54"/>
      <c r="B93" s="54"/>
      <c r="C93" s="544" t="s">
        <v>101</v>
      </c>
      <c r="D93" s="544"/>
      <c r="E93" s="544"/>
      <c r="F93" s="544"/>
      <c r="G93" s="544"/>
      <c r="H93" s="544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</row>
    <row r="94" spans="1:53" s="53" customFormat="1" x14ac:dyDescent="0.25">
      <c r="A94" s="559" t="s">
        <v>164</v>
      </c>
      <c r="B94" s="559"/>
      <c r="C94" s="559"/>
      <c r="D94" s="559"/>
      <c r="E94" s="557" t="s">
        <v>104</v>
      </c>
      <c r="F94" s="557"/>
      <c r="G94" s="557"/>
      <c r="H94" s="557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2" t="s">
        <v>164</v>
      </c>
      <c r="AO94" s="52" t="s">
        <v>31</v>
      </c>
      <c r="AP94" s="52" t="s">
        <v>31</v>
      </c>
      <c r="AQ94" s="52" t="s">
        <v>31</v>
      </c>
      <c r="AR94" s="52" t="s">
        <v>104</v>
      </c>
      <c r="AS94" s="52" t="s">
        <v>31</v>
      </c>
      <c r="AT94" s="52" t="s">
        <v>31</v>
      </c>
      <c r="AU94" s="52" t="s">
        <v>31</v>
      </c>
      <c r="AV94" s="51"/>
      <c r="AW94" s="51"/>
      <c r="AX94" s="51"/>
      <c r="AY94" s="51"/>
      <c r="AZ94" s="51"/>
      <c r="BA94" s="51"/>
    </row>
    <row r="95" spans="1:53" s="56" customFormat="1" ht="18.75" customHeight="1" x14ac:dyDescent="0.25">
      <c r="A95" s="54"/>
      <c r="B95" s="54"/>
      <c r="C95" s="544" t="s">
        <v>101</v>
      </c>
      <c r="D95" s="544"/>
      <c r="E95" s="544"/>
      <c r="F95" s="544"/>
      <c r="G95" s="544"/>
      <c r="H95" s="544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</row>
    <row r="96" spans="1:53" s="53" customFormat="1" ht="33.75" x14ac:dyDescent="0.25">
      <c r="A96" s="49" t="s">
        <v>54</v>
      </c>
      <c r="B96" s="50"/>
      <c r="C96" s="560" t="s">
        <v>105</v>
      </c>
      <c r="D96" s="560"/>
      <c r="E96" s="557" t="s">
        <v>106</v>
      </c>
      <c r="F96" s="557"/>
      <c r="G96" s="557"/>
      <c r="H96" s="557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2" t="s">
        <v>105</v>
      </c>
      <c r="AW96" s="52" t="s">
        <v>31</v>
      </c>
      <c r="AX96" s="52" t="s">
        <v>106</v>
      </c>
      <c r="AY96" s="52" t="s">
        <v>31</v>
      </c>
      <c r="AZ96" s="52" t="s">
        <v>31</v>
      </c>
      <c r="BA96" s="52" t="s">
        <v>31</v>
      </c>
    </row>
    <row r="97" spans="1:56" s="56" customFormat="1" ht="18.75" customHeight="1" x14ac:dyDescent="0.25">
      <c r="A97" s="54"/>
      <c r="B97" s="54"/>
      <c r="C97" s="544" t="s">
        <v>107</v>
      </c>
      <c r="D97" s="544"/>
      <c r="E97" s="544"/>
      <c r="F97" s="544"/>
      <c r="G97" s="544"/>
      <c r="H97" s="544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</row>
    <row r="98" spans="1:56" ht="11.25" customHeight="1" x14ac:dyDescent="0.2"/>
    <row r="99" spans="1:56" ht="11.25" customHeight="1" x14ac:dyDescent="0.2">
      <c r="D99" s="224"/>
      <c r="E99" s="224" t="s">
        <v>412</v>
      </c>
      <c r="F99" s="224" t="s">
        <v>413</v>
      </c>
      <c r="G99" s="225" t="s">
        <v>488</v>
      </c>
      <c r="H99" s="224" t="s">
        <v>414</v>
      </c>
      <c r="BB99" s="36"/>
    </row>
    <row r="100" spans="1:56" ht="11.25" customHeight="1" x14ac:dyDescent="0.2">
      <c r="D100" s="226" t="s">
        <v>415</v>
      </c>
      <c r="E100" s="227">
        <f>H26+H28+H31+H34+H37+H40+H41+H44+H45+H49+H54+H55+H56+H57+H58+H59+H60+H62+H63+H64+H75</f>
        <v>902376.85</v>
      </c>
      <c r="F100" s="228">
        <f>E100*2%+0.01</f>
        <v>18047.55</v>
      </c>
      <c r="G100" s="228">
        <f>(E100+F100)*20%</f>
        <v>184084.88</v>
      </c>
      <c r="H100" s="228">
        <f>E100+F100+G100</f>
        <v>1104509.28</v>
      </c>
      <c r="BB100" s="34" t="s">
        <v>416</v>
      </c>
    </row>
    <row r="101" spans="1:56" ht="11.25" customHeight="1" x14ac:dyDescent="0.2">
      <c r="D101" s="229" t="s">
        <v>417</v>
      </c>
      <c r="E101" s="230">
        <f>H27+H61+H65+H69+H72+H73+H74+H76+H77</f>
        <v>53988.92</v>
      </c>
      <c r="F101" s="231">
        <f>E101*2%</f>
        <v>1079.78</v>
      </c>
      <c r="G101" s="231">
        <f>(E101+F101)*20%</f>
        <v>11013.74</v>
      </c>
      <c r="H101" s="231">
        <f>E101+F101+G101</f>
        <v>66082.44</v>
      </c>
      <c r="BB101" s="36"/>
    </row>
    <row r="102" spans="1:56" ht="11.25" customHeight="1" x14ac:dyDescent="0.2">
      <c r="D102" s="224" t="s">
        <v>418</v>
      </c>
      <c r="E102" s="232">
        <f>SUM(E100:E101)</f>
        <v>956365.77</v>
      </c>
      <c r="F102" s="233">
        <f>SUM(F100:F101)</f>
        <v>19127.330000000002</v>
      </c>
      <c r="G102" s="233">
        <f>SUM(G100:G101)</f>
        <v>195098.62</v>
      </c>
      <c r="H102" s="233">
        <f>SUM(H100:H101)</f>
        <v>1170591.72</v>
      </c>
      <c r="BB102" s="36"/>
    </row>
    <row r="103" spans="1:56" ht="11.25" customHeight="1" x14ac:dyDescent="0.2"/>
    <row r="104" spans="1:56" x14ac:dyDescent="0.2">
      <c r="D104" s="390" t="s">
        <v>494</v>
      </c>
    </row>
    <row r="106" spans="1:56" x14ac:dyDescent="0.2">
      <c r="D106" s="224"/>
      <c r="E106" s="224" t="s">
        <v>412</v>
      </c>
      <c r="F106" s="224" t="s">
        <v>413</v>
      </c>
      <c r="G106" s="225" t="s">
        <v>487</v>
      </c>
      <c r="H106" s="224" t="s">
        <v>414</v>
      </c>
      <c r="BB106" s="36"/>
    </row>
    <row r="107" spans="1:56" x14ac:dyDescent="0.2">
      <c r="D107" s="226" t="s">
        <v>415</v>
      </c>
      <c r="E107" s="227">
        <f>$H$26+$H$28+$H$31+$H$34+$H$37+$H$40+$H$41+$H$44+$H$45+$H$49+$H$54+$H$55+$H$56+$H$57+$H$58+$H$59+$H$60+$H$62+$H$63+$H$64+$H$75</f>
        <v>902376.85</v>
      </c>
      <c r="F107" s="228">
        <f>$E$107*2%+0.01</f>
        <v>18047.55</v>
      </c>
      <c r="G107" s="228">
        <f>($E$107+$F$107)*22%</f>
        <v>202493.37</v>
      </c>
      <c r="H107" s="228">
        <f>$E$107+$F$107+$G$107</f>
        <v>1122917.77</v>
      </c>
      <c r="BB107" s="34" t="s">
        <v>416</v>
      </c>
    </row>
    <row r="108" spans="1:56" x14ac:dyDescent="0.2">
      <c r="D108" s="229" t="s">
        <v>417</v>
      </c>
      <c r="E108" s="230">
        <f>$H$27+$H$61+$H$65+$H$69+$H$72+$H$73+$H$74+$H$76+$H$77</f>
        <v>53988.92</v>
      </c>
      <c r="F108" s="231">
        <f>$E$108*2%</f>
        <v>1079.78</v>
      </c>
      <c r="G108" s="231">
        <f>($E$108+$F$108)*22%</f>
        <v>12115.11</v>
      </c>
      <c r="H108" s="231">
        <f>$E$108+$F$108+$G$108</f>
        <v>67183.81</v>
      </c>
      <c r="BB108" s="36"/>
    </row>
    <row r="109" spans="1:56" x14ac:dyDescent="0.2">
      <c r="D109" s="224" t="s">
        <v>418</v>
      </c>
      <c r="E109" s="232">
        <f>SUM(E107:E108)</f>
        <v>956365.77</v>
      </c>
      <c r="F109" s="233">
        <f>SUM(F107:F108)</f>
        <v>19127.330000000002</v>
      </c>
      <c r="G109" s="233">
        <f>SUM(G107:G108)</f>
        <v>214608.48</v>
      </c>
      <c r="H109" s="233">
        <f>SUM(H107:H108)</f>
        <v>1190101.58</v>
      </c>
      <c r="BB109" s="36"/>
    </row>
    <row r="110" spans="1:56" ht="12" thickBot="1" x14ac:dyDescent="0.25"/>
    <row r="111" spans="1:56" ht="12" thickTop="1" x14ac:dyDescent="0.2">
      <c r="C111" s="411"/>
      <c r="D111" s="393" t="s">
        <v>497</v>
      </c>
      <c r="E111" s="394"/>
      <c r="F111" s="394"/>
      <c r="G111" s="394"/>
      <c r="H111" s="394"/>
      <c r="I111" s="412"/>
      <c r="J111" s="412"/>
      <c r="K111" s="412"/>
      <c r="L111" s="412"/>
      <c r="M111" s="412"/>
      <c r="N111" s="412"/>
      <c r="O111" s="412"/>
      <c r="P111" s="412"/>
      <c r="Q111" s="412"/>
      <c r="R111" s="412"/>
      <c r="S111" s="412"/>
      <c r="T111" s="412"/>
      <c r="U111" s="412"/>
      <c r="V111" s="412"/>
      <c r="W111" s="412"/>
      <c r="X111" s="412"/>
      <c r="Y111" s="412"/>
      <c r="Z111" s="412"/>
      <c r="AA111" s="412"/>
      <c r="AB111" s="412"/>
      <c r="AC111" s="412"/>
      <c r="AD111" s="412"/>
      <c r="AE111" s="412"/>
      <c r="AF111" s="412"/>
      <c r="AG111" s="412"/>
      <c r="AH111" s="412"/>
      <c r="AI111" s="412"/>
      <c r="AJ111" s="412"/>
      <c r="AK111" s="412"/>
      <c r="AL111" s="412"/>
      <c r="AM111" s="412"/>
      <c r="AN111" s="412"/>
      <c r="AO111" s="412"/>
      <c r="AP111" s="412"/>
      <c r="AQ111" s="412"/>
      <c r="AR111" s="412"/>
      <c r="AS111" s="412"/>
      <c r="AT111" s="412"/>
      <c r="AU111" s="412"/>
      <c r="AV111" s="412"/>
      <c r="AW111" s="412"/>
      <c r="AX111" s="412"/>
      <c r="AY111" s="412"/>
      <c r="AZ111" s="412"/>
      <c r="BA111" s="412"/>
      <c r="BB111" s="394"/>
      <c r="BC111" s="394"/>
      <c r="BD111" s="413"/>
    </row>
    <row r="112" spans="1:56" x14ac:dyDescent="0.2">
      <c r="C112" s="395"/>
      <c r="BD112" s="396"/>
    </row>
    <row r="113" spans="3:56" x14ac:dyDescent="0.2">
      <c r="C113" s="395"/>
      <c r="D113" s="397"/>
      <c r="E113" s="397" t="s">
        <v>412</v>
      </c>
      <c r="F113" s="397" t="s">
        <v>413</v>
      </c>
      <c r="G113" s="398" t="s">
        <v>487</v>
      </c>
      <c r="H113" s="397" t="s">
        <v>414</v>
      </c>
      <c r="BB113" s="36"/>
      <c r="BD113" s="396"/>
    </row>
    <row r="114" spans="3:56" x14ac:dyDescent="0.2">
      <c r="C114" s="395"/>
      <c r="D114" s="399" t="s">
        <v>415</v>
      </c>
      <c r="E114" s="400">
        <f>$H$26+$H$28+$H$31+$H$34+$H$37+$H$40+$H$41+$H$44+$H$45+$H$49+$H$54+$H$55+$H$56+$H$57+$H$58+$H$59+$H$60+$H$62+$H$63+$H$64+$H$75</f>
        <v>902376.85</v>
      </c>
      <c r="F114" s="401">
        <f>$E$107*2%+0.01</f>
        <v>18047.55</v>
      </c>
      <c r="G114" s="401">
        <f>($E$107+$F$107)*22%</f>
        <v>202493.37</v>
      </c>
      <c r="H114" s="401">
        <f>$E$107+$F$107+$G$107</f>
        <v>1122917.77</v>
      </c>
      <c r="BB114" s="34" t="s">
        <v>416</v>
      </c>
      <c r="BD114" s="396"/>
    </row>
    <row r="115" spans="3:56" x14ac:dyDescent="0.2">
      <c r="C115" s="395"/>
      <c r="D115" s="402" t="s">
        <v>417</v>
      </c>
      <c r="E115" s="403">
        <f>$H$27+$H$61+$H$65+$H$69+$H$72+$H$73+$H$74+$H$76+$H$77</f>
        <v>53988.92</v>
      </c>
      <c r="F115" s="404">
        <f>$E$108*2%</f>
        <v>1079.78</v>
      </c>
      <c r="G115" s="404">
        <f>($E$108+$F$108)*22%</f>
        <v>12115.11</v>
      </c>
      <c r="H115" s="404">
        <f>$E$108+$F$108+$G$108</f>
        <v>67183.81</v>
      </c>
      <c r="BB115" s="36"/>
      <c r="BD115" s="396"/>
    </row>
    <row r="116" spans="3:56" x14ac:dyDescent="0.2">
      <c r="C116" s="395"/>
      <c r="D116" s="397" t="s">
        <v>418</v>
      </c>
      <c r="E116" s="405">
        <f>SUM(E114:E115)</f>
        <v>956365.77</v>
      </c>
      <c r="F116" s="406">
        <f>SUM(F114:F115)</f>
        <v>19127.330000000002</v>
      </c>
      <c r="G116" s="406">
        <f>SUM(G114:G115)</f>
        <v>214608.48</v>
      </c>
      <c r="H116" s="406">
        <f>SUM(H114:H115)</f>
        <v>1190101.58</v>
      </c>
      <c r="BB116" s="36"/>
      <c r="BD116" s="396"/>
    </row>
    <row r="117" spans="3:56" x14ac:dyDescent="0.2">
      <c r="C117" s="395"/>
      <c r="BD117" s="396"/>
    </row>
    <row r="118" spans="3:56" x14ac:dyDescent="0.2">
      <c r="C118" s="395"/>
      <c r="BD118" s="396"/>
    </row>
    <row r="119" spans="3:56" x14ac:dyDescent="0.2">
      <c r="C119" s="395"/>
      <c r="BD119" s="396"/>
    </row>
    <row r="120" spans="3:56" x14ac:dyDescent="0.2">
      <c r="C120" s="395"/>
      <c r="BD120" s="396"/>
    </row>
    <row r="121" spans="3:56" x14ac:dyDescent="0.2">
      <c r="C121" s="395"/>
      <c r="BD121" s="396"/>
    </row>
    <row r="122" spans="3:56" x14ac:dyDescent="0.2">
      <c r="C122" s="395"/>
      <c r="BD122" s="396"/>
    </row>
    <row r="123" spans="3:56" ht="12" thickBot="1" x14ac:dyDescent="0.25">
      <c r="C123" s="407"/>
      <c r="D123" s="408"/>
      <c r="E123" s="408"/>
      <c r="F123" s="408"/>
      <c r="G123" s="408"/>
      <c r="H123" s="408"/>
      <c r="I123" s="409"/>
      <c r="J123" s="409"/>
      <c r="K123" s="409"/>
      <c r="L123" s="409"/>
      <c r="M123" s="409"/>
      <c r="N123" s="409"/>
      <c r="O123" s="409"/>
      <c r="P123" s="409"/>
      <c r="Q123" s="409"/>
      <c r="R123" s="409"/>
      <c r="S123" s="409"/>
      <c r="T123" s="409"/>
      <c r="U123" s="409"/>
      <c r="V123" s="409"/>
      <c r="W123" s="409"/>
      <c r="X123" s="409"/>
      <c r="Y123" s="409"/>
      <c r="Z123" s="409"/>
      <c r="AA123" s="409"/>
      <c r="AB123" s="409"/>
      <c r="AC123" s="409"/>
      <c r="AD123" s="409"/>
      <c r="AE123" s="409"/>
      <c r="AF123" s="409"/>
      <c r="AG123" s="409"/>
      <c r="AH123" s="409"/>
      <c r="AI123" s="409"/>
      <c r="AJ123" s="409"/>
      <c r="AK123" s="409"/>
      <c r="AL123" s="409"/>
      <c r="AM123" s="409"/>
      <c r="AN123" s="409"/>
      <c r="AO123" s="409"/>
      <c r="AP123" s="409"/>
      <c r="AQ123" s="409"/>
      <c r="AR123" s="409"/>
      <c r="AS123" s="409"/>
      <c r="AT123" s="409"/>
      <c r="AU123" s="409"/>
      <c r="AV123" s="409"/>
      <c r="AW123" s="409"/>
      <c r="AX123" s="409"/>
      <c r="AY123" s="409"/>
      <c r="AZ123" s="409"/>
      <c r="BA123" s="409"/>
      <c r="BB123" s="408"/>
      <c r="BC123" s="408"/>
      <c r="BD123" s="410"/>
    </row>
    <row r="124" spans="3:56" ht="12" thickTop="1" x14ac:dyDescent="0.2"/>
  </sheetData>
  <mergeCells count="58">
    <mergeCell ref="C97:H97"/>
    <mergeCell ref="A94:D94"/>
    <mergeCell ref="C96:D96"/>
    <mergeCell ref="E94:H94"/>
    <mergeCell ref="C95:H95"/>
    <mergeCell ref="E96:H96"/>
    <mergeCell ref="E92:H92"/>
    <mergeCell ref="C93:H93"/>
    <mergeCell ref="C90:D90"/>
    <mergeCell ref="E90:H90"/>
    <mergeCell ref="C91:H91"/>
    <mergeCell ref="B87:C87"/>
    <mergeCell ref="B79:C79"/>
    <mergeCell ref="B78:C78"/>
    <mergeCell ref="A80:H80"/>
    <mergeCell ref="A84:H84"/>
    <mergeCell ref="B82:C82"/>
    <mergeCell ref="B83:C83"/>
    <mergeCell ref="B86:C86"/>
    <mergeCell ref="B35:C35"/>
    <mergeCell ref="A36:H36"/>
    <mergeCell ref="B38:C38"/>
    <mergeCell ref="A39:H39"/>
    <mergeCell ref="A71:H71"/>
    <mergeCell ref="B46:C46"/>
    <mergeCell ref="B51:C51"/>
    <mergeCell ref="B52:C52"/>
    <mergeCell ref="A53:H53"/>
    <mergeCell ref="B66:C66"/>
    <mergeCell ref="B67:C67"/>
    <mergeCell ref="A68:H68"/>
    <mergeCell ref="B70:C70"/>
    <mergeCell ref="A25:H25"/>
    <mergeCell ref="B29:C29"/>
    <mergeCell ref="A30:H30"/>
    <mergeCell ref="B32:C32"/>
    <mergeCell ref="A33:H33"/>
    <mergeCell ref="C4:G4"/>
    <mergeCell ref="C5:G5"/>
    <mergeCell ref="C9:G9"/>
    <mergeCell ref="C10:G10"/>
    <mergeCell ref="B12:G12"/>
    <mergeCell ref="B16:G16"/>
    <mergeCell ref="B42:C42"/>
    <mergeCell ref="A43:H43"/>
    <mergeCell ref="B47:C47"/>
    <mergeCell ref="A48:H48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view="pageBreakPreview" topLeftCell="A7" zoomScaleNormal="100" zoomScaleSheetLayoutView="100" workbookViewId="0">
      <selection activeCell="R14" sqref="R14"/>
    </sheetView>
  </sheetViews>
  <sheetFormatPr defaultColWidth="9.140625" defaultRowHeight="15" x14ac:dyDescent="0.25"/>
  <cols>
    <col min="1" max="1" width="4.140625" style="198" customWidth="1"/>
    <col min="2" max="6" width="9.140625" style="198"/>
    <col min="7" max="7" width="22.5703125" style="198" customWidth="1"/>
    <col min="8" max="20" width="9.140625" style="198"/>
    <col min="21" max="21" width="89.7109375" style="198" customWidth="1"/>
    <col min="22" max="16384" width="9.140625" style="198"/>
  </cols>
  <sheetData>
    <row r="1" spans="1:16" ht="15.75" x14ac:dyDescent="0.25">
      <c r="A1" s="427" t="s">
        <v>358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196"/>
      <c r="O1" s="196"/>
      <c r="P1" s="197"/>
    </row>
    <row r="2" spans="1:16" ht="15.75" x14ac:dyDescent="0.25">
      <c r="A2" s="427" t="s">
        <v>359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196"/>
      <c r="O2" s="196"/>
      <c r="P2" s="197"/>
    </row>
    <row r="3" spans="1:16" s="175" customFormat="1" ht="30" customHeight="1" x14ac:dyDescent="0.25">
      <c r="A3" s="421" t="s">
        <v>357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</row>
    <row r="4" spans="1:16" s="175" customFormat="1" ht="15.75" x14ac:dyDescent="0.25">
      <c r="A4" s="422" t="s">
        <v>451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</row>
    <row r="5" spans="1:16" ht="15.75" x14ac:dyDescent="0.25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7"/>
    </row>
    <row r="6" spans="1:16" ht="15.75" x14ac:dyDescent="0.25">
      <c r="A6" s="428" t="s">
        <v>360</v>
      </c>
      <c r="B6" s="428"/>
      <c r="C6" s="428"/>
      <c r="D6" s="428"/>
      <c r="E6" s="428"/>
      <c r="F6" s="428"/>
      <c r="G6" s="200">
        <f>НМЦ!E14</f>
        <v>1279285162.1900001</v>
      </c>
      <c r="H6" s="196" t="s">
        <v>361</v>
      </c>
      <c r="I6" s="196"/>
      <c r="J6" s="196"/>
      <c r="K6" s="196"/>
      <c r="L6" s="201"/>
      <c r="M6" s="201"/>
      <c r="N6" s="201"/>
      <c r="O6" s="201"/>
      <c r="P6" s="197"/>
    </row>
    <row r="7" spans="1:16" ht="36" customHeight="1" x14ac:dyDescent="0.25">
      <c r="A7" s="426" t="str">
        <f>CONCATENATE("(",[3]!СуммаПрописью(G6),")")</f>
        <v>(Один миллиард двести семьдесят девять миллионов двести восемьдесят пять тысяч сто шестьдесят два рубля 19 копеек)</v>
      </c>
      <c r="B7" s="426"/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  <c r="N7" s="202"/>
      <c r="O7" s="202"/>
      <c r="P7" s="197"/>
    </row>
    <row r="8" spans="1:16" ht="15.75" x14ac:dyDescent="0.25">
      <c r="A8" s="199" t="s">
        <v>362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7"/>
    </row>
    <row r="9" spans="1:16" ht="15.75" x14ac:dyDescent="0.25">
      <c r="A9" s="203" t="s">
        <v>363</v>
      </c>
      <c r="B9" s="199" t="s">
        <v>11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7"/>
    </row>
    <row r="10" spans="1:16" ht="15.75" x14ac:dyDescent="0.25">
      <c r="A10" s="203" t="s">
        <v>364</v>
      </c>
      <c r="B10" s="199" t="s">
        <v>396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7"/>
    </row>
    <row r="11" spans="1:16" ht="15.75" x14ac:dyDescent="0.25">
      <c r="A11" s="203" t="s">
        <v>365</v>
      </c>
      <c r="B11" s="199" t="s">
        <v>366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7"/>
    </row>
    <row r="12" spans="1:16" ht="15.75" x14ac:dyDescent="0.25">
      <c r="A12" s="203" t="s">
        <v>367</v>
      </c>
      <c r="B12" s="199" t="s">
        <v>368</v>
      </c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7"/>
    </row>
    <row r="13" spans="1:16" ht="15.75" x14ac:dyDescent="0.25">
      <c r="A13" s="203" t="s">
        <v>369</v>
      </c>
      <c r="B13" s="199" t="s">
        <v>370</v>
      </c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7"/>
    </row>
    <row r="14" spans="1:16" ht="15.75" x14ac:dyDescent="0.25">
      <c r="A14" s="203" t="s">
        <v>371</v>
      </c>
      <c r="B14" s="199" t="s">
        <v>372</v>
      </c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7"/>
    </row>
    <row r="15" spans="1:16" ht="15.75" x14ac:dyDescent="0.25">
      <c r="A15" s="203" t="s">
        <v>373</v>
      </c>
      <c r="B15" s="199" t="s">
        <v>374</v>
      </c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7"/>
    </row>
    <row r="16" spans="1:16" ht="15.75" x14ac:dyDescent="0.25">
      <c r="A16" s="203" t="s">
        <v>375</v>
      </c>
      <c r="B16" s="199" t="s">
        <v>376</v>
      </c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7"/>
    </row>
    <row r="17" spans="1:21" ht="36.75" customHeight="1" x14ac:dyDescent="0.25">
      <c r="A17" s="204" t="s">
        <v>377</v>
      </c>
      <c r="B17" s="429" t="s">
        <v>378</v>
      </c>
      <c r="C17" s="429"/>
      <c r="D17" s="429"/>
      <c r="E17" s="429"/>
      <c r="F17" s="429"/>
      <c r="G17" s="429"/>
      <c r="H17" s="429"/>
      <c r="I17" s="429"/>
      <c r="J17" s="429"/>
      <c r="K17" s="429"/>
      <c r="L17" s="429"/>
      <c r="M17" s="429"/>
      <c r="N17" s="199"/>
      <c r="O17" s="199"/>
      <c r="P17" s="197"/>
    </row>
    <row r="18" spans="1:21" ht="15.75" x14ac:dyDescent="0.25">
      <c r="A18" s="204" t="s">
        <v>379</v>
      </c>
      <c r="B18" s="429" t="s">
        <v>380</v>
      </c>
      <c r="C18" s="429"/>
      <c r="D18" s="429"/>
      <c r="E18" s="429"/>
      <c r="F18" s="429"/>
      <c r="G18" s="429"/>
      <c r="H18" s="429"/>
      <c r="I18" s="429"/>
      <c r="J18" s="429"/>
      <c r="K18" s="429"/>
      <c r="L18" s="429"/>
      <c r="M18" s="429"/>
      <c r="N18" s="199"/>
      <c r="O18" s="199"/>
      <c r="P18" s="197"/>
      <c r="U18" s="215"/>
    </row>
    <row r="19" spans="1:21" ht="15.75" x14ac:dyDescent="0.25">
      <c r="A19" s="203" t="s">
        <v>381</v>
      </c>
      <c r="B19" s="199" t="s">
        <v>382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199"/>
      <c r="O19" s="199"/>
      <c r="P19" s="197"/>
      <c r="U19" s="215"/>
    </row>
    <row r="20" spans="1:21" ht="26.25" customHeight="1" x14ac:dyDescent="0.25">
      <c r="A20" s="203" t="s">
        <v>383</v>
      </c>
      <c r="B20" s="425" t="s">
        <v>386</v>
      </c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199"/>
      <c r="O20" s="199"/>
      <c r="P20" s="197"/>
      <c r="U20" s="215"/>
    </row>
    <row r="21" spans="1:21" ht="15.75" x14ac:dyDescent="0.25">
      <c r="A21" s="204" t="s">
        <v>384</v>
      </c>
      <c r="B21" s="425" t="s">
        <v>399</v>
      </c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199"/>
      <c r="O21" s="199"/>
      <c r="P21" s="197"/>
      <c r="U21" s="215"/>
    </row>
    <row r="22" spans="1:21" ht="15.75" x14ac:dyDescent="0.25">
      <c r="A22" s="204" t="s">
        <v>385</v>
      </c>
      <c r="B22" s="425" t="s">
        <v>279</v>
      </c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199"/>
      <c r="O22" s="199"/>
      <c r="P22" s="197"/>
      <c r="U22" s="215"/>
    </row>
    <row r="23" spans="1:21" ht="15.75" x14ac:dyDescent="0.25">
      <c r="A23" s="204" t="s">
        <v>387</v>
      </c>
      <c r="B23" s="425" t="s">
        <v>146</v>
      </c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199"/>
      <c r="O23" s="199"/>
      <c r="P23" s="197"/>
      <c r="U23" s="215"/>
    </row>
    <row r="24" spans="1:21" ht="28.5" customHeight="1" x14ac:dyDescent="0.25">
      <c r="A24" s="204" t="s">
        <v>388</v>
      </c>
      <c r="B24" s="425" t="s">
        <v>147</v>
      </c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199"/>
      <c r="O24" s="199"/>
      <c r="P24" s="197"/>
      <c r="U24" s="215"/>
    </row>
    <row r="25" spans="1:21" ht="30" customHeight="1" x14ac:dyDescent="0.25">
      <c r="A25" s="204" t="s">
        <v>389</v>
      </c>
      <c r="B25" s="425" t="s">
        <v>149</v>
      </c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199"/>
      <c r="O25" s="199"/>
      <c r="P25" s="197"/>
      <c r="U25" s="215"/>
    </row>
    <row r="26" spans="1:21" ht="15.75" x14ac:dyDescent="0.25">
      <c r="A26" s="203" t="s">
        <v>391</v>
      </c>
      <c r="B26" s="199" t="s">
        <v>390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7"/>
      <c r="U26" s="216"/>
    </row>
    <row r="27" spans="1:21" ht="34.5" customHeight="1" x14ac:dyDescent="0.25">
      <c r="A27" s="203" t="s">
        <v>392</v>
      </c>
      <c r="B27" s="432" t="s">
        <v>411</v>
      </c>
      <c r="C27" s="432"/>
      <c r="D27" s="432"/>
      <c r="E27" s="432"/>
      <c r="F27" s="432"/>
      <c r="G27" s="432"/>
      <c r="H27" s="432"/>
      <c r="I27" s="432"/>
      <c r="J27" s="432"/>
      <c r="K27" s="432"/>
      <c r="L27" s="432"/>
      <c r="M27" s="432"/>
      <c r="N27" s="199"/>
      <c r="O27" s="199"/>
      <c r="P27" s="197"/>
      <c r="U27" s="206"/>
    </row>
    <row r="28" spans="1:21" ht="36.75" customHeight="1" x14ac:dyDescent="0.25">
      <c r="A28" s="204" t="s">
        <v>397</v>
      </c>
      <c r="B28" s="429" t="s">
        <v>400</v>
      </c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199"/>
      <c r="O28" s="199"/>
      <c r="P28" s="197"/>
      <c r="U28" s="207"/>
    </row>
    <row r="29" spans="1:21" ht="15.75" x14ac:dyDescent="0.25">
      <c r="A29" s="203" t="s">
        <v>398</v>
      </c>
      <c r="B29" s="199" t="s">
        <v>491</v>
      </c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199"/>
      <c r="O29" s="199"/>
      <c r="P29" s="197"/>
      <c r="U29" s="207"/>
    </row>
    <row r="30" spans="1:21" ht="15.75" x14ac:dyDescent="0.25">
      <c r="A30" s="199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7"/>
      <c r="U30" s="207"/>
    </row>
    <row r="31" spans="1:21" ht="15.75" x14ac:dyDescent="0.25">
      <c r="A31" s="208" t="s">
        <v>393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199"/>
      <c r="M31" s="199"/>
      <c r="N31" s="199"/>
      <c r="O31" s="199"/>
      <c r="P31" s="197"/>
      <c r="U31" s="207"/>
    </row>
    <row r="32" spans="1:21" ht="15.75" x14ac:dyDescent="0.25">
      <c r="A32" s="208" t="s">
        <v>394</v>
      </c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199"/>
      <c r="M32" s="199"/>
      <c r="N32" s="199"/>
      <c r="O32" s="199"/>
      <c r="P32" s="197"/>
      <c r="U32" s="207"/>
    </row>
    <row r="33" spans="1:21" ht="15.75" x14ac:dyDescent="0.25">
      <c r="A33" s="208"/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199"/>
      <c r="M33" s="199"/>
      <c r="N33" s="199"/>
      <c r="O33" s="199"/>
      <c r="P33" s="197"/>
      <c r="U33" s="207"/>
    </row>
    <row r="34" spans="1:21" ht="60" customHeight="1" x14ac:dyDescent="0.25">
      <c r="A34" s="424" t="str">
        <f>ПЗ!A19</f>
        <v>Заместитель директора департамента
по ценообразованию и сметному регулированию
Департамента развития инфраструктуры</v>
      </c>
      <c r="B34" s="424"/>
      <c r="C34" s="424"/>
      <c r="D34" s="424"/>
      <c r="E34" s="424"/>
      <c r="F34" s="424"/>
      <c r="G34" s="424"/>
      <c r="I34" s="209"/>
      <c r="J34" s="185"/>
      <c r="K34" s="430" t="str">
        <f>ПЗ!C19</f>
        <v>Е.А. Татаринова</v>
      </c>
      <c r="L34" s="430"/>
      <c r="M34" s="430"/>
      <c r="N34" s="185"/>
      <c r="O34" s="185"/>
      <c r="P34" s="197"/>
      <c r="U34" s="210"/>
    </row>
    <row r="35" spans="1:21" ht="15.75" x14ac:dyDescent="0.25">
      <c r="A35" s="199"/>
      <c r="B35" s="199"/>
      <c r="C35" s="199"/>
      <c r="D35" s="199"/>
      <c r="E35" s="199"/>
      <c r="F35" s="185"/>
      <c r="G35" s="431"/>
      <c r="H35" s="431"/>
      <c r="I35" s="431"/>
      <c r="J35" s="431"/>
      <c r="K35" s="211"/>
      <c r="L35" s="199"/>
      <c r="M35" s="185"/>
      <c r="N35" s="185"/>
      <c r="O35" s="185"/>
      <c r="P35" s="197"/>
      <c r="U35" s="207"/>
    </row>
    <row r="36" spans="1:21" ht="15.75" x14ac:dyDescent="0.25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L36" s="185"/>
      <c r="M36" s="185"/>
      <c r="N36" s="185"/>
      <c r="O36" s="185"/>
      <c r="U36" s="207"/>
    </row>
    <row r="37" spans="1:21" ht="15.75" x14ac:dyDescent="0.25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U37" s="212"/>
    </row>
    <row r="38" spans="1:21" ht="15.75" x14ac:dyDescent="0.25">
      <c r="U38" s="212"/>
    </row>
    <row r="39" spans="1:21" ht="15.75" x14ac:dyDescent="0.25">
      <c r="U39" s="212"/>
    </row>
    <row r="40" spans="1:21" ht="15.75" x14ac:dyDescent="0.25">
      <c r="U40" s="212"/>
    </row>
  </sheetData>
  <mergeCells count="19">
    <mergeCell ref="B28:M28"/>
    <mergeCell ref="A34:G34"/>
    <mergeCell ref="K34:M34"/>
    <mergeCell ref="G35:J35"/>
    <mergeCell ref="B24:M24"/>
    <mergeCell ref="B25:M25"/>
    <mergeCell ref="B27:M27"/>
    <mergeCell ref="B23:M23"/>
    <mergeCell ref="A7:M7"/>
    <mergeCell ref="A1:M1"/>
    <mergeCell ref="A2:M2"/>
    <mergeCell ref="A3:M3"/>
    <mergeCell ref="A4:M4"/>
    <mergeCell ref="A6:F6"/>
    <mergeCell ref="B17:M17"/>
    <mergeCell ref="B18:M18"/>
    <mergeCell ref="B20:M20"/>
    <mergeCell ref="B21:M21"/>
    <mergeCell ref="B22:M22"/>
  </mergeCells>
  <pageMargins left="0.7" right="0.7" top="0.75" bottom="0.75" header="0.3" footer="0.3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workbookViewId="0">
      <selection activeCell="A6" sqref="A6:XFD7"/>
    </sheetView>
  </sheetViews>
  <sheetFormatPr defaultColWidth="9.140625" defaultRowHeight="15" x14ac:dyDescent="0.25"/>
  <cols>
    <col min="1" max="1" width="9.140625" style="175"/>
    <col min="2" max="2" width="39.140625" style="175" customWidth="1"/>
    <col min="3" max="3" width="19.42578125" style="175" customWidth="1"/>
    <col min="4" max="4" width="17.42578125" style="175" customWidth="1"/>
    <col min="5" max="5" width="22.28515625" style="175" customWidth="1"/>
    <col min="6" max="6" width="9.140625" style="175"/>
    <col min="7" max="7" width="20" style="175" customWidth="1"/>
    <col min="8" max="16384" width="9.140625" style="175"/>
  </cols>
  <sheetData>
    <row r="1" spans="1:5" ht="15.75" x14ac:dyDescent="0.25">
      <c r="A1" s="433" t="s">
        <v>345</v>
      </c>
      <c r="B1" s="433"/>
      <c r="C1" s="433"/>
      <c r="D1" s="433"/>
      <c r="E1" s="433"/>
    </row>
    <row r="2" spans="1:5" ht="29.25" customHeight="1" x14ac:dyDescent="0.25">
      <c r="A2" s="434" t="s">
        <v>357</v>
      </c>
      <c r="B2" s="434"/>
      <c r="C2" s="434"/>
      <c r="D2" s="434"/>
      <c r="E2" s="434"/>
    </row>
    <row r="3" spans="1:5" ht="38.25" customHeight="1" x14ac:dyDescent="0.25">
      <c r="A3" s="434" t="s">
        <v>288</v>
      </c>
      <c r="B3" s="434"/>
      <c r="C3" s="434"/>
      <c r="D3" s="434"/>
      <c r="E3" s="434"/>
    </row>
    <row r="4" spans="1:5" ht="15.75" x14ac:dyDescent="0.25">
      <c r="A4" s="176"/>
      <c r="B4" s="176"/>
      <c r="C4" s="176"/>
      <c r="D4" s="176"/>
      <c r="E4" s="176"/>
    </row>
    <row r="5" spans="1:5" ht="15.75" x14ac:dyDescent="0.25">
      <c r="A5" s="177" t="s">
        <v>346</v>
      </c>
      <c r="B5" s="177"/>
      <c r="C5" s="178">
        <f>ROUND((C7-C6)/30.5,1)</f>
        <v>24.7</v>
      </c>
      <c r="D5" s="179"/>
      <c r="E5" s="180"/>
    </row>
    <row r="6" spans="1:5" ht="15.75" hidden="1" x14ac:dyDescent="0.25">
      <c r="A6" s="177" t="s">
        <v>347</v>
      </c>
      <c r="B6" s="177"/>
      <c r="C6" s="181">
        <f>'График 2026-2028'!$F$15</f>
        <v>46305</v>
      </c>
      <c r="D6" s="179"/>
      <c r="E6" s="180"/>
    </row>
    <row r="7" spans="1:5" ht="15.75" hidden="1" x14ac:dyDescent="0.25">
      <c r="A7" s="177" t="s">
        <v>348</v>
      </c>
      <c r="B7" s="177"/>
      <c r="C7" s="181">
        <f>'График 2026-2028'!$G$18</f>
        <v>47058</v>
      </c>
      <c r="D7" s="179"/>
      <c r="E7" s="180"/>
    </row>
    <row r="8" spans="1:5" ht="15.75" x14ac:dyDescent="0.25">
      <c r="A8" s="177"/>
      <c r="B8" s="182"/>
      <c r="C8" s="182"/>
      <c r="D8" s="180"/>
      <c r="E8" s="180"/>
    </row>
    <row r="9" spans="1:5" ht="38.25" customHeight="1" x14ac:dyDescent="0.25">
      <c r="A9" s="435" t="s">
        <v>349</v>
      </c>
      <c r="B9" s="436" t="s">
        <v>350</v>
      </c>
      <c r="C9" s="435" t="s">
        <v>351</v>
      </c>
      <c r="D9" s="435"/>
      <c r="E9" s="435"/>
    </row>
    <row r="10" spans="1:5" ht="41.25" customHeight="1" x14ac:dyDescent="0.25">
      <c r="A10" s="435"/>
      <c r="B10" s="437"/>
      <c r="C10" s="194" t="s">
        <v>352</v>
      </c>
      <c r="D10" s="194" t="s">
        <v>490</v>
      </c>
      <c r="E10" s="194" t="s">
        <v>353</v>
      </c>
    </row>
    <row r="11" spans="1:5" ht="15.75" x14ac:dyDescent="0.25">
      <c r="A11" s="194">
        <v>1</v>
      </c>
      <c r="B11" s="194">
        <v>2</v>
      </c>
      <c r="C11" s="194">
        <v>3</v>
      </c>
      <c r="D11" s="195">
        <v>4</v>
      </c>
      <c r="E11" s="195">
        <v>5</v>
      </c>
    </row>
    <row r="12" spans="1:5" s="183" customFormat="1" ht="33" customHeight="1" x14ac:dyDescent="0.25">
      <c r="A12" s="188" t="s">
        <v>10</v>
      </c>
      <c r="B12" s="189" t="s">
        <v>354</v>
      </c>
      <c r="C12" s="190">
        <f>'Смета контракта'!G7</f>
        <v>41353835.740000002</v>
      </c>
      <c r="D12" s="191">
        <f>C12*0.22</f>
        <v>9097843.8599999994</v>
      </c>
      <c r="E12" s="191">
        <f>C12+D12</f>
        <v>50451679.600000001</v>
      </c>
    </row>
    <row r="13" spans="1:5" ht="60.75" customHeight="1" x14ac:dyDescent="0.25">
      <c r="A13" s="192" t="s">
        <v>14</v>
      </c>
      <c r="B13" s="193" t="s">
        <v>355</v>
      </c>
      <c r="C13" s="190">
        <f>НМЦК!P17</f>
        <v>1007240559.5</v>
      </c>
      <c r="D13" s="191">
        <f>C13*0.22</f>
        <v>221592923.09</v>
      </c>
      <c r="E13" s="191">
        <f>C13+D13</f>
        <v>1228833482.5899999</v>
      </c>
    </row>
    <row r="14" spans="1:5" ht="41.25" customHeight="1" x14ac:dyDescent="0.25">
      <c r="A14" s="213"/>
      <c r="B14" s="213" t="s">
        <v>356</v>
      </c>
      <c r="C14" s="214">
        <f>C12+C13</f>
        <v>1048594395.24</v>
      </c>
      <c r="D14" s="214">
        <f>D12+D13</f>
        <v>230690766.94999999</v>
      </c>
      <c r="E14" s="214">
        <f>E12+E13</f>
        <v>1279285162.1900001</v>
      </c>
    </row>
    <row r="17" spans="1:7" ht="68.25" customHeight="1" x14ac:dyDescent="0.25">
      <c r="A17" s="424" t="str">
        <f>ПЗ!A19</f>
        <v>Заместитель директора департамента
по ценообразованию и сметному регулированию
Департамента развития инфраструктуры</v>
      </c>
      <c r="B17" s="424"/>
      <c r="C17" s="424"/>
      <c r="D17" s="184"/>
      <c r="E17" s="26" t="str">
        <f>ПЗ!C19</f>
        <v>Е.А. Татаринова</v>
      </c>
    </row>
    <row r="20" spans="1:7" ht="51" customHeight="1" x14ac:dyDescent="0.25">
      <c r="F20" s="185"/>
    </row>
    <row r="23" spans="1:7" x14ac:dyDescent="0.25">
      <c r="G23" s="186"/>
    </row>
    <row r="24" spans="1:7" x14ac:dyDescent="0.25">
      <c r="G24" s="187"/>
    </row>
    <row r="26" spans="1:7" x14ac:dyDescent="0.25">
      <c r="G26" s="187"/>
    </row>
    <row r="27" spans="1:7" x14ac:dyDescent="0.25">
      <c r="G27" s="187"/>
    </row>
    <row r="28" spans="1:7" x14ac:dyDescent="0.25">
      <c r="G28" s="187"/>
    </row>
    <row r="29" spans="1:7" x14ac:dyDescent="0.25">
      <c r="G29" s="187"/>
    </row>
    <row r="30" spans="1:7" x14ac:dyDescent="0.25">
      <c r="G30" s="187"/>
    </row>
    <row r="31" spans="1:7" x14ac:dyDescent="0.25">
      <c r="G31" s="187"/>
    </row>
    <row r="33" spans="7:7" x14ac:dyDescent="0.25">
      <c r="G33" s="187"/>
    </row>
  </sheetData>
  <mergeCells count="7">
    <mergeCell ref="A17:C17"/>
    <mergeCell ref="A1:E1"/>
    <mergeCell ref="A2:E2"/>
    <mergeCell ref="A3:E3"/>
    <mergeCell ref="A9:A10"/>
    <mergeCell ref="B9:B10"/>
    <mergeCell ref="C9:E9"/>
  </mergeCells>
  <pageMargins left="0.7" right="0.7" top="0.75" bottom="0.75" header="0.3" footer="0.3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opLeftCell="A52" workbookViewId="0">
      <selection activeCell="C27" sqref="C27"/>
    </sheetView>
  </sheetViews>
  <sheetFormatPr defaultRowHeight="15" x14ac:dyDescent="0.25"/>
  <cols>
    <col min="2" max="2" width="23.7109375" customWidth="1"/>
    <col min="3" max="3" width="55.140625" customWidth="1"/>
    <col min="4" max="4" width="21.5703125" customWidth="1"/>
    <col min="5" max="5" width="18.85546875" customWidth="1"/>
  </cols>
  <sheetData>
    <row r="1" spans="1:5" ht="15.75" x14ac:dyDescent="0.25">
      <c r="A1" s="438" t="s">
        <v>289</v>
      </c>
      <c r="B1" s="438"/>
      <c r="C1" s="438"/>
      <c r="D1" s="438"/>
      <c r="E1" s="438"/>
    </row>
    <row r="2" spans="1:5" ht="15.75" x14ac:dyDescent="0.25">
      <c r="A2" s="439" t="s">
        <v>451</v>
      </c>
      <c r="B2" s="439"/>
      <c r="C2" s="439"/>
      <c r="D2" s="439"/>
      <c r="E2" s="439"/>
    </row>
    <row r="3" spans="1:5" ht="15.75" x14ac:dyDescent="0.25">
      <c r="A3" s="440" t="s">
        <v>290</v>
      </c>
      <c r="B3" s="440"/>
      <c r="C3" s="440"/>
      <c r="D3" s="440"/>
      <c r="E3" s="440"/>
    </row>
    <row r="4" spans="1:5" ht="175.5" customHeight="1" x14ac:dyDescent="0.25">
      <c r="A4" s="121" t="s">
        <v>61</v>
      </c>
      <c r="B4" s="121" t="s">
        <v>291</v>
      </c>
      <c r="C4" s="121" t="s">
        <v>292</v>
      </c>
      <c r="D4" s="121" t="s">
        <v>293</v>
      </c>
      <c r="E4" s="121" t="s">
        <v>294</v>
      </c>
    </row>
    <row r="5" spans="1:5" ht="15.75" x14ac:dyDescent="0.25">
      <c r="A5" s="7">
        <v>1</v>
      </c>
      <c r="B5" s="7">
        <v>2</v>
      </c>
      <c r="C5" s="7">
        <v>3</v>
      </c>
      <c r="D5" s="126">
        <v>4</v>
      </c>
      <c r="E5" s="126">
        <v>5</v>
      </c>
    </row>
    <row r="6" spans="1:5" ht="15.75" x14ac:dyDescent="0.25">
      <c r="A6" s="14" t="s">
        <v>10</v>
      </c>
      <c r="B6" s="15"/>
      <c r="C6" s="15" t="s">
        <v>11</v>
      </c>
      <c r="D6" s="122"/>
      <c r="E6" s="122"/>
    </row>
    <row r="7" spans="1:5" ht="15.75" x14ac:dyDescent="0.25">
      <c r="A7" s="18" t="s">
        <v>12</v>
      </c>
      <c r="B7" s="79" t="s">
        <v>35</v>
      </c>
      <c r="C7" s="79" t="s">
        <v>11</v>
      </c>
      <c r="D7" s="123" t="s">
        <v>295</v>
      </c>
      <c r="E7" s="123">
        <v>1</v>
      </c>
    </row>
    <row r="8" spans="1:5" ht="31.5" x14ac:dyDescent="0.25">
      <c r="A8" s="18" t="s">
        <v>13</v>
      </c>
      <c r="B8" s="33" t="s">
        <v>160</v>
      </c>
      <c r="C8" s="33" t="s">
        <v>36</v>
      </c>
      <c r="D8" s="124" t="s">
        <v>295</v>
      </c>
      <c r="E8" s="124">
        <v>1</v>
      </c>
    </row>
    <row r="9" spans="1:5" ht="15.75" x14ac:dyDescent="0.25">
      <c r="A9" s="14" t="s">
        <v>14</v>
      </c>
      <c r="B9" s="15"/>
      <c r="C9" s="15" t="s">
        <v>15</v>
      </c>
      <c r="D9" s="122"/>
      <c r="E9" s="122"/>
    </row>
    <row r="10" spans="1:5" ht="31.5" x14ac:dyDescent="0.25">
      <c r="A10" s="88" t="s">
        <v>16</v>
      </c>
      <c r="B10" s="79" t="s">
        <v>37</v>
      </c>
      <c r="C10" s="79" t="s">
        <v>395</v>
      </c>
      <c r="D10" s="124" t="s">
        <v>295</v>
      </c>
      <c r="E10" s="124">
        <v>1</v>
      </c>
    </row>
    <row r="11" spans="1:5" ht="15.75" x14ac:dyDescent="0.25">
      <c r="A11" s="88" t="s">
        <v>17</v>
      </c>
      <c r="B11" s="79" t="s">
        <v>117</v>
      </c>
      <c r="C11" s="79" t="s">
        <v>118</v>
      </c>
      <c r="D11" s="124" t="s">
        <v>295</v>
      </c>
      <c r="E11" s="124">
        <v>1</v>
      </c>
    </row>
    <row r="12" spans="1:5" ht="15.75" x14ac:dyDescent="0.25">
      <c r="A12" s="89" t="s">
        <v>234</v>
      </c>
      <c r="B12" s="96" t="s">
        <v>38</v>
      </c>
      <c r="C12" s="95" t="s">
        <v>204</v>
      </c>
      <c r="D12" s="125" t="s">
        <v>295</v>
      </c>
      <c r="E12" s="125">
        <v>1</v>
      </c>
    </row>
    <row r="13" spans="1:5" ht="15.75" x14ac:dyDescent="0.25">
      <c r="A13" s="89" t="s">
        <v>235</v>
      </c>
      <c r="B13" s="96" t="s">
        <v>205</v>
      </c>
      <c r="C13" s="95" t="s">
        <v>206</v>
      </c>
      <c r="D13" s="125" t="s">
        <v>295</v>
      </c>
      <c r="E13" s="125">
        <v>1</v>
      </c>
    </row>
    <row r="14" spans="1:5" ht="31.5" x14ac:dyDescent="0.25">
      <c r="A14" s="88" t="s">
        <v>18</v>
      </c>
      <c r="B14" s="79" t="s">
        <v>51</v>
      </c>
      <c r="C14" s="79" t="s">
        <v>119</v>
      </c>
      <c r="D14" s="124" t="s">
        <v>295</v>
      </c>
      <c r="E14" s="124">
        <v>1</v>
      </c>
    </row>
    <row r="15" spans="1:5" ht="15.75" x14ac:dyDescent="0.25">
      <c r="A15" s="89" t="s">
        <v>19</v>
      </c>
      <c r="B15" s="96" t="s">
        <v>171</v>
      </c>
      <c r="C15" s="95" t="s">
        <v>172</v>
      </c>
      <c r="D15" s="125" t="s">
        <v>295</v>
      </c>
      <c r="E15" s="125">
        <v>1</v>
      </c>
    </row>
    <row r="16" spans="1:5" ht="15.75" x14ac:dyDescent="0.25">
      <c r="A16" s="89" t="s">
        <v>20</v>
      </c>
      <c r="B16" s="96" t="s">
        <v>173</v>
      </c>
      <c r="C16" s="95" t="s">
        <v>174</v>
      </c>
      <c r="D16" s="125" t="s">
        <v>295</v>
      </c>
      <c r="E16" s="125">
        <v>1</v>
      </c>
    </row>
    <row r="17" spans="1:5" ht="31.5" x14ac:dyDescent="0.25">
      <c r="A17" s="89" t="s">
        <v>236</v>
      </c>
      <c r="B17" s="96" t="s">
        <v>175</v>
      </c>
      <c r="C17" s="95" t="s">
        <v>176</v>
      </c>
      <c r="D17" s="125" t="s">
        <v>295</v>
      </c>
      <c r="E17" s="125">
        <v>1</v>
      </c>
    </row>
    <row r="18" spans="1:5" ht="15.75" x14ac:dyDescent="0.25">
      <c r="A18" s="89" t="s">
        <v>237</v>
      </c>
      <c r="B18" s="96" t="s">
        <v>177</v>
      </c>
      <c r="C18" s="95" t="s">
        <v>178</v>
      </c>
      <c r="D18" s="125" t="s">
        <v>295</v>
      </c>
      <c r="E18" s="125">
        <v>1</v>
      </c>
    </row>
    <row r="19" spans="1:5" ht="47.25" x14ac:dyDescent="0.25">
      <c r="A19" s="89" t="s">
        <v>238</v>
      </c>
      <c r="B19" s="96" t="s">
        <v>179</v>
      </c>
      <c r="C19" s="95" t="s">
        <v>260</v>
      </c>
      <c r="D19" s="125" t="s">
        <v>295</v>
      </c>
      <c r="E19" s="125">
        <v>1</v>
      </c>
    </row>
    <row r="20" spans="1:5" ht="15.75" x14ac:dyDescent="0.25">
      <c r="A20" s="89" t="s">
        <v>239</v>
      </c>
      <c r="B20" s="96" t="s">
        <v>180</v>
      </c>
      <c r="C20" s="95" t="s">
        <v>181</v>
      </c>
      <c r="D20" s="125" t="s">
        <v>295</v>
      </c>
      <c r="E20" s="125">
        <v>1</v>
      </c>
    </row>
    <row r="21" spans="1:5" ht="31.5" x14ac:dyDescent="0.25">
      <c r="A21" s="89" t="s">
        <v>240</v>
      </c>
      <c r="B21" s="96" t="s">
        <v>182</v>
      </c>
      <c r="C21" s="95" t="s">
        <v>183</v>
      </c>
      <c r="D21" s="125" t="s">
        <v>295</v>
      </c>
      <c r="E21" s="125">
        <v>1</v>
      </c>
    </row>
    <row r="22" spans="1:5" ht="15.75" x14ac:dyDescent="0.25">
      <c r="A22" s="89" t="s">
        <v>241</v>
      </c>
      <c r="B22" s="96" t="s">
        <v>184</v>
      </c>
      <c r="C22" s="95" t="s">
        <v>185</v>
      </c>
      <c r="D22" s="125" t="s">
        <v>295</v>
      </c>
      <c r="E22" s="125">
        <v>1</v>
      </c>
    </row>
    <row r="23" spans="1:5" ht="31.5" x14ac:dyDescent="0.25">
      <c r="A23" s="89" t="s">
        <v>242</v>
      </c>
      <c r="B23" s="96" t="s">
        <v>186</v>
      </c>
      <c r="C23" s="95" t="s">
        <v>187</v>
      </c>
      <c r="D23" s="125" t="s">
        <v>295</v>
      </c>
      <c r="E23" s="125">
        <v>1</v>
      </c>
    </row>
    <row r="24" spans="1:5" ht="15.75" x14ac:dyDescent="0.25">
      <c r="A24" s="28" t="s">
        <v>243</v>
      </c>
      <c r="B24" s="96" t="s">
        <v>188</v>
      </c>
      <c r="C24" s="95" t="s">
        <v>189</v>
      </c>
      <c r="D24" s="125" t="s">
        <v>295</v>
      </c>
      <c r="E24" s="125">
        <v>1</v>
      </c>
    </row>
    <row r="25" spans="1:5" ht="15.75" x14ac:dyDescent="0.25">
      <c r="A25" s="28" t="s">
        <v>244</v>
      </c>
      <c r="B25" s="96" t="s">
        <v>190</v>
      </c>
      <c r="C25" s="95" t="s">
        <v>191</v>
      </c>
      <c r="D25" s="125" t="s">
        <v>295</v>
      </c>
      <c r="E25" s="125">
        <v>1</v>
      </c>
    </row>
    <row r="26" spans="1:5" ht="15.75" x14ac:dyDescent="0.25">
      <c r="A26" s="28" t="s">
        <v>245</v>
      </c>
      <c r="B26" s="96" t="s">
        <v>192</v>
      </c>
      <c r="C26" s="95" t="s">
        <v>193</v>
      </c>
      <c r="D26" s="125" t="s">
        <v>295</v>
      </c>
      <c r="E26" s="125">
        <v>1</v>
      </c>
    </row>
    <row r="27" spans="1:5" ht="15.75" x14ac:dyDescent="0.25">
      <c r="A27" s="28" t="s">
        <v>246</v>
      </c>
      <c r="B27" s="96" t="s">
        <v>194</v>
      </c>
      <c r="C27" s="95" t="s">
        <v>195</v>
      </c>
      <c r="D27" s="125" t="s">
        <v>295</v>
      </c>
      <c r="E27" s="125">
        <v>1</v>
      </c>
    </row>
    <row r="28" spans="1:5" ht="47.25" x14ac:dyDescent="0.25">
      <c r="A28" s="28" t="s">
        <v>247</v>
      </c>
      <c r="B28" s="96" t="s">
        <v>196</v>
      </c>
      <c r="C28" s="95" t="s">
        <v>197</v>
      </c>
      <c r="D28" s="125" t="s">
        <v>295</v>
      </c>
      <c r="E28" s="125">
        <v>1</v>
      </c>
    </row>
    <row r="29" spans="1:5" ht="31.5" x14ac:dyDescent="0.25">
      <c r="A29" s="28" t="s">
        <v>248</v>
      </c>
      <c r="B29" s="96" t="s">
        <v>198</v>
      </c>
      <c r="C29" s="95" t="s">
        <v>199</v>
      </c>
      <c r="D29" s="125" t="s">
        <v>295</v>
      </c>
      <c r="E29" s="125">
        <v>1</v>
      </c>
    </row>
    <row r="30" spans="1:5" ht="31.5" x14ac:dyDescent="0.25">
      <c r="A30" s="28" t="s">
        <v>250</v>
      </c>
      <c r="B30" s="96" t="s">
        <v>200</v>
      </c>
      <c r="C30" s="95" t="s">
        <v>201</v>
      </c>
      <c r="D30" s="125" t="s">
        <v>295</v>
      </c>
      <c r="E30" s="125">
        <v>1</v>
      </c>
    </row>
    <row r="31" spans="1:5" ht="31.5" x14ac:dyDescent="0.25">
      <c r="A31" s="86" t="s">
        <v>249</v>
      </c>
      <c r="B31" s="96" t="s">
        <v>202</v>
      </c>
      <c r="C31" s="95" t="s">
        <v>203</v>
      </c>
      <c r="D31" s="125" t="s">
        <v>295</v>
      </c>
      <c r="E31" s="125">
        <v>1</v>
      </c>
    </row>
    <row r="32" spans="1:5" ht="15.75" x14ac:dyDescent="0.25">
      <c r="A32" s="105" t="s">
        <v>21</v>
      </c>
      <c r="B32" s="79" t="s">
        <v>120</v>
      </c>
      <c r="C32" s="79" t="s">
        <v>121</v>
      </c>
      <c r="D32" s="124" t="s">
        <v>295</v>
      </c>
      <c r="E32" s="124">
        <v>1</v>
      </c>
    </row>
    <row r="33" spans="1:5" ht="15.75" x14ac:dyDescent="0.25">
      <c r="A33" s="99" t="s">
        <v>265</v>
      </c>
      <c r="B33" s="98" t="s">
        <v>261</v>
      </c>
      <c r="C33" s="102" t="s">
        <v>262</v>
      </c>
      <c r="D33" s="125" t="s">
        <v>295</v>
      </c>
      <c r="E33" s="125">
        <v>1</v>
      </c>
    </row>
    <row r="34" spans="1:5" ht="15.75" x14ac:dyDescent="0.25">
      <c r="A34" s="99" t="s">
        <v>266</v>
      </c>
      <c r="B34" s="98" t="s">
        <v>263</v>
      </c>
      <c r="C34" s="102" t="s">
        <v>264</v>
      </c>
      <c r="D34" s="125" t="s">
        <v>295</v>
      </c>
      <c r="E34" s="125">
        <v>1</v>
      </c>
    </row>
    <row r="35" spans="1:5" ht="15.75" x14ac:dyDescent="0.25">
      <c r="A35" s="30" t="s">
        <v>22</v>
      </c>
      <c r="B35" s="79" t="s">
        <v>41</v>
      </c>
      <c r="C35" s="79" t="s">
        <v>42</v>
      </c>
      <c r="D35" s="124" t="s">
        <v>295</v>
      </c>
      <c r="E35" s="124">
        <v>1</v>
      </c>
    </row>
    <row r="36" spans="1:5" ht="15.75" x14ac:dyDescent="0.25">
      <c r="A36" s="30" t="s">
        <v>23</v>
      </c>
      <c r="B36" s="79" t="s">
        <v>123</v>
      </c>
      <c r="C36" s="79" t="s">
        <v>124</v>
      </c>
      <c r="D36" s="124" t="s">
        <v>295</v>
      </c>
      <c r="E36" s="124">
        <v>1</v>
      </c>
    </row>
    <row r="37" spans="1:5" ht="15.75" x14ac:dyDescent="0.25">
      <c r="A37" s="90" t="s">
        <v>267</v>
      </c>
      <c r="B37" s="96" t="s">
        <v>207</v>
      </c>
      <c r="C37" s="95" t="s">
        <v>208</v>
      </c>
      <c r="D37" s="125" t="s">
        <v>295</v>
      </c>
      <c r="E37" s="125">
        <v>1</v>
      </c>
    </row>
    <row r="38" spans="1:5" ht="15.75" x14ac:dyDescent="0.25">
      <c r="A38" s="90" t="s">
        <v>268</v>
      </c>
      <c r="B38" s="96" t="s">
        <v>209</v>
      </c>
      <c r="C38" s="95" t="s">
        <v>210</v>
      </c>
      <c r="D38" s="125" t="s">
        <v>295</v>
      </c>
      <c r="E38" s="125">
        <v>1</v>
      </c>
    </row>
    <row r="39" spans="1:5" ht="15.75" x14ac:dyDescent="0.25">
      <c r="A39" s="80" t="s">
        <v>24</v>
      </c>
      <c r="B39" s="79" t="s">
        <v>125</v>
      </c>
      <c r="C39" s="79" t="s">
        <v>126</v>
      </c>
      <c r="D39" s="124" t="s">
        <v>295</v>
      </c>
      <c r="E39" s="124">
        <v>1</v>
      </c>
    </row>
    <row r="40" spans="1:5" ht="15.75" x14ac:dyDescent="0.25">
      <c r="A40" s="80" t="s">
        <v>25</v>
      </c>
      <c r="B40" s="79" t="s">
        <v>128</v>
      </c>
      <c r="C40" s="79" t="s">
        <v>129</v>
      </c>
      <c r="D40" s="124" t="s">
        <v>295</v>
      </c>
      <c r="E40" s="124">
        <v>1</v>
      </c>
    </row>
    <row r="41" spans="1:5" ht="15.75" x14ac:dyDescent="0.25">
      <c r="A41" s="80" t="s">
        <v>26</v>
      </c>
      <c r="B41" s="79" t="s">
        <v>130</v>
      </c>
      <c r="C41" s="79" t="s">
        <v>131</v>
      </c>
      <c r="D41" s="124" t="s">
        <v>295</v>
      </c>
      <c r="E41" s="124">
        <v>1</v>
      </c>
    </row>
    <row r="42" spans="1:5" ht="31.5" x14ac:dyDescent="0.25">
      <c r="A42" s="80" t="s">
        <v>27</v>
      </c>
      <c r="B42" s="79" t="s">
        <v>52</v>
      </c>
      <c r="C42" s="79" t="s">
        <v>278</v>
      </c>
      <c r="D42" s="124" t="s">
        <v>295</v>
      </c>
      <c r="E42" s="124">
        <v>1</v>
      </c>
    </row>
    <row r="43" spans="1:5" ht="31.5" x14ac:dyDescent="0.25">
      <c r="A43" s="90" t="s">
        <v>28</v>
      </c>
      <c r="B43" s="96" t="s">
        <v>211</v>
      </c>
      <c r="C43" s="95" t="s">
        <v>212</v>
      </c>
      <c r="D43" s="125" t="s">
        <v>295</v>
      </c>
      <c r="E43" s="125">
        <v>1</v>
      </c>
    </row>
    <row r="44" spans="1:5" ht="31.5" x14ac:dyDescent="0.25">
      <c r="A44" s="90" t="s">
        <v>29</v>
      </c>
      <c r="B44" s="96" t="s">
        <v>213</v>
      </c>
      <c r="C44" s="95" t="s">
        <v>214</v>
      </c>
      <c r="D44" s="125" t="s">
        <v>295</v>
      </c>
      <c r="E44" s="125">
        <v>1</v>
      </c>
    </row>
    <row r="45" spans="1:5" ht="15.75" x14ac:dyDescent="0.25">
      <c r="A45" s="90" t="s">
        <v>251</v>
      </c>
      <c r="B45" s="96" t="s">
        <v>215</v>
      </c>
      <c r="C45" s="95" t="s">
        <v>216</v>
      </c>
      <c r="D45" s="125" t="s">
        <v>295</v>
      </c>
      <c r="E45" s="125">
        <v>1</v>
      </c>
    </row>
    <row r="46" spans="1:5" ht="31.5" x14ac:dyDescent="0.25">
      <c r="A46" s="90" t="s">
        <v>269</v>
      </c>
      <c r="B46" s="96" t="s">
        <v>217</v>
      </c>
      <c r="C46" s="95" t="s">
        <v>218</v>
      </c>
      <c r="D46" s="125" t="s">
        <v>295</v>
      </c>
      <c r="E46" s="125">
        <v>1</v>
      </c>
    </row>
    <row r="47" spans="1:5" ht="31.5" x14ac:dyDescent="0.25">
      <c r="A47" s="90" t="s">
        <v>270</v>
      </c>
      <c r="B47" s="96" t="s">
        <v>219</v>
      </c>
      <c r="C47" s="95" t="s">
        <v>220</v>
      </c>
      <c r="D47" s="125" t="s">
        <v>295</v>
      </c>
      <c r="E47" s="125">
        <v>1</v>
      </c>
    </row>
    <row r="48" spans="1:5" ht="31.5" x14ac:dyDescent="0.25">
      <c r="A48" s="90" t="s">
        <v>271</v>
      </c>
      <c r="B48" s="96" t="s">
        <v>221</v>
      </c>
      <c r="C48" s="95" t="s">
        <v>222</v>
      </c>
      <c r="D48" s="125" t="s">
        <v>295</v>
      </c>
      <c r="E48" s="125">
        <v>1</v>
      </c>
    </row>
    <row r="49" spans="1:5" ht="47.25" x14ac:dyDescent="0.25">
      <c r="A49" s="90" t="s">
        <v>272</v>
      </c>
      <c r="B49" s="96" t="s">
        <v>223</v>
      </c>
      <c r="C49" s="95" t="s">
        <v>224</v>
      </c>
      <c r="D49" s="125" t="s">
        <v>295</v>
      </c>
      <c r="E49" s="125">
        <v>1</v>
      </c>
    </row>
    <row r="50" spans="1:5" ht="31.5" x14ac:dyDescent="0.25">
      <c r="A50" s="90" t="s">
        <v>273</v>
      </c>
      <c r="B50" s="96" t="s">
        <v>225</v>
      </c>
      <c r="C50" s="95" t="s">
        <v>226</v>
      </c>
      <c r="D50" s="125" t="s">
        <v>295</v>
      </c>
      <c r="E50" s="125">
        <v>1</v>
      </c>
    </row>
    <row r="51" spans="1:5" ht="31.5" x14ac:dyDescent="0.25">
      <c r="A51" s="90" t="s">
        <v>274</v>
      </c>
      <c r="B51" s="96" t="s">
        <v>227</v>
      </c>
      <c r="C51" s="95" t="s">
        <v>220</v>
      </c>
      <c r="D51" s="125" t="s">
        <v>295</v>
      </c>
      <c r="E51" s="125">
        <v>1</v>
      </c>
    </row>
    <row r="52" spans="1:5" ht="24" customHeight="1" x14ac:dyDescent="0.25">
      <c r="A52" s="80" t="s">
        <v>30</v>
      </c>
      <c r="B52" s="79" t="s">
        <v>140</v>
      </c>
      <c r="C52" s="79" t="s">
        <v>141</v>
      </c>
      <c r="D52" s="124" t="s">
        <v>295</v>
      </c>
      <c r="E52" s="124">
        <v>1</v>
      </c>
    </row>
    <row r="53" spans="1:5" ht="31.5" x14ac:dyDescent="0.25">
      <c r="A53" s="90" t="s">
        <v>275</v>
      </c>
      <c r="B53" s="96" t="s">
        <v>228</v>
      </c>
      <c r="C53" s="95" t="s">
        <v>229</v>
      </c>
      <c r="D53" s="125" t="s">
        <v>295</v>
      </c>
      <c r="E53" s="125">
        <v>1</v>
      </c>
    </row>
    <row r="54" spans="1:5" ht="31.5" x14ac:dyDescent="0.25">
      <c r="A54" s="90" t="s">
        <v>276</v>
      </c>
      <c r="B54" s="96" t="s">
        <v>230</v>
      </c>
      <c r="C54" s="95" t="s">
        <v>231</v>
      </c>
      <c r="D54" s="125" t="s">
        <v>295</v>
      </c>
      <c r="E54" s="125">
        <v>1</v>
      </c>
    </row>
    <row r="55" spans="1:5" ht="28.5" customHeight="1" x14ac:dyDescent="0.25">
      <c r="A55" s="90" t="s">
        <v>277</v>
      </c>
      <c r="B55" s="96" t="s">
        <v>232</v>
      </c>
      <c r="C55" s="95" t="s">
        <v>233</v>
      </c>
      <c r="D55" s="125" t="s">
        <v>295</v>
      </c>
      <c r="E55" s="125">
        <v>1</v>
      </c>
    </row>
    <row r="56" spans="1:5" ht="31.5" x14ac:dyDescent="0.25">
      <c r="A56" s="80" t="s">
        <v>252</v>
      </c>
      <c r="B56" s="79" t="s">
        <v>142</v>
      </c>
      <c r="C56" s="79" t="s">
        <v>143</v>
      </c>
      <c r="D56" s="124" t="s">
        <v>295</v>
      </c>
      <c r="E56" s="124">
        <v>1</v>
      </c>
    </row>
    <row r="57" spans="1:5" ht="24" customHeight="1" x14ac:dyDescent="0.25">
      <c r="A57" s="80" t="s">
        <v>253</v>
      </c>
      <c r="B57" s="79" t="s">
        <v>43</v>
      </c>
      <c r="C57" s="79" t="s">
        <v>44</v>
      </c>
      <c r="D57" s="124" t="s">
        <v>295</v>
      </c>
      <c r="E57" s="124">
        <v>1</v>
      </c>
    </row>
    <row r="58" spans="1:5" ht="31.5" x14ac:dyDescent="0.25">
      <c r="A58" s="80" t="s">
        <v>254</v>
      </c>
      <c r="B58" s="79" t="s">
        <v>45</v>
      </c>
      <c r="C58" s="79" t="s">
        <v>46</v>
      </c>
      <c r="D58" s="124" t="s">
        <v>295</v>
      </c>
      <c r="E58" s="124">
        <v>1</v>
      </c>
    </row>
    <row r="59" spans="1:5" ht="29.25" customHeight="1" x14ac:dyDescent="0.25">
      <c r="A59" s="80" t="s">
        <v>255</v>
      </c>
      <c r="B59" s="79" t="s">
        <v>47</v>
      </c>
      <c r="C59" s="79" t="s">
        <v>279</v>
      </c>
      <c r="D59" s="124" t="s">
        <v>295</v>
      </c>
      <c r="E59" s="124">
        <v>1</v>
      </c>
    </row>
    <row r="60" spans="1:5" ht="31.5" x14ac:dyDescent="0.25">
      <c r="A60" s="80" t="s">
        <v>256</v>
      </c>
      <c r="B60" s="79" t="s">
        <v>145</v>
      </c>
      <c r="C60" s="79" t="s">
        <v>146</v>
      </c>
      <c r="D60" s="124" t="s">
        <v>295</v>
      </c>
      <c r="E60" s="124">
        <v>1</v>
      </c>
    </row>
    <row r="61" spans="1:5" ht="31.5" x14ac:dyDescent="0.25">
      <c r="A61" s="99" t="s">
        <v>284</v>
      </c>
      <c r="B61" s="111"/>
      <c r="C61" s="111" t="s">
        <v>281</v>
      </c>
      <c r="D61" s="125" t="s">
        <v>295</v>
      </c>
      <c r="E61" s="125">
        <v>1</v>
      </c>
    </row>
    <row r="62" spans="1:5" ht="31.5" x14ac:dyDescent="0.25">
      <c r="A62" s="99" t="s">
        <v>286</v>
      </c>
      <c r="B62" s="111"/>
      <c r="C62" s="111" t="s">
        <v>280</v>
      </c>
      <c r="D62" s="125" t="s">
        <v>295</v>
      </c>
      <c r="E62" s="125">
        <v>1</v>
      </c>
    </row>
    <row r="63" spans="1:5" ht="47.25" x14ac:dyDescent="0.25">
      <c r="A63" s="99" t="s">
        <v>285</v>
      </c>
      <c r="B63" s="111"/>
      <c r="C63" s="111" t="s">
        <v>282</v>
      </c>
      <c r="D63" s="125" t="s">
        <v>295</v>
      </c>
      <c r="E63" s="125">
        <v>1</v>
      </c>
    </row>
    <row r="64" spans="1:5" ht="47.25" x14ac:dyDescent="0.25">
      <c r="A64" s="90" t="s">
        <v>287</v>
      </c>
      <c r="B64" s="120"/>
      <c r="C64" s="111" t="s">
        <v>283</v>
      </c>
      <c r="D64" s="125" t="s">
        <v>295</v>
      </c>
      <c r="E64" s="125">
        <v>1</v>
      </c>
    </row>
    <row r="65" spans="1:5" ht="31.5" x14ac:dyDescent="0.25">
      <c r="A65" s="80" t="s">
        <v>257</v>
      </c>
      <c r="B65" s="79" t="s">
        <v>90</v>
      </c>
      <c r="C65" s="79" t="s">
        <v>147</v>
      </c>
      <c r="D65" s="124" t="s">
        <v>295</v>
      </c>
      <c r="E65" s="124">
        <v>1</v>
      </c>
    </row>
    <row r="66" spans="1:5" ht="47.25" x14ac:dyDescent="0.25">
      <c r="A66" s="80" t="s">
        <v>258</v>
      </c>
      <c r="B66" s="79" t="s">
        <v>148</v>
      </c>
      <c r="C66" s="79" t="s">
        <v>149</v>
      </c>
      <c r="D66" s="124" t="s">
        <v>295</v>
      </c>
      <c r="E66" s="124">
        <v>1</v>
      </c>
    </row>
    <row r="67" spans="1:5" ht="39.75" customHeight="1" x14ac:dyDescent="0.25">
      <c r="A67" s="22" t="s">
        <v>259</v>
      </c>
      <c r="B67" s="33" t="s">
        <v>160</v>
      </c>
      <c r="C67" s="33" t="s">
        <v>50</v>
      </c>
      <c r="D67" s="124" t="s">
        <v>295</v>
      </c>
      <c r="E67" s="124">
        <v>1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opLeftCell="A57" workbookViewId="0">
      <selection activeCell="G74" sqref="G74"/>
    </sheetView>
  </sheetViews>
  <sheetFormatPr defaultRowHeight="15" outlineLevelCol="1" x14ac:dyDescent="0.25"/>
  <cols>
    <col min="2" max="2" width="17.42578125" customWidth="1" outlineLevel="1"/>
    <col min="3" max="3" width="58.7109375" customWidth="1"/>
    <col min="4" max="4" width="15.28515625" customWidth="1"/>
    <col min="5" max="5" width="15.85546875" customWidth="1"/>
    <col min="6" max="6" width="19.5703125" customWidth="1"/>
    <col min="7" max="7" width="23.7109375" customWidth="1"/>
    <col min="8" max="8" width="17.42578125" customWidth="1"/>
    <col min="9" max="9" width="16.28515625" customWidth="1"/>
  </cols>
  <sheetData>
    <row r="1" spans="1:9" ht="30" customHeight="1" x14ac:dyDescent="0.25">
      <c r="A1" s="438" t="s">
        <v>341</v>
      </c>
      <c r="B1" s="438"/>
      <c r="C1" s="438"/>
      <c r="D1" s="438"/>
      <c r="E1" s="438"/>
      <c r="F1" s="438"/>
      <c r="G1" s="438"/>
      <c r="H1" s="438"/>
      <c r="I1" s="438"/>
    </row>
    <row r="2" spans="1:9" ht="15.75" x14ac:dyDescent="0.25">
      <c r="A2" s="442" t="s">
        <v>451</v>
      </c>
      <c r="B2" s="442"/>
      <c r="C2" s="442"/>
      <c r="D2" s="442"/>
      <c r="E2" s="442"/>
      <c r="F2" s="442"/>
      <c r="G2" s="442"/>
      <c r="H2" s="442"/>
      <c r="I2" s="442"/>
    </row>
    <row r="3" spans="1:9" ht="15.75" x14ac:dyDescent="0.25">
      <c r="A3" s="440" t="s">
        <v>290</v>
      </c>
      <c r="B3" s="440"/>
      <c r="C3" s="440"/>
      <c r="D3" s="440"/>
      <c r="E3" s="440"/>
      <c r="F3" s="440"/>
      <c r="G3" s="440"/>
      <c r="H3" s="440"/>
      <c r="I3" s="440"/>
    </row>
    <row r="4" spans="1:9" ht="15.75" x14ac:dyDescent="0.25">
      <c r="A4" s="443" t="s">
        <v>61</v>
      </c>
      <c r="B4" s="443" t="s">
        <v>291</v>
      </c>
      <c r="C4" s="443" t="s">
        <v>292</v>
      </c>
      <c r="D4" s="443" t="s">
        <v>293</v>
      </c>
      <c r="E4" s="443" t="s">
        <v>294</v>
      </c>
      <c r="F4" s="444" t="s">
        <v>342</v>
      </c>
      <c r="G4" s="445"/>
      <c r="H4" s="444" t="s">
        <v>343</v>
      </c>
      <c r="I4" s="445"/>
    </row>
    <row r="5" spans="1:9" ht="31.5" x14ac:dyDescent="0.25">
      <c r="A5" s="443"/>
      <c r="B5" s="443"/>
      <c r="C5" s="443"/>
      <c r="D5" s="443"/>
      <c r="E5" s="443"/>
      <c r="F5" s="153" t="s">
        <v>344</v>
      </c>
      <c r="G5" s="153" t="s">
        <v>5</v>
      </c>
      <c r="H5" s="153" t="s">
        <v>344</v>
      </c>
      <c r="I5" s="153" t="s">
        <v>5</v>
      </c>
    </row>
    <row r="6" spans="1:9" ht="15.75" x14ac:dyDescent="0.25">
      <c r="A6" s="154">
        <v>1</v>
      </c>
      <c r="B6" s="154"/>
      <c r="C6" s="154">
        <v>2</v>
      </c>
      <c r="D6" s="154">
        <v>3</v>
      </c>
      <c r="E6" s="154">
        <v>4</v>
      </c>
      <c r="F6" s="154">
        <v>5</v>
      </c>
      <c r="G6" s="154">
        <v>6</v>
      </c>
      <c r="H6" s="154">
        <v>7</v>
      </c>
      <c r="I6" s="154">
        <v>8</v>
      </c>
    </row>
    <row r="7" spans="1:9" ht="15.75" x14ac:dyDescent="0.25">
      <c r="A7" s="14" t="s">
        <v>10</v>
      </c>
      <c r="B7" s="15"/>
      <c r="C7" s="15" t="s">
        <v>11</v>
      </c>
      <c r="D7" s="160"/>
      <c r="E7" s="160"/>
      <c r="F7" s="161"/>
      <c r="G7" s="161">
        <f>G8+G9</f>
        <v>41353835.740000002</v>
      </c>
      <c r="H7" s="162"/>
      <c r="I7" s="162"/>
    </row>
    <row r="8" spans="1:9" ht="31.5" x14ac:dyDescent="0.25">
      <c r="A8" s="18" t="s">
        <v>12</v>
      </c>
      <c r="B8" s="79" t="s">
        <v>35</v>
      </c>
      <c r="C8" s="79" t="s">
        <v>11</v>
      </c>
      <c r="D8" s="165" t="s">
        <v>295</v>
      </c>
      <c r="E8" s="165">
        <v>1</v>
      </c>
      <c r="F8" s="163">
        <f>НМЦК!P15</f>
        <v>40542976.219999999</v>
      </c>
      <c r="G8" s="163">
        <f>F8</f>
        <v>40542976.219999999</v>
      </c>
      <c r="H8" s="164"/>
      <c r="I8" s="164"/>
    </row>
    <row r="9" spans="1:9" ht="47.25" x14ac:dyDescent="0.25">
      <c r="A9" s="18" t="s">
        <v>13</v>
      </c>
      <c r="B9" s="33" t="s">
        <v>160</v>
      </c>
      <c r="C9" s="33" t="s">
        <v>36</v>
      </c>
      <c r="D9" s="165" t="s">
        <v>295</v>
      </c>
      <c r="E9" s="165">
        <v>1</v>
      </c>
      <c r="F9" s="163">
        <f>НМЦК!P16</f>
        <v>810859.52000000002</v>
      </c>
      <c r="G9" s="163">
        <f>F9</f>
        <v>810859.52000000002</v>
      </c>
      <c r="H9" s="164"/>
      <c r="I9" s="164"/>
    </row>
    <row r="10" spans="1:9" ht="15.75" x14ac:dyDescent="0.25">
      <c r="A10" s="14" t="s">
        <v>14</v>
      </c>
      <c r="B10" s="15"/>
      <c r="C10" s="15" t="s">
        <v>15</v>
      </c>
      <c r="D10" s="160"/>
      <c r="E10" s="160"/>
      <c r="F10" s="166"/>
      <c r="G10" s="166">
        <f>G11+G12+G15+G33+G36+G37+G40+G41+G42+G43+G53+G57+G58+G59+G60+G61+G66+G67+G68</f>
        <v>1007240559.5</v>
      </c>
      <c r="H10" s="162"/>
      <c r="I10" s="166">
        <f>I11+I12+I15+I33+I36+I37+I40+I41+I42+I43+I53+I57+I58+I59+I60+I61+I66+I67+I68</f>
        <v>220780694.46000001</v>
      </c>
    </row>
    <row r="11" spans="1:9" ht="31.5" x14ac:dyDescent="0.25">
      <c r="A11" s="88" t="s">
        <v>16</v>
      </c>
      <c r="B11" s="79" t="s">
        <v>37</v>
      </c>
      <c r="C11" s="79" t="s">
        <v>395</v>
      </c>
      <c r="D11" s="165" t="s">
        <v>295</v>
      </c>
      <c r="E11" s="165">
        <v>1</v>
      </c>
      <c r="F11" s="163">
        <f>НМЦК!P18</f>
        <v>281817.59999999998</v>
      </c>
      <c r="G11" s="163">
        <f>F11</f>
        <v>281817.59999999998</v>
      </c>
      <c r="H11" s="164"/>
      <c r="I11" s="164"/>
    </row>
    <row r="12" spans="1:9" ht="15.75" x14ac:dyDescent="0.25">
      <c r="A12" s="88" t="s">
        <v>17</v>
      </c>
      <c r="B12" s="79" t="s">
        <v>117</v>
      </c>
      <c r="C12" s="79" t="s">
        <v>118</v>
      </c>
      <c r="D12" s="165" t="s">
        <v>295</v>
      </c>
      <c r="E12" s="165">
        <v>1</v>
      </c>
      <c r="F12" s="163">
        <f>F13+F14</f>
        <v>885143.72</v>
      </c>
      <c r="G12" s="163">
        <f>G13+G14</f>
        <v>885143.72</v>
      </c>
      <c r="H12" s="164"/>
      <c r="I12" s="164"/>
    </row>
    <row r="13" spans="1:9" ht="15.75" x14ac:dyDescent="0.25">
      <c r="A13" s="89" t="s">
        <v>234</v>
      </c>
      <c r="B13" s="96" t="s">
        <v>38</v>
      </c>
      <c r="C13" s="95" t="s">
        <v>204</v>
      </c>
      <c r="D13" s="167" t="s">
        <v>295</v>
      </c>
      <c r="E13" s="167">
        <v>1</v>
      </c>
      <c r="F13" s="168">
        <f>НМЦК!P20</f>
        <v>42976.27</v>
      </c>
      <c r="G13" s="168">
        <f t="shared" ref="G13:G35" si="0">F13</f>
        <v>42976.27</v>
      </c>
      <c r="H13" s="169"/>
      <c r="I13" s="169"/>
    </row>
    <row r="14" spans="1:9" ht="15.75" x14ac:dyDescent="0.25">
      <c r="A14" s="89" t="s">
        <v>235</v>
      </c>
      <c r="B14" s="96" t="s">
        <v>205</v>
      </c>
      <c r="C14" s="95" t="s">
        <v>206</v>
      </c>
      <c r="D14" s="167" t="s">
        <v>295</v>
      </c>
      <c r="E14" s="167">
        <v>1</v>
      </c>
      <c r="F14" s="168">
        <f>НМЦК!P21</f>
        <v>842167.45</v>
      </c>
      <c r="G14" s="168">
        <f t="shared" si="0"/>
        <v>842167.45</v>
      </c>
      <c r="H14" s="169"/>
      <c r="I14" s="169"/>
    </row>
    <row r="15" spans="1:9" ht="31.5" x14ac:dyDescent="0.25">
      <c r="A15" s="88" t="s">
        <v>18</v>
      </c>
      <c r="B15" s="79" t="s">
        <v>51</v>
      </c>
      <c r="C15" s="79" t="s">
        <v>119</v>
      </c>
      <c r="D15" s="165" t="s">
        <v>295</v>
      </c>
      <c r="E15" s="165">
        <v>1</v>
      </c>
      <c r="F15" s="163">
        <f>F16+F17+F18+F19+F20+F21+F22+F23+F24+F25+F26+F27+F28+F29+F30+F31+F32</f>
        <v>887347352.38</v>
      </c>
      <c r="G15" s="163">
        <f>G16+G17+G18+G19+G20+G21+G22+G23+G24+G25+G26+G27+G28+G29+G30+G31+G32</f>
        <v>887347352.38</v>
      </c>
      <c r="H15" s="163">
        <f>H16+H17+H18+H19+H20+H21+H22+H23+H24+H25+H26+H27+H28+H29+H30+H31+H32</f>
        <v>179254401.80000001</v>
      </c>
      <c r="I15" s="163">
        <f>I16+I17+I18+I19+I20+I21+I22+I23+I24+I25+I26+I27+I28+I29+I30+I31+I32</f>
        <v>179254401.80000001</v>
      </c>
    </row>
    <row r="16" spans="1:9" ht="15.75" x14ac:dyDescent="0.25">
      <c r="A16" s="89" t="s">
        <v>19</v>
      </c>
      <c r="B16" s="96" t="s">
        <v>171</v>
      </c>
      <c r="C16" s="95" t="s">
        <v>172</v>
      </c>
      <c r="D16" s="167" t="s">
        <v>295</v>
      </c>
      <c r="E16" s="167">
        <v>1</v>
      </c>
      <c r="F16" s="168">
        <f>НМЦК!P23</f>
        <v>213758162.22</v>
      </c>
      <c r="G16" s="168">
        <f t="shared" si="0"/>
        <v>213758162.22</v>
      </c>
      <c r="H16" s="169"/>
      <c r="I16" s="169"/>
    </row>
    <row r="17" spans="1:9" ht="15.75" x14ac:dyDescent="0.25">
      <c r="A17" s="89" t="s">
        <v>20</v>
      </c>
      <c r="B17" s="96" t="s">
        <v>173</v>
      </c>
      <c r="C17" s="95" t="s">
        <v>174</v>
      </c>
      <c r="D17" s="167" t="s">
        <v>295</v>
      </c>
      <c r="E17" s="167">
        <v>1</v>
      </c>
      <c r="F17" s="168">
        <f>НМЦК!P24</f>
        <v>350411714.01999998</v>
      </c>
      <c r="G17" s="168">
        <f t="shared" si="0"/>
        <v>350411714.01999998</v>
      </c>
      <c r="H17" s="169"/>
      <c r="I17" s="169"/>
    </row>
    <row r="18" spans="1:9" ht="31.5" x14ac:dyDescent="0.25">
      <c r="A18" s="89" t="s">
        <v>236</v>
      </c>
      <c r="B18" s="96" t="s">
        <v>175</v>
      </c>
      <c r="C18" s="95" t="s">
        <v>176</v>
      </c>
      <c r="D18" s="167" t="s">
        <v>295</v>
      </c>
      <c r="E18" s="167">
        <v>1</v>
      </c>
      <c r="F18" s="168">
        <f>НМЦК!P25</f>
        <v>37374781.840000004</v>
      </c>
      <c r="G18" s="168">
        <f t="shared" si="0"/>
        <v>37374781.840000004</v>
      </c>
      <c r="H18" s="168">
        <f>НМЦК!Q25</f>
        <v>1318142.05</v>
      </c>
      <c r="I18" s="168">
        <f>H18</f>
        <v>1318142.05</v>
      </c>
    </row>
    <row r="19" spans="1:9" ht="15.75" x14ac:dyDescent="0.25">
      <c r="A19" s="89" t="s">
        <v>237</v>
      </c>
      <c r="B19" s="96" t="s">
        <v>177</v>
      </c>
      <c r="C19" s="95" t="s">
        <v>178</v>
      </c>
      <c r="D19" s="167" t="s">
        <v>295</v>
      </c>
      <c r="E19" s="167">
        <v>1</v>
      </c>
      <c r="F19" s="168">
        <f>НМЦК!P26</f>
        <v>4524099.3600000003</v>
      </c>
      <c r="G19" s="168">
        <f t="shared" si="0"/>
        <v>4524099.3600000003</v>
      </c>
      <c r="H19" s="168">
        <f>НМЦК!Q26</f>
        <v>1318199.8600000001</v>
      </c>
      <c r="I19" s="168">
        <f t="shared" ref="I19:I39" si="1">H19</f>
        <v>1318199.8600000001</v>
      </c>
    </row>
    <row r="20" spans="1:9" ht="31.5" x14ac:dyDescent="0.25">
      <c r="A20" s="89" t="s">
        <v>238</v>
      </c>
      <c r="B20" s="96" t="s">
        <v>179</v>
      </c>
      <c r="C20" s="95" t="s">
        <v>260</v>
      </c>
      <c r="D20" s="167" t="s">
        <v>295</v>
      </c>
      <c r="E20" s="167">
        <v>1</v>
      </c>
      <c r="F20" s="168">
        <f>НМЦК!P27</f>
        <v>9627925.4700000007</v>
      </c>
      <c r="G20" s="168">
        <f t="shared" si="0"/>
        <v>9627925.4700000007</v>
      </c>
      <c r="H20" s="168">
        <f>НМЦК!Q27</f>
        <v>3147638.74</v>
      </c>
      <c r="I20" s="168">
        <f t="shared" si="1"/>
        <v>3147638.74</v>
      </c>
    </row>
    <row r="21" spans="1:9" ht="15.75" x14ac:dyDescent="0.25">
      <c r="A21" s="89" t="s">
        <v>239</v>
      </c>
      <c r="B21" s="96" t="s">
        <v>180</v>
      </c>
      <c r="C21" s="95" t="s">
        <v>181</v>
      </c>
      <c r="D21" s="167" t="s">
        <v>295</v>
      </c>
      <c r="E21" s="167">
        <v>1</v>
      </c>
      <c r="F21" s="168">
        <f>НМЦК!P28</f>
        <v>2238202.08</v>
      </c>
      <c r="G21" s="168">
        <f t="shared" si="0"/>
        <v>2238202.08</v>
      </c>
      <c r="H21" s="168">
        <f>НМЦК!Q28</f>
        <v>204024.57</v>
      </c>
      <c r="I21" s="168">
        <f t="shared" si="1"/>
        <v>204024.57</v>
      </c>
    </row>
    <row r="22" spans="1:9" ht="31.5" x14ac:dyDescent="0.25">
      <c r="A22" s="89" t="s">
        <v>240</v>
      </c>
      <c r="B22" s="96" t="s">
        <v>182</v>
      </c>
      <c r="C22" s="95" t="s">
        <v>183</v>
      </c>
      <c r="D22" s="167" t="s">
        <v>295</v>
      </c>
      <c r="E22" s="167">
        <v>1</v>
      </c>
      <c r="F22" s="168">
        <f>НМЦК!P29</f>
        <v>112932086.5</v>
      </c>
      <c r="G22" s="168">
        <f t="shared" si="0"/>
        <v>112932086.5</v>
      </c>
      <c r="H22" s="168">
        <f>НМЦК!Q29</f>
        <v>61327641.380000003</v>
      </c>
      <c r="I22" s="168">
        <f t="shared" si="1"/>
        <v>61327641.380000003</v>
      </c>
    </row>
    <row r="23" spans="1:9" ht="15.75" x14ac:dyDescent="0.25">
      <c r="A23" s="89" t="s">
        <v>241</v>
      </c>
      <c r="B23" s="96" t="s">
        <v>184</v>
      </c>
      <c r="C23" s="95" t="s">
        <v>185</v>
      </c>
      <c r="D23" s="167" t="s">
        <v>295</v>
      </c>
      <c r="E23" s="167">
        <v>1</v>
      </c>
      <c r="F23" s="168">
        <f>НМЦК!P30</f>
        <v>27170182.710000001</v>
      </c>
      <c r="G23" s="168">
        <f t="shared" si="0"/>
        <v>27170182.710000001</v>
      </c>
      <c r="H23" s="168">
        <f>НМЦК!Q30</f>
        <v>12688474.26</v>
      </c>
      <c r="I23" s="168">
        <f t="shared" si="1"/>
        <v>12688474.26</v>
      </c>
    </row>
    <row r="24" spans="1:9" ht="31.5" x14ac:dyDescent="0.25">
      <c r="A24" s="89" t="s">
        <v>242</v>
      </c>
      <c r="B24" s="96" t="s">
        <v>186</v>
      </c>
      <c r="C24" s="95" t="s">
        <v>187</v>
      </c>
      <c r="D24" s="167" t="s">
        <v>295</v>
      </c>
      <c r="E24" s="167">
        <v>1</v>
      </c>
      <c r="F24" s="168">
        <f>НМЦК!P31</f>
        <v>976750.9</v>
      </c>
      <c r="G24" s="168">
        <f t="shared" si="0"/>
        <v>976750.9</v>
      </c>
      <c r="H24" s="168">
        <f>НМЦК!Q31</f>
        <v>522565.41</v>
      </c>
      <c r="I24" s="168">
        <f t="shared" si="1"/>
        <v>522565.41</v>
      </c>
    </row>
    <row r="25" spans="1:9" ht="15.75" x14ac:dyDescent="0.25">
      <c r="A25" s="28" t="s">
        <v>243</v>
      </c>
      <c r="B25" s="96" t="s">
        <v>188</v>
      </c>
      <c r="C25" s="95" t="s">
        <v>189</v>
      </c>
      <c r="D25" s="167" t="s">
        <v>295</v>
      </c>
      <c r="E25" s="167">
        <v>1</v>
      </c>
      <c r="F25" s="168">
        <f>НМЦК!P32</f>
        <v>27716838.879999999</v>
      </c>
      <c r="G25" s="168">
        <f t="shared" si="0"/>
        <v>27716838.879999999</v>
      </c>
      <c r="H25" s="168">
        <f>НМЦК!Q32</f>
        <v>20975088.059999999</v>
      </c>
      <c r="I25" s="168">
        <f t="shared" si="1"/>
        <v>20975088.059999999</v>
      </c>
    </row>
    <row r="26" spans="1:9" ht="15.75" x14ac:dyDescent="0.25">
      <c r="A26" s="28" t="s">
        <v>244</v>
      </c>
      <c r="B26" s="96" t="s">
        <v>190</v>
      </c>
      <c r="C26" s="95" t="s">
        <v>191</v>
      </c>
      <c r="D26" s="167" t="s">
        <v>295</v>
      </c>
      <c r="E26" s="167">
        <v>1</v>
      </c>
      <c r="F26" s="168">
        <f>НМЦК!P33</f>
        <v>910695.58</v>
      </c>
      <c r="G26" s="168">
        <f t="shared" si="0"/>
        <v>910695.58</v>
      </c>
      <c r="H26" s="168">
        <f>НМЦК!Q33</f>
        <v>606136.76</v>
      </c>
      <c r="I26" s="168">
        <f t="shared" si="1"/>
        <v>606136.76</v>
      </c>
    </row>
    <row r="27" spans="1:9" ht="15.75" x14ac:dyDescent="0.25">
      <c r="A27" s="28" t="s">
        <v>245</v>
      </c>
      <c r="B27" s="96" t="s">
        <v>192</v>
      </c>
      <c r="C27" s="95" t="s">
        <v>193</v>
      </c>
      <c r="D27" s="167" t="s">
        <v>295</v>
      </c>
      <c r="E27" s="167">
        <v>1</v>
      </c>
      <c r="F27" s="168">
        <f>НМЦК!P34</f>
        <v>42318924.460000001</v>
      </c>
      <c r="G27" s="168">
        <f t="shared" si="0"/>
        <v>42318924.460000001</v>
      </c>
      <c r="H27" s="168">
        <f>НМЦК!Q34</f>
        <v>36142088.539999999</v>
      </c>
      <c r="I27" s="168">
        <f t="shared" si="1"/>
        <v>36142088.539999999</v>
      </c>
    </row>
    <row r="28" spans="1:9" ht="15.75" x14ac:dyDescent="0.25">
      <c r="A28" s="28" t="s">
        <v>246</v>
      </c>
      <c r="B28" s="96" t="s">
        <v>194</v>
      </c>
      <c r="C28" s="95" t="s">
        <v>195</v>
      </c>
      <c r="D28" s="167" t="s">
        <v>295</v>
      </c>
      <c r="E28" s="167">
        <v>1</v>
      </c>
      <c r="F28" s="168">
        <f>НМЦК!P35</f>
        <v>6174994</v>
      </c>
      <c r="G28" s="168">
        <f t="shared" si="0"/>
        <v>6174994</v>
      </c>
      <c r="H28" s="168">
        <f>НМЦК!Q35</f>
        <v>5333275.08</v>
      </c>
      <c r="I28" s="168">
        <f t="shared" si="1"/>
        <v>5333275.08</v>
      </c>
    </row>
    <row r="29" spans="1:9" ht="47.25" x14ac:dyDescent="0.25">
      <c r="A29" s="28" t="s">
        <v>247</v>
      </c>
      <c r="B29" s="96" t="s">
        <v>196</v>
      </c>
      <c r="C29" s="95" t="s">
        <v>197</v>
      </c>
      <c r="D29" s="167" t="s">
        <v>295</v>
      </c>
      <c r="E29" s="167">
        <v>1</v>
      </c>
      <c r="F29" s="168">
        <f>НМЦК!P36</f>
        <v>16098666.060000001</v>
      </c>
      <c r="G29" s="168">
        <f t="shared" si="0"/>
        <v>16098666.060000001</v>
      </c>
      <c r="H29" s="168">
        <f>НМЦК!Q36</f>
        <v>13994727.76</v>
      </c>
      <c r="I29" s="168">
        <f t="shared" si="1"/>
        <v>13994727.76</v>
      </c>
    </row>
    <row r="30" spans="1:9" ht="15.75" x14ac:dyDescent="0.25">
      <c r="A30" s="28" t="s">
        <v>248</v>
      </c>
      <c r="B30" s="96" t="s">
        <v>198</v>
      </c>
      <c r="C30" s="95" t="s">
        <v>199</v>
      </c>
      <c r="D30" s="167" t="s">
        <v>295</v>
      </c>
      <c r="E30" s="167">
        <v>1</v>
      </c>
      <c r="F30" s="168">
        <f>НМЦК!P37</f>
        <v>14041502.84</v>
      </c>
      <c r="G30" s="168">
        <f t="shared" si="0"/>
        <v>14041502.84</v>
      </c>
      <c r="H30" s="168">
        <f>НМЦК!Q37</f>
        <v>6000420.0700000003</v>
      </c>
      <c r="I30" s="168">
        <f t="shared" si="1"/>
        <v>6000420.0700000003</v>
      </c>
    </row>
    <row r="31" spans="1:9" ht="31.5" x14ac:dyDescent="0.25">
      <c r="A31" s="28" t="s">
        <v>250</v>
      </c>
      <c r="B31" s="96" t="s">
        <v>200</v>
      </c>
      <c r="C31" s="95" t="s">
        <v>201</v>
      </c>
      <c r="D31" s="167" t="s">
        <v>295</v>
      </c>
      <c r="E31" s="167">
        <v>1</v>
      </c>
      <c r="F31" s="168">
        <f>НМЦК!P38</f>
        <v>2788822.4</v>
      </c>
      <c r="G31" s="168">
        <f t="shared" si="0"/>
        <v>2788822.4</v>
      </c>
      <c r="H31" s="168">
        <f>НМЦК!Q38</f>
        <v>133543.37</v>
      </c>
      <c r="I31" s="168">
        <f t="shared" si="1"/>
        <v>133543.37</v>
      </c>
    </row>
    <row r="32" spans="1:9" ht="31.5" x14ac:dyDescent="0.25">
      <c r="A32" s="86" t="s">
        <v>249</v>
      </c>
      <c r="B32" s="96" t="s">
        <v>202</v>
      </c>
      <c r="C32" s="95" t="s">
        <v>203</v>
      </c>
      <c r="D32" s="167" t="s">
        <v>295</v>
      </c>
      <c r="E32" s="167">
        <v>1</v>
      </c>
      <c r="F32" s="168">
        <f>НМЦК!P39</f>
        <v>18283003.059999999</v>
      </c>
      <c r="G32" s="168">
        <f t="shared" si="0"/>
        <v>18283003.059999999</v>
      </c>
      <c r="H32" s="168">
        <f>НМЦК!Q39</f>
        <v>15542435.890000001</v>
      </c>
      <c r="I32" s="168">
        <f t="shared" si="1"/>
        <v>15542435.890000001</v>
      </c>
    </row>
    <row r="33" spans="1:9" ht="15.75" x14ac:dyDescent="0.25">
      <c r="A33" s="105" t="s">
        <v>21</v>
      </c>
      <c r="B33" s="79" t="s">
        <v>120</v>
      </c>
      <c r="C33" s="79" t="s">
        <v>121</v>
      </c>
      <c r="D33" s="165" t="s">
        <v>295</v>
      </c>
      <c r="E33" s="165">
        <v>1</v>
      </c>
      <c r="F33" s="163">
        <f>F34+F35</f>
        <v>40405378.380000003</v>
      </c>
      <c r="G33" s="163">
        <f>G34+G35</f>
        <v>40405378.380000003</v>
      </c>
      <c r="H33" s="163">
        <f>H34+H35</f>
        <v>37028335.369999997</v>
      </c>
      <c r="I33" s="163">
        <f>I34+I35</f>
        <v>37028335.369999997</v>
      </c>
    </row>
    <row r="34" spans="1:9" ht="15.75" x14ac:dyDescent="0.25">
      <c r="A34" s="99" t="s">
        <v>265</v>
      </c>
      <c r="B34" s="98" t="s">
        <v>261</v>
      </c>
      <c r="C34" s="102" t="s">
        <v>262</v>
      </c>
      <c r="D34" s="167" t="s">
        <v>295</v>
      </c>
      <c r="E34" s="167">
        <v>1</v>
      </c>
      <c r="F34" s="168">
        <f>НМЦК!P41</f>
        <v>2431574.75</v>
      </c>
      <c r="G34" s="168">
        <f t="shared" si="0"/>
        <v>2431574.75</v>
      </c>
      <c r="H34" s="168"/>
      <c r="I34" s="168"/>
    </row>
    <row r="35" spans="1:9" ht="15.75" x14ac:dyDescent="0.25">
      <c r="A35" s="99" t="s">
        <v>266</v>
      </c>
      <c r="B35" s="98" t="s">
        <v>263</v>
      </c>
      <c r="C35" s="102" t="s">
        <v>264</v>
      </c>
      <c r="D35" s="167" t="s">
        <v>295</v>
      </c>
      <c r="E35" s="167">
        <v>1</v>
      </c>
      <c r="F35" s="168">
        <f>НМЦК!P42</f>
        <v>37973803.630000003</v>
      </c>
      <c r="G35" s="168">
        <f t="shared" si="0"/>
        <v>37973803.630000003</v>
      </c>
      <c r="H35" s="168">
        <f>НМЦК!Q42</f>
        <v>37028335.369999997</v>
      </c>
      <c r="I35" s="168">
        <f t="shared" si="1"/>
        <v>37028335.369999997</v>
      </c>
    </row>
    <row r="36" spans="1:9" ht="15.75" x14ac:dyDescent="0.25">
      <c r="A36" s="30" t="s">
        <v>22</v>
      </c>
      <c r="B36" s="79" t="s">
        <v>41</v>
      </c>
      <c r="C36" s="79" t="s">
        <v>42</v>
      </c>
      <c r="D36" s="165" t="s">
        <v>295</v>
      </c>
      <c r="E36" s="165">
        <v>1</v>
      </c>
      <c r="F36" s="163">
        <f>НМЦК!P43</f>
        <v>1562897.23</v>
      </c>
      <c r="G36" s="170">
        <f>F36</f>
        <v>1562897.23</v>
      </c>
      <c r="H36" s="171">
        <f>НМЦК!Q43</f>
        <v>29816.42</v>
      </c>
      <c r="I36" s="171">
        <f t="shared" si="1"/>
        <v>29816.42</v>
      </c>
    </row>
    <row r="37" spans="1:9" ht="15.75" x14ac:dyDescent="0.25">
      <c r="A37" s="30" t="s">
        <v>23</v>
      </c>
      <c r="B37" s="79" t="s">
        <v>123</v>
      </c>
      <c r="C37" s="79" t="s">
        <v>124</v>
      </c>
      <c r="D37" s="165" t="s">
        <v>295</v>
      </c>
      <c r="E37" s="165">
        <v>1</v>
      </c>
      <c r="F37" s="163">
        <f>F38+F39</f>
        <v>7448268.7999999998</v>
      </c>
      <c r="G37" s="163">
        <f>G38+G39</f>
        <v>7448268.7999999998</v>
      </c>
      <c r="H37" s="163">
        <f>H38+H39</f>
        <v>139107.65</v>
      </c>
      <c r="I37" s="163">
        <f>I38+I39</f>
        <v>139107.65</v>
      </c>
    </row>
    <row r="38" spans="1:9" ht="15.75" x14ac:dyDescent="0.25">
      <c r="A38" s="90" t="s">
        <v>267</v>
      </c>
      <c r="B38" s="96" t="s">
        <v>207</v>
      </c>
      <c r="C38" s="95" t="s">
        <v>208</v>
      </c>
      <c r="D38" s="167" t="s">
        <v>295</v>
      </c>
      <c r="E38" s="167">
        <v>1</v>
      </c>
      <c r="F38" s="168">
        <f>НМЦК!P45</f>
        <v>940996.51</v>
      </c>
      <c r="G38" s="168">
        <f>F38</f>
        <v>940996.51</v>
      </c>
      <c r="H38" s="168"/>
      <c r="I38" s="168"/>
    </row>
    <row r="39" spans="1:9" ht="15.75" x14ac:dyDescent="0.25">
      <c r="A39" s="90" t="s">
        <v>268</v>
      </c>
      <c r="B39" s="96" t="s">
        <v>209</v>
      </c>
      <c r="C39" s="95" t="s">
        <v>210</v>
      </c>
      <c r="D39" s="167" t="s">
        <v>295</v>
      </c>
      <c r="E39" s="167">
        <v>1</v>
      </c>
      <c r="F39" s="168">
        <f>НМЦК!P46</f>
        <v>6507272.29</v>
      </c>
      <c r="G39" s="168">
        <f>F39</f>
        <v>6507272.29</v>
      </c>
      <c r="H39" s="168">
        <f>НМЦК!Q46</f>
        <v>139107.65</v>
      </c>
      <c r="I39" s="168">
        <f t="shared" si="1"/>
        <v>139107.65</v>
      </c>
    </row>
    <row r="40" spans="1:9" ht="15.75" x14ac:dyDescent="0.25">
      <c r="A40" s="80" t="s">
        <v>24</v>
      </c>
      <c r="B40" s="79" t="s">
        <v>125</v>
      </c>
      <c r="C40" s="79" t="s">
        <v>126</v>
      </c>
      <c r="D40" s="165" t="s">
        <v>295</v>
      </c>
      <c r="E40" s="165">
        <v>1</v>
      </c>
      <c r="F40" s="163">
        <f>НМЦК!P47</f>
        <v>1919314.73</v>
      </c>
      <c r="G40" s="170">
        <f>F40</f>
        <v>1919314.73</v>
      </c>
      <c r="H40" s="168"/>
      <c r="I40" s="168"/>
    </row>
    <row r="41" spans="1:9" ht="15.75" x14ac:dyDescent="0.25">
      <c r="A41" s="80" t="s">
        <v>25</v>
      </c>
      <c r="B41" s="79" t="s">
        <v>128</v>
      </c>
      <c r="C41" s="79" t="s">
        <v>129</v>
      </c>
      <c r="D41" s="165" t="s">
        <v>295</v>
      </c>
      <c r="E41" s="165">
        <v>1</v>
      </c>
      <c r="F41" s="163">
        <f>НМЦК!P48</f>
        <v>17170676.57</v>
      </c>
      <c r="G41" s="170">
        <f>F41</f>
        <v>17170676.57</v>
      </c>
      <c r="H41" s="168"/>
      <c r="I41" s="168"/>
    </row>
    <row r="42" spans="1:9" ht="15.75" x14ac:dyDescent="0.25">
      <c r="A42" s="80" t="s">
        <v>26</v>
      </c>
      <c r="B42" s="79" t="s">
        <v>130</v>
      </c>
      <c r="C42" s="79" t="s">
        <v>131</v>
      </c>
      <c r="D42" s="165" t="s">
        <v>295</v>
      </c>
      <c r="E42" s="165">
        <v>1</v>
      </c>
      <c r="F42" s="163">
        <f>НМЦК!P49</f>
        <v>621373.27</v>
      </c>
      <c r="G42" s="170">
        <f>F42</f>
        <v>621373.27</v>
      </c>
      <c r="H42" s="168"/>
      <c r="I42" s="168"/>
    </row>
    <row r="43" spans="1:9" ht="31.5" x14ac:dyDescent="0.25">
      <c r="A43" s="80" t="s">
        <v>27</v>
      </c>
      <c r="B43" s="79" t="s">
        <v>52</v>
      </c>
      <c r="C43" s="79" t="s">
        <v>278</v>
      </c>
      <c r="D43" s="165" t="s">
        <v>295</v>
      </c>
      <c r="E43" s="165">
        <v>1</v>
      </c>
      <c r="F43" s="163">
        <f>F44+F45+F46+F47+F48+F49+F50+F51+F52</f>
        <v>18540375.75</v>
      </c>
      <c r="G43" s="163">
        <f>G44+G45+G46+G47+G48+G49+G50+G51+G52</f>
        <v>18540375.75</v>
      </c>
      <c r="H43" s="164"/>
      <c r="I43" s="164"/>
    </row>
    <row r="44" spans="1:9" ht="31.5" x14ac:dyDescent="0.25">
      <c r="A44" s="90" t="s">
        <v>28</v>
      </c>
      <c r="B44" s="96" t="s">
        <v>211</v>
      </c>
      <c r="C44" s="95" t="s">
        <v>212</v>
      </c>
      <c r="D44" s="167" t="s">
        <v>295</v>
      </c>
      <c r="E44" s="167">
        <v>1</v>
      </c>
      <c r="F44" s="168">
        <f>НМЦК!P51</f>
        <v>835269.83</v>
      </c>
      <c r="G44" s="168">
        <f t="shared" ref="G44:G56" si="2">F44</f>
        <v>835269.83</v>
      </c>
      <c r="H44" s="169"/>
      <c r="I44" s="169"/>
    </row>
    <row r="45" spans="1:9" ht="31.5" x14ac:dyDescent="0.25">
      <c r="A45" s="90" t="s">
        <v>29</v>
      </c>
      <c r="B45" s="96" t="s">
        <v>213</v>
      </c>
      <c r="C45" s="95" t="s">
        <v>214</v>
      </c>
      <c r="D45" s="167" t="s">
        <v>295</v>
      </c>
      <c r="E45" s="167">
        <v>1</v>
      </c>
      <c r="F45" s="168">
        <f>НМЦК!P52</f>
        <v>3558934.33</v>
      </c>
      <c r="G45" s="168">
        <f t="shared" si="2"/>
        <v>3558934.33</v>
      </c>
      <c r="H45" s="169"/>
      <c r="I45" s="169"/>
    </row>
    <row r="46" spans="1:9" ht="15.75" x14ac:dyDescent="0.25">
      <c r="A46" s="90" t="s">
        <v>251</v>
      </c>
      <c r="B46" s="96" t="s">
        <v>215</v>
      </c>
      <c r="C46" s="95" t="s">
        <v>216</v>
      </c>
      <c r="D46" s="167" t="s">
        <v>295</v>
      </c>
      <c r="E46" s="167">
        <v>1</v>
      </c>
      <c r="F46" s="168">
        <f>НМЦК!P53</f>
        <v>38892.269999999997</v>
      </c>
      <c r="G46" s="168">
        <f t="shared" si="2"/>
        <v>38892.269999999997</v>
      </c>
      <c r="H46" s="169"/>
      <c r="I46" s="169"/>
    </row>
    <row r="47" spans="1:9" ht="31.5" x14ac:dyDescent="0.25">
      <c r="A47" s="90" t="s">
        <v>269</v>
      </c>
      <c r="B47" s="96" t="s">
        <v>217</v>
      </c>
      <c r="C47" s="95" t="s">
        <v>218</v>
      </c>
      <c r="D47" s="167" t="s">
        <v>295</v>
      </c>
      <c r="E47" s="167">
        <v>1</v>
      </c>
      <c r="F47" s="168">
        <f>НМЦК!P54</f>
        <v>4666942.54</v>
      </c>
      <c r="G47" s="168">
        <f t="shared" si="2"/>
        <v>4666942.54</v>
      </c>
      <c r="H47" s="169"/>
      <c r="I47" s="169"/>
    </row>
    <row r="48" spans="1:9" ht="31.5" x14ac:dyDescent="0.25">
      <c r="A48" s="90" t="s">
        <v>270</v>
      </c>
      <c r="B48" s="96" t="s">
        <v>219</v>
      </c>
      <c r="C48" s="95" t="s">
        <v>220</v>
      </c>
      <c r="D48" s="167" t="s">
        <v>295</v>
      </c>
      <c r="E48" s="167">
        <v>1</v>
      </c>
      <c r="F48" s="168">
        <f>НМЦК!P55</f>
        <v>1363930.62</v>
      </c>
      <c r="G48" s="168">
        <f t="shared" si="2"/>
        <v>1363930.62</v>
      </c>
      <c r="H48" s="169"/>
      <c r="I48" s="169"/>
    </row>
    <row r="49" spans="1:9" ht="31.5" x14ac:dyDescent="0.25">
      <c r="A49" s="90" t="s">
        <v>271</v>
      </c>
      <c r="B49" s="96" t="s">
        <v>221</v>
      </c>
      <c r="C49" s="95" t="s">
        <v>222</v>
      </c>
      <c r="D49" s="167" t="s">
        <v>295</v>
      </c>
      <c r="E49" s="167">
        <v>1</v>
      </c>
      <c r="F49" s="168">
        <f>НМЦК!P56</f>
        <v>3632494.97</v>
      </c>
      <c r="G49" s="168">
        <f t="shared" si="2"/>
        <v>3632494.97</v>
      </c>
      <c r="H49" s="169"/>
      <c r="I49" s="169"/>
    </row>
    <row r="50" spans="1:9" ht="47.25" x14ac:dyDescent="0.25">
      <c r="A50" s="90" t="s">
        <v>272</v>
      </c>
      <c r="B50" s="96" t="s">
        <v>223</v>
      </c>
      <c r="C50" s="95" t="s">
        <v>224</v>
      </c>
      <c r="D50" s="167" t="s">
        <v>295</v>
      </c>
      <c r="E50" s="167">
        <v>1</v>
      </c>
      <c r="F50" s="168">
        <f>НМЦК!P57</f>
        <v>304997.82</v>
      </c>
      <c r="G50" s="168">
        <f t="shared" si="2"/>
        <v>304997.82</v>
      </c>
      <c r="H50" s="169"/>
      <c r="I50" s="169"/>
    </row>
    <row r="51" spans="1:9" ht="31.5" x14ac:dyDescent="0.25">
      <c r="A51" s="90" t="s">
        <v>273</v>
      </c>
      <c r="B51" s="96" t="s">
        <v>225</v>
      </c>
      <c r="C51" s="95" t="s">
        <v>226</v>
      </c>
      <c r="D51" s="167" t="s">
        <v>295</v>
      </c>
      <c r="E51" s="167">
        <v>1</v>
      </c>
      <c r="F51" s="168">
        <f>НМЦК!P58</f>
        <v>3339574.75</v>
      </c>
      <c r="G51" s="168">
        <f t="shared" si="2"/>
        <v>3339574.75</v>
      </c>
      <c r="H51" s="169"/>
      <c r="I51" s="169"/>
    </row>
    <row r="52" spans="1:9" ht="31.5" x14ac:dyDescent="0.25">
      <c r="A52" s="90" t="s">
        <v>274</v>
      </c>
      <c r="B52" s="96" t="s">
        <v>227</v>
      </c>
      <c r="C52" s="95" t="s">
        <v>220</v>
      </c>
      <c r="D52" s="167" t="s">
        <v>295</v>
      </c>
      <c r="E52" s="167">
        <v>1</v>
      </c>
      <c r="F52" s="168">
        <f>НМЦК!P59</f>
        <v>799338.62</v>
      </c>
      <c r="G52" s="168">
        <f t="shared" si="2"/>
        <v>799338.62</v>
      </c>
      <c r="H52" s="169"/>
      <c r="I52" s="169"/>
    </row>
    <row r="53" spans="1:9" ht="15.75" x14ac:dyDescent="0.25">
      <c r="A53" s="80" t="s">
        <v>30</v>
      </c>
      <c r="B53" s="79" t="s">
        <v>140</v>
      </c>
      <c r="C53" s="79" t="s">
        <v>141</v>
      </c>
      <c r="D53" s="165" t="s">
        <v>295</v>
      </c>
      <c r="E53" s="165">
        <v>1</v>
      </c>
      <c r="F53" s="163">
        <f>F54+F55+F56</f>
        <v>311224.33</v>
      </c>
      <c r="G53" s="163">
        <f>G54+G55+G56</f>
        <v>311224.33</v>
      </c>
      <c r="H53" s="164"/>
      <c r="I53" s="164"/>
    </row>
    <row r="54" spans="1:9" ht="31.5" x14ac:dyDescent="0.25">
      <c r="A54" s="90" t="s">
        <v>275</v>
      </c>
      <c r="B54" s="96" t="s">
        <v>228</v>
      </c>
      <c r="C54" s="95" t="s">
        <v>229</v>
      </c>
      <c r="D54" s="167" t="s">
        <v>295</v>
      </c>
      <c r="E54" s="167">
        <v>1</v>
      </c>
      <c r="F54" s="168">
        <f>НМЦК!P61</f>
        <v>29191.09</v>
      </c>
      <c r="G54" s="168">
        <f t="shared" si="2"/>
        <v>29191.09</v>
      </c>
      <c r="H54" s="169"/>
      <c r="I54" s="169"/>
    </row>
    <row r="55" spans="1:9" ht="31.5" x14ac:dyDescent="0.25">
      <c r="A55" s="90" t="s">
        <v>276</v>
      </c>
      <c r="B55" s="96" t="s">
        <v>230</v>
      </c>
      <c r="C55" s="95" t="s">
        <v>231</v>
      </c>
      <c r="D55" s="167" t="s">
        <v>295</v>
      </c>
      <c r="E55" s="167">
        <v>1</v>
      </c>
      <c r="F55" s="168">
        <f>НМЦК!P62</f>
        <v>247511.61</v>
      </c>
      <c r="G55" s="168">
        <f t="shared" si="2"/>
        <v>247511.61</v>
      </c>
      <c r="H55" s="169"/>
      <c r="I55" s="169"/>
    </row>
    <row r="56" spans="1:9" ht="15.75" x14ac:dyDescent="0.25">
      <c r="A56" s="90" t="s">
        <v>277</v>
      </c>
      <c r="B56" s="96" t="s">
        <v>232</v>
      </c>
      <c r="C56" s="95" t="s">
        <v>233</v>
      </c>
      <c r="D56" s="167" t="s">
        <v>295</v>
      </c>
      <c r="E56" s="167">
        <v>1</v>
      </c>
      <c r="F56" s="168">
        <f>НМЦК!P63</f>
        <v>34521.629999999997</v>
      </c>
      <c r="G56" s="168">
        <f t="shared" si="2"/>
        <v>34521.629999999997</v>
      </c>
      <c r="H56" s="169"/>
      <c r="I56" s="169"/>
    </row>
    <row r="57" spans="1:9" ht="31.5" x14ac:dyDescent="0.25">
      <c r="A57" s="80" t="s">
        <v>252</v>
      </c>
      <c r="B57" s="79" t="s">
        <v>142</v>
      </c>
      <c r="C57" s="79" t="s">
        <v>143</v>
      </c>
      <c r="D57" s="165" t="s">
        <v>295</v>
      </c>
      <c r="E57" s="165">
        <v>1</v>
      </c>
      <c r="F57" s="163">
        <f>НМЦК!P64</f>
        <v>861433.83</v>
      </c>
      <c r="G57" s="163">
        <f>F57</f>
        <v>861433.83</v>
      </c>
      <c r="H57" s="164"/>
      <c r="I57" s="164"/>
    </row>
    <row r="58" spans="1:9" ht="15.75" x14ac:dyDescent="0.25">
      <c r="A58" s="80" t="s">
        <v>253</v>
      </c>
      <c r="B58" s="79" t="s">
        <v>43</v>
      </c>
      <c r="C58" s="79" t="s">
        <v>44</v>
      </c>
      <c r="D58" s="165" t="s">
        <v>295</v>
      </c>
      <c r="E58" s="165">
        <v>1</v>
      </c>
      <c r="F58" s="163">
        <f>НМЦК!P65</f>
        <v>63.46</v>
      </c>
      <c r="G58" s="163">
        <f>F58</f>
        <v>63.46</v>
      </c>
      <c r="H58" s="164"/>
      <c r="I58" s="164"/>
    </row>
    <row r="59" spans="1:9" ht="31.5" x14ac:dyDescent="0.25">
      <c r="A59" s="80" t="s">
        <v>254</v>
      </c>
      <c r="B59" s="79" t="s">
        <v>45</v>
      </c>
      <c r="C59" s="79" t="s">
        <v>46</v>
      </c>
      <c r="D59" s="165" t="s">
        <v>295</v>
      </c>
      <c r="E59" s="165">
        <v>1</v>
      </c>
      <c r="F59" s="163">
        <f>НМЦК!P66</f>
        <v>422941.63</v>
      </c>
      <c r="G59" s="163">
        <f>F59</f>
        <v>422941.63</v>
      </c>
      <c r="H59" s="164"/>
      <c r="I59" s="164"/>
    </row>
    <row r="60" spans="1:9" ht="15.75" x14ac:dyDescent="0.25">
      <c r="A60" s="80" t="s">
        <v>255</v>
      </c>
      <c r="B60" s="79" t="s">
        <v>47</v>
      </c>
      <c r="C60" s="79" t="s">
        <v>279</v>
      </c>
      <c r="D60" s="165" t="s">
        <v>295</v>
      </c>
      <c r="E60" s="165">
        <v>1</v>
      </c>
      <c r="F60" s="163">
        <f>НМЦК!P67</f>
        <v>7491.51</v>
      </c>
      <c r="G60" s="163">
        <f>F60</f>
        <v>7491.51</v>
      </c>
      <c r="H60" s="164"/>
      <c r="I60" s="164"/>
    </row>
    <row r="61" spans="1:9" ht="31.5" x14ac:dyDescent="0.25">
      <c r="A61" s="80" t="s">
        <v>256</v>
      </c>
      <c r="B61" s="79" t="s">
        <v>145</v>
      </c>
      <c r="C61" s="79" t="s">
        <v>146</v>
      </c>
      <c r="D61" s="165" t="s">
        <v>295</v>
      </c>
      <c r="E61" s="165">
        <v>1</v>
      </c>
      <c r="F61" s="163">
        <f>F62+F63+F64+F65</f>
        <v>9055591.6899999995</v>
      </c>
      <c r="G61" s="163">
        <f>G62+G63+G64+G65</f>
        <v>9055591.6899999995</v>
      </c>
      <c r="H61" s="164"/>
      <c r="I61" s="164"/>
    </row>
    <row r="62" spans="1:9" ht="31.5" x14ac:dyDescent="0.25">
      <c r="A62" s="99" t="s">
        <v>284</v>
      </c>
      <c r="B62" s="111"/>
      <c r="C62" s="111" t="s">
        <v>281</v>
      </c>
      <c r="D62" s="167" t="s">
        <v>295</v>
      </c>
      <c r="E62" s="167">
        <v>1</v>
      </c>
      <c r="F62" s="168">
        <f>НМЦК!P69</f>
        <v>169385.35</v>
      </c>
      <c r="G62" s="168">
        <f t="shared" ref="G62:G68" si="3">F62</f>
        <v>169385.35</v>
      </c>
      <c r="H62" s="169"/>
      <c r="I62" s="169"/>
    </row>
    <row r="63" spans="1:9" ht="31.5" x14ac:dyDescent="0.25">
      <c r="A63" s="99" t="s">
        <v>286</v>
      </c>
      <c r="B63" s="111"/>
      <c r="C63" s="111" t="s">
        <v>280</v>
      </c>
      <c r="D63" s="167" t="s">
        <v>295</v>
      </c>
      <c r="E63" s="167">
        <v>1</v>
      </c>
      <c r="F63" s="168">
        <f>НМЦК!P70</f>
        <v>1645628.29</v>
      </c>
      <c r="G63" s="168">
        <f t="shared" si="3"/>
        <v>1645628.29</v>
      </c>
      <c r="H63" s="169"/>
      <c r="I63" s="169"/>
    </row>
    <row r="64" spans="1:9" ht="47.25" x14ac:dyDescent="0.25">
      <c r="A64" s="99" t="s">
        <v>285</v>
      </c>
      <c r="B64" s="111"/>
      <c r="C64" s="111" t="s">
        <v>282</v>
      </c>
      <c r="D64" s="167" t="s">
        <v>295</v>
      </c>
      <c r="E64" s="167">
        <v>1</v>
      </c>
      <c r="F64" s="168">
        <f>НМЦК!P71</f>
        <v>3775578.05</v>
      </c>
      <c r="G64" s="168">
        <f t="shared" si="3"/>
        <v>3775578.05</v>
      </c>
      <c r="H64" s="169"/>
      <c r="I64" s="169"/>
    </row>
    <row r="65" spans="1:9" ht="47.25" x14ac:dyDescent="0.25">
      <c r="A65" s="90" t="s">
        <v>287</v>
      </c>
      <c r="B65" s="120"/>
      <c r="C65" s="111" t="s">
        <v>283</v>
      </c>
      <c r="D65" s="167" t="s">
        <v>295</v>
      </c>
      <c r="E65" s="167">
        <v>1</v>
      </c>
      <c r="F65" s="168">
        <f>НМЦК!P72</f>
        <v>3465000</v>
      </c>
      <c r="G65" s="168">
        <f t="shared" si="3"/>
        <v>3465000</v>
      </c>
      <c r="H65" s="169"/>
      <c r="I65" s="169"/>
    </row>
    <row r="66" spans="1:9" ht="31.5" x14ac:dyDescent="0.25">
      <c r="A66" s="80" t="s">
        <v>257</v>
      </c>
      <c r="B66" s="79" t="s">
        <v>90</v>
      </c>
      <c r="C66" s="79" t="s">
        <v>147</v>
      </c>
      <c r="D66" s="165" t="s">
        <v>295</v>
      </c>
      <c r="E66" s="165">
        <v>1</v>
      </c>
      <c r="F66" s="163">
        <f>НМЦК!P73</f>
        <v>626064.13</v>
      </c>
      <c r="G66" s="163">
        <f t="shared" si="3"/>
        <v>626064.13</v>
      </c>
      <c r="H66" s="164"/>
      <c r="I66" s="164"/>
    </row>
    <row r="67" spans="1:9" ht="31.5" x14ac:dyDescent="0.25">
      <c r="A67" s="80" t="s">
        <v>258</v>
      </c>
      <c r="B67" s="79" t="s">
        <v>148</v>
      </c>
      <c r="C67" s="79" t="s">
        <v>149</v>
      </c>
      <c r="D67" s="165" t="s">
        <v>295</v>
      </c>
      <c r="E67" s="165">
        <v>1</v>
      </c>
      <c r="F67" s="163">
        <f>НМЦК!P74</f>
        <v>23335.62</v>
      </c>
      <c r="G67" s="163">
        <f t="shared" si="3"/>
        <v>23335.62</v>
      </c>
      <c r="H67" s="164"/>
      <c r="I67" s="164"/>
    </row>
    <row r="68" spans="1:9" ht="47.25" x14ac:dyDescent="0.25">
      <c r="A68" s="155" t="s">
        <v>259</v>
      </c>
      <c r="B68" s="156" t="s">
        <v>160</v>
      </c>
      <c r="C68" s="156" t="s">
        <v>50</v>
      </c>
      <c r="D68" s="172" t="s">
        <v>295</v>
      </c>
      <c r="E68" s="172">
        <v>1</v>
      </c>
      <c r="F68" s="163">
        <f>НМЦК!P75</f>
        <v>19749814.870000001</v>
      </c>
      <c r="G68" s="163">
        <f t="shared" si="3"/>
        <v>19749814.870000001</v>
      </c>
      <c r="H68" s="171">
        <f>НМЦК!Q75</f>
        <v>4329033.22</v>
      </c>
      <c r="I68" s="171">
        <f>H68</f>
        <v>4329033.22</v>
      </c>
    </row>
    <row r="69" spans="1:9" ht="15.75" x14ac:dyDescent="0.25">
      <c r="A69" s="157"/>
      <c r="B69" s="158"/>
      <c r="C69" s="159" t="s">
        <v>32</v>
      </c>
      <c r="D69" s="173"/>
      <c r="E69" s="173"/>
      <c r="F69" s="173"/>
      <c r="G69" s="174">
        <f>G7+G10</f>
        <v>1048594395.24</v>
      </c>
      <c r="H69" s="173"/>
      <c r="I69" s="174">
        <f>I7+I10</f>
        <v>220780694.46000001</v>
      </c>
    </row>
    <row r="70" spans="1:9" ht="15.75" x14ac:dyDescent="0.25">
      <c r="A70" s="157"/>
      <c r="B70" s="158"/>
      <c r="C70" s="159" t="s">
        <v>484</v>
      </c>
      <c r="D70" s="173"/>
      <c r="E70" s="173"/>
      <c r="F70" s="173"/>
      <c r="G70" s="174">
        <f>G69*22%</f>
        <v>230690766.94999999</v>
      </c>
      <c r="H70" s="173"/>
      <c r="I70" s="174">
        <f>I69*22%</f>
        <v>48571752.780000001</v>
      </c>
    </row>
    <row r="71" spans="1:9" ht="15.75" x14ac:dyDescent="0.25">
      <c r="A71" s="157"/>
      <c r="B71" s="158"/>
      <c r="C71" s="159" t="s">
        <v>33</v>
      </c>
      <c r="D71" s="173"/>
      <c r="E71" s="173"/>
      <c r="F71" s="173"/>
      <c r="G71" s="174">
        <f>G69+G70</f>
        <v>1279285162.1900001</v>
      </c>
      <c r="H71" s="173"/>
      <c r="I71" s="174">
        <f>I69+I70</f>
        <v>269352447.24000001</v>
      </c>
    </row>
    <row r="73" spans="1:9" x14ac:dyDescent="0.25">
      <c r="G73" s="152"/>
    </row>
    <row r="74" spans="1:9" x14ac:dyDescent="0.25">
      <c r="E74" s="236" t="s">
        <v>421</v>
      </c>
      <c r="F74" s="236"/>
      <c r="G74" s="237">
        <f>(G12+G15+G33+G36+G37+G40+G41+G42+G57)*1.02*1.22</f>
        <v>1192411256.3399999</v>
      </c>
      <c r="H74" s="236" t="s">
        <v>422</v>
      </c>
    </row>
    <row r="75" spans="1:9" x14ac:dyDescent="0.25">
      <c r="E75" s="441" t="s">
        <v>423</v>
      </c>
      <c r="F75" s="441"/>
      <c r="G75" s="238">
        <v>1.61E-2</v>
      </c>
      <c r="H75" s="236"/>
    </row>
    <row r="76" spans="1:9" x14ac:dyDescent="0.25">
      <c r="E76" s="441" t="s">
        <v>424</v>
      </c>
      <c r="F76" s="441"/>
      <c r="G76" s="237">
        <f>G74*G75</f>
        <v>19197821.23</v>
      </c>
      <c r="H76" s="236" t="s">
        <v>422</v>
      </c>
    </row>
  </sheetData>
  <mergeCells count="12">
    <mergeCell ref="E75:F75"/>
    <mergeCell ref="E76:F76"/>
    <mergeCell ref="A1:I1"/>
    <mergeCell ref="A2:I2"/>
    <mergeCell ref="A3:I3"/>
    <mergeCell ref="A4:A5"/>
    <mergeCell ref="B4:B5"/>
    <mergeCell ref="C4:C5"/>
    <mergeCell ref="D4:D5"/>
    <mergeCell ref="E4:E5"/>
    <mergeCell ref="F4:G4"/>
    <mergeCell ref="H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DL65"/>
  <sheetViews>
    <sheetView showGridLines="0" view="pageBreakPreview" topLeftCell="B1" zoomScale="60" zoomScaleNormal="55" workbookViewId="0">
      <pane xSplit="7" ySplit="3" topLeftCell="I9" activePane="bottomRight" state="frozen"/>
      <selection activeCell="B1" sqref="B1"/>
      <selection pane="topRight" activeCell="I1" sqref="I1"/>
      <selection pane="bottomLeft" activeCell="B4" sqref="B4"/>
      <selection pane="bottomRight" activeCell="D19" sqref="D19"/>
    </sheetView>
  </sheetViews>
  <sheetFormatPr defaultColWidth="8.85546875" defaultRowHeight="15" x14ac:dyDescent="0.25"/>
  <cols>
    <col min="1" max="1" width="10.85546875" style="389" customWidth="1"/>
    <col min="2" max="2" width="21.140625" style="389" customWidth="1"/>
    <col min="3" max="3" width="111.42578125" style="281" customWidth="1"/>
    <col min="4" max="4" width="13.5703125" style="281" customWidth="1"/>
    <col min="5" max="5" width="11.140625" style="281" customWidth="1"/>
    <col min="6" max="6" width="22.28515625" style="281" customWidth="1"/>
    <col min="7" max="7" width="20.7109375" style="281" customWidth="1"/>
    <col min="8" max="8" width="17.7109375" style="281" hidden="1" customWidth="1"/>
    <col min="9" max="68" width="3.7109375" style="281" customWidth="1"/>
    <col min="69" max="69" width="3.85546875" style="281" customWidth="1"/>
    <col min="70" max="70" width="3.5703125" style="281" customWidth="1"/>
    <col min="71" max="71" width="3.42578125" style="281" customWidth="1"/>
    <col min="72" max="72" width="4.28515625" style="281" customWidth="1"/>
    <col min="73" max="73" width="3.140625" style="281" customWidth="1"/>
    <col min="74" max="75" width="3.42578125" style="281" customWidth="1"/>
    <col min="76" max="76" width="3.7109375" style="281" customWidth="1"/>
    <col min="77" max="116" width="3.28515625" style="281" customWidth="1"/>
    <col min="117" max="16384" width="8.85546875" style="281"/>
  </cols>
  <sheetData>
    <row r="1" spans="1:116" ht="92.25" customHeight="1" thickBot="1" x14ac:dyDescent="0.3">
      <c r="A1" s="280" t="s">
        <v>425</v>
      </c>
      <c r="B1" s="446" t="s">
        <v>425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  <c r="AJ1" s="446"/>
      <c r="AK1" s="446"/>
      <c r="AL1" s="446"/>
      <c r="AM1" s="446"/>
      <c r="AN1" s="446"/>
      <c r="AO1" s="446"/>
      <c r="AP1" s="446"/>
      <c r="AQ1" s="446"/>
      <c r="AR1" s="446"/>
      <c r="AS1" s="446"/>
      <c r="AT1" s="446"/>
      <c r="AU1" s="446"/>
      <c r="AV1" s="446"/>
      <c r="AW1" s="446"/>
      <c r="AX1" s="446"/>
      <c r="AY1" s="446"/>
      <c r="AZ1" s="446"/>
      <c r="BA1" s="446"/>
      <c r="BB1" s="446"/>
      <c r="BC1" s="446"/>
      <c r="BD1" s="446"/>
      <c r="BE1" s="446"/>
      <c r="BF1" s="446"/>
      <c r="BG1" s="446"/>
      <c r="BH1" s="446"/>
      <c r="BI1" s="446"/>
      <c r="BJ1" s="446"/>
      <c r="BK1" s="446"/>
      <c r="BL1" s="446"/>
      <c r="BM1" s="446"/>
      <c r="BN1" s="446"/>
      <c r="BO1" s="446"/>
      <c r="BP1" s="446"/>
      <c r="BQ1" s="446"/>
      <c r="BR1" s="446"/>
      <c r="BS1" s="446"/>
      <c r="BT1" s="446"/>
      <c r="BU1" s="446"/>
      <c r="BV1" s="446"/>
      <c r="BW1" s="446"/>
      <c r="BX1" s="446"/>
      <c r="BY1" s="446"/>
      <c r="BZ1" s="446"/>
      <c r="CA1" s="446"/>
      <c r="CB1" s="446"/>
      <c r="CC1" s="446"/>
      <c r="CD1" s="446"/>
      <c r="CE1" s="446"/>
      <c r="CF1" s="446"/>
      <c r="CG1" s="446"/>
      <c r="CH1" s="446"/>
      <c r="CI1" s="446"/>
      <c r="CJ1" s="446"/>
      <c r="CK1" s="446"/>
      <c r="CL1" s="446"/>
      <c r="CM1" s="446"/>
      <c r="CN1" s="446"/>
      <c r="CO1" s="446"/>
      <c r="CP1" s="446"/>
      <c r="CQ1" s="446"/>
      <c r="CR1" s="446"/>
      <c r="CS1" s="446"/>
      <c r="CT1" s="446"/>
      <c r="CU1" s="446"/>
      <c r="CV1" s="446"/>
      <c r="CW1" s="446"/>
      <c r="CX1" s="446"/>
      <c r="CY1" s="446"/>
      <c r="CZ1" s="446"/>
      <c r="DA1" s="446"/>
      <c r="DB1" s="446"/>
      <c r="DC1" s="446"/>
      <c r="DD1" s="446"/>
      <c r="DE1" s="446"/>
      <c r="DF1" s="446"/>
      <c r="DG1" s="446"/>
      <c r="DH1" s="446"/>
      <c r="DI1" s="446"/>
      <c r="DJ1" s="446"/>
      <c r="DK1" s="446"/>
      <c r="DL1" s="446"/>
    </row>
    <row r="2" spans="1:116" ht="56.1" customHeight="1" thickBot="1" x14ac:dyDescent="0.3">
      <c r="A2" s="447" t="s">
        <v>61</v>
      </c>
      <c r="B2" s="449"/>
      <c r="C2" s="452" t="s">
        <v>426</v>
      </c>
      <c r="D2" s="454" t="s">
        <v>427</v>
      </c>
      <c r="E2" s="454" t="s">
        <v>428</v>
      </c>
      <c r="F2" s="457" t="s">
        <v>429</v>
      </c>
      <c r="G2" s="457" t="s">
        <v>430</v>
      </c>
      <c r="H2" s="460" t="s">
        <v>431</v>
      </c>
      <c r="I2" s="462">
        <v>2026</v>
      </c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3"/>
      <c r="U2" s="464">
        <v>2027</v>
      </c>
      <c r="V2" s="465"/>
      <c r="W2" s="465"/>
      <c r="X2" s="465"/>
      <c r="Y2" s="465"/>
      <c r="Z2" s="465"/>
      <c r="AA2" s="465"/>
      <c r="AB2" s="465"/>
      <c r="AC2" s="465"/>
      <c r="AD2" s="465"/>
      <c r="AE2" s="465"/>
      <c r="AF2" s="465"/>
      <c r="AG2" s="465"/>
      <c r="AH2" s="465"/>
      <c r="AI2" s="465"/>
      <c r="AJ2" s="465"/>
      <c r="AK2" s="465"/>
      <c r="AL2" s="465"/>
      <c r="AM2" s="465"/>
      <c r="AN2" s="465"/>
      <c r="AO2" s="465"/>
      <c r="AP2" s="465"/>
      <c r="AQ2" s="465"/>
      <c r="AR2" s="465"/>
      <c r="AS2" s="465"/>
      <c r="AT2" s="465"/>
      <c r="AU2" s="465"/>
      <c r="AV2" s="465"/>
      <c r="AW2" s="465"/>
      <c r="AX2" s="465"/>
      <c r="AY2" s="465"/>
      <c r="AZ2" s="465"/>
      <c r="BA2" s="465"/>
      <c r="BB2" s="465"/>
      <c r="BC2" s="465"/>
      <c r="BD2" s="465"/>
      <c r="BE2" s="465"/>
      <c r="BF2" s="465"/>
      <c r="BG2" s="465"/>
      <c r="BH2" s="465"/>
      <c r="BI2" s="465"/>
      <c r="BJ2" s="465"/>
      <c r="BK2" s="465"/>
      <c r="BL2" s="465"/>
      <c r="BM2" s="465"/>
      <c r="BN2" s="465"/>
      <c r="BO2" s="465"/>
      <c r="BP2" s="466"/>
      <c r="BQ2" s="464">
        <v>2028</v>
      </c>
      <c r="BR2" s="465"/>
      <c r="BS2" s="465"/>
      <c r="BT2" s="465"/>
      <c r="BU2" s="465"/>
      <c r="BV2" s="465"/>
      <c r="BW2" s="465"/>
      <c r="BX2" s="465"/>
      <c r="BY2" s="465"/>
      <c r="BZ2" s="465"/>
      <c r="CA2" s="465"/>
      <c r="CB2" s="465"/>
      <c r="CC2" s="465"/>
      <c r="CD2" s="465"/>
      <c r="CE2" s="465"/>
      <c r="CF2" s="465"/>
      <c r="CG2" s="465"/>
      <c r="CH2" s="465"/>
      <c r="CI2" s="465"/>
      <c r="CJ2" s="465"/>
      <c r="CK2" s="465"/>
      <c r="CL2" s="465"/>
      <c r="CM2" s="465"/>
      <c r="CN2" s="465"/>
      <c r="CO2" s="465"/>
      <c r="CP2" s="465"/>
      <c r="CQ2" s="465"/>
      <c r="CR2" s="465"/>
      <c r="CS2" s="465"/>
      <c r="CT2" s="465"/>
      <c r="CU2" s="465"/>
      <c r="CV2" s="465"/>
      <c r="CW2" s="465"/>
      <c r="CX2" s="465"/>
      <c r="CY2" s="465"/>
      <c r="CZ2" s="465"/>
      <c r="DA2" s="465"/>
      <c r="DB2" s="465"/>
      <c r="DC2" s="465"/>
      <c r="DD2" s="465"/>
      <c r="DE2" s="465"/>
      <c r="DF2" s="465"/>
      <c r="DG2" s="465"/>
      <c r="DH2" s="465"/>
      <c r="DI2" s="465"/>
      <c r="DJ2" s="465"/>
      <c r="DK2" s="465"/>
      <c r="DL2" s="466"/>
    </row>
    <row r="3" spans="1:116" ht="38.1" customHeight="1" x14ac:dyDescent="0.25">
      <c r="A3" s="448"/>
      <c r="B3" s="450"/>
      <c r="C3" s="453"/>
      <c r="D3" s="455"/>
      <c r="E3" s="455"/>
      <c r="F3" s="458"/>
      <c r="G3" s="458"/>
      <c r="H3" s="461"/>
      <c r="I3" s="467" t="s">
        <v>432</v>
      </c>
      <c r="J3" s="468"/>
      <c r="K3" s="468"/>
      <c r="L3" s="469"/>
      <c r="M3" s="467" t="s">
        <v>433</v>
      </c>
      <c r="N3" s="468"/>
      <c r="O3" s="468"/>
      <c r="P3" s="469"/>
      <c r="Q3" s="468" t="s">
        <v>434</v>
      </c>
      <c r="R3" s="468"/>
      <c r="S3" s="468"/>
      <c r="T3" s="469"/>
      <c r="U3" s="470" t="s">
        <v>302</v>
      </c>
      <c r="V3" s="470"/>
      <c r="W3" s="470"/>
      <c r="X3" s="471"/>
      <c r="Y3" s="470" t="s">
        <v>303</v>
      </c>
      <c r="Z3" s="470"/>
      <c r="AA3" s="470"/>
      <c r="AB3" s="471"/>
      <c r="AC3" s="470" t="s">
        <v>304</v>
      </c>
      <c r="AD3" s="470"/>
      <c r="AE3" s="470"/>
      <c r="AF3" s="471"/>
      <c r="AG3" s="470" t="s">
        <v>305</v>
      </c>
      <c r="AH3" s="470"/>
      <c r="AI3" s="470"/>
      <c r="AJ3" s="471"/>
      <c r="AK3" s="470" t="s">
        <v>306</v>
      </c>
      <c r="AL3" s="470"/>
      <c r="AM3" s="470"/>
      <c r="AN3" s="471"/>
      <c r="AO3" s="470" t="s">
        <v>307</v>
      </c>
      <c r="AP3" s="470"/>
      <c r="AQ3" s="470"/>
      <c r="AR3" s="471"/>
      <c r="AS3" s="470" t="s">
        <v>308</v>
      </c>
      <c r="AT3" s="470"/>
      <c r="AU3" s="470"/>
      <c r="AV3" s="471"/>
      <c r="AW3" s="470" t="s">
        <v>309</v>
      </c>
      <c r="AX3" s="470"/>
      <c r="AY3" s="470"/>
      <c r="AZ3" s="471"/>
      <c r="BA3" s="470" t="s">
        <v>310</v>
      </c>
      <c r="BB3" s="470"/>
      <c r="BC3" s="470"/>
      <c r="BD3" s="471"/>
      <c r="BE3" s="470" t="s">
        <v>311</v>
      </c>
      <c r="BF3" s="470"/>
      <c r="BG3" s="470"/>
      <c r="BH3" s="471"/>
      <c r="BI3" s="470" t="s">
        <v>312</v>
      </c>
      <c r="BJ3" s="470"/>
      <c r="BK3" s="470"/>
      <c r="BL3" s="473"/>
      <c r="BM3" s="470" t="s">
        <v>313</v>
      </c>
      <c r="BN3" s="470"/>
      <c r="BO3" s="470"/>
      <c r="BP3" s="471"/>
      <c r="BQ3" s="470" t="s">
        <v>302</v>
      </c>
      <c r="BR3" s="470"/>
      <c r="BS3" s="470"/>
      <c r="BT3" s="471"/>
      <c r="BU3" s="472" t="s">
        <v>303</v>
      </c>
      <c r="BV3" s="470"/>
      <c r="BW3" s="470"/>
      <c r="BX3" s="471"/>
      <c r="BY3" s="472" t="s">
        <v>304</v>
      </c>
      <c r="BZ3" s="470"/>
      <c r="CA3" s="470"/>
      <c r="CB3" s="471"/>
      <c r="CC3" s="472" t="s">
        <v>305</v>
      </c>
      <c r="CD3" s="470"/>
      <c r="CE3" s="470"/>
      <c r="CF3" s="471"/>
      <c r="CG3" s="472" t="s">
        <v>306</v>
      </c>
      <c r="CH3" s="470"/>
      <c r="CI3" s="470"/>
      <c r="CJ3" s="471"/>
      <c r="CK3" s="472" t="s">
        <v>307</v>
      </c>
      <c r="CL3" s="470"/>
      <c r="CM3" s="470"/>
      <c r="CN3" s="471"/>
      <c r="CO3" s="472" t="s">
        <v>308</v>
      </c>
      <c r="CP3" s="470"/>
      <c r="CQ3" s="470"/>
      <c r="CR3" s="471"/>
      <c r="CS3" s="472" t="s">
        <v>309</v>
      </c>
      <c r="CT3" s="470"/>
      <c r="CU3" s="470"/>
      <c r="CV3" s="471"/>
      <c r="CW3" s="472" t="s">
        <v>310</v>
      </c>
      <c r="CX3" s="470"/>
      <c r="CY3" s="470"/>
      <c r="CZ3" s="471"/>
      <c r="DA3" s="472" t="s">
        <v>311</v>
      </c>
      <c r="DB3" s="470"/>
      <c r="DC3" s="470"/>
      <c r="DD3" s="471"/>
      <c r="DE3" s="472" t="s">
        <v>312</v>
      </c>
      <c r="DF3" s="470"/>
      <c r="DG3" s="470"/>
      <c r="DH3" s="473"/>
      <c r="DI3" s="474" t="s">
        <v>313</v>
      </c>
      <c r="DJ3" s="470"/>
      <c r="DK3" s="470"/>
      <c r="DL3" s="471"/>
    </row>
    <row r="4" spans="1:116" ht="24" thickBot="1" x14ac:dyDescent="0.3">
      <c r="A4" s="448"/>
      <c r="B4" s="451"/>
      <c r="C4" s="453"/>
      <c r="D4" s="456"/>
      <c r="E4" s="456"/>
      <c r="F4" s="459"/>
      <c r="G4" s="459"/>
      <c r="H4" s="461"/>
      <c r="I4" s="282">
        <v>1</v>
      </c>
      <c r="J4" s="283">
        <v>2</v>
      </c>
      <c r="K4" s="283">
        <v>3</v>
      </c>
      <c r="L4" s="284">
        <v>4</v>
      </c>
      <c r="M4" s="282">
        <v>1</v>
      </c>
      <c r="N4" s="283">
        <v>2</v>
      </c>
      <c r="O4" s="283">
        <v>3</v>
      </c>
      <c r="P4" s="284">
        <v>4</v>
      </c>
      <c r="Q4" s="285">
        <v>1</v>
      </c>
      <c r="R4" s="283">
        <v>2</v>
      </c>
      <c r="S4" s="283">
        <v>3</v>
      </c>
      <c r="T4" s="284">
        <v>4</v>
      </c>
      <c r="U4" s="285">
        <v>1</v>
      </c>
      <c r="V4" s="283">
        <v>2</v>
      </c>
      <c r="W4" s="283">
        <v>3</v>
      </c>
      <c r="X4" s="286">
        <v>4</v>
      </c>
      <c r="Y4" s="282">
        <v>1</v>
      </c>
      <c r="Z4" s="283">
        <v>2</v>
      </c>
      <c r="AA4" s="283">
        <v>3</v>
      </c>
      <c r="AB4" s="286">
        <v>4</v>
      </c>
      <c r="AC4" s="282">
        <v>1</v>
      </c>
      <c r="AD4" s="283">
        <v>2</v>
      </c>
      <c r="AE4" s="283">
        <v>3</v>
      </c>
      <c r="AF4" s="286">
        <v>4</v>
      </c>
      <c r="AG4" s="282">
        <v>1</v>
      </c>
      <c r="AH4" s="283">
        <v>2</v>
      </c>
      <c r="AI4" s="283">
        <v>3</v>
      </c>
      <c r="AJ4" s="286">
        <v>4</v>
      </c>
      <c r="AK4" s="282">
        <v>1</v>
      </c>
      <c r="AL4" s="283">
        <v>2</v>
      </c>
      <c r="AM4" s="283">
        <v>3</v>
      </c>
      <c r="AN4" s="286">
        <v>4</v>
      </c>
      <c r="AO4" s="282">
        <v>1</v>
      </c>
      <c r="AP4" s="283">
        <v>2</v>
      </c>
      <c r="AQ4" s="283">
        <v>3</v>
      </c>
      <c r="AR4" s="286">
        <v>4</v>
      </c>
      <c r="AS4" s="282">
        <v>1</v>
      </c>
      <c r="AT4" s="283">
        <v>2</v>
      </c>
      <c r="AU4" s="283">
        <v>3</v>
      </c>
      <c r="AV4" s="286">
        <v>4</v>
      </c>
      <c r="AW4" s="282">
        <v>1</v>
      </c>
      <c r="AX4" s="283">
        <v>2</v>
      </c>
      <c r="AY4" s="283">
        <v>3</v>
      </c>
      <c r="AZ4" s="286">
        <v>4</v>
      </c>
      <c r="BA4" s="282">
        <v>1</v>
      </c>
      <c r="BB4" s="283">
        <v>2</v>
      </c>
      <c r="BC4" s="283">
        <v>3</v>
      </c>
      <c r="BD4" s="286">
        <v>4</v>
      </c>
      <c r="BE4" s="282">
        <v>1</v>
      </c>
      <c r="BF4" s="283">
        <v>2</v>
      </c>
      <c r="BG4" s="283">
        <v>3</v>
      </c>
      <c r="BH4" s="286">
        <v>4</v>
      </c>
      <c r="BI4" s="282">
        <v>1</v>
      </c>
      <c r="BJ4" s="283">
        <v>2</v>
      </c>
      <c r="BK4" s="283">
        <v>3</v>
      </c>
      <c r="BL4" s="284">
        <v>4</v>
      </c>
      <c r="BM4" s="282">
        <v>1</v>
      </c>
      <c r="BN4" s="283">
        <v>2</v>
      </c>
      <c r="BO4" s="283">
        <v>3</v>
      </c>
      <c r="BP4" s="284">
        <v>4</v>
      </c>
      <c r="BQ4" s="285">
        <v>1</v>
      </c>
      <c r="BR4" s="283">
        <v>2</v>
      </c>
      <c r="BS4" s="283">
        <v>3</v>
      </c>
      <c r="BT4" s="286">
        <v>4</v>
      </c>
      <c r="BU4" s="282">
        <v>1</v>
      </c>
      <c r="BV4" s="283">
        <v>2</v>
      </c>
      <c r="BW4" s="283">
        <v>3</v>
      </c>
      <c r="BX4" s="286">
        <v>4</v>
      </c>
      <c r="BY4" s="282">
        <v>1</v>
      </c>
      <c r="BZ4" s="283">
        <v>2</v>
      </c>
      <c r="CA4" s="283">
        <v>3</v>
      </c>
      <c r="CB4" s="286">
        <v>4</v>
      </c>
      <c r="CC4" s="282">
        <v>1</v>
      </c>
      <c r="CD4" s="283">
        <v>2</v>
      </c>
      <c r="CE4" s="283">
        <v>3</v>
      </c>
      <c r="CF4" s="286">
        <v>4</v>
      </c>
      <c r="CG4" s="282">
        <v>1</v>
      </c>
      <c r="CH4" s="283">
        <v>2</v>
      </c>
      <c r="CI4" s="283">
        <v>3</v>
      </c>
      <c r="CJ4" s="286">
        <v>4</v>
      </c>
      <c r="CK4" s="282">
        <v>1</v>
      </c>
      <c r="CL4" s="283">
        <v>2</v>
      </c>
      <c r="CM4" s="283">
        <v>3</v>
      </c>
      <c r="CN4" s="286">
        <v>4</v>
      </c>
      <c r="CO4" s="282">
        <v>1</v>
      </c>
      <c r="CP4" s="283">
        <v>2</v>
      </c>
      <c r="CQ4" s="283">
        <v>3</v>
      </c>
      <c r="CR4" s="286">
        <v>4</v>
      </c>
      <c r="CS4" s="282">
        <v>1</v>
      </c>
      <c r="CT4" s="283">
        <v>2</v>
      </c>
      <c r="CU4" s="283">
        <v>3</v>
      </c>
      <c r="CV4" s="286">
        <v>4</v>
      </c>
      <c r="CW4" s="282">
        <v>1</v>
      </c>
      <c r="CX4" s="283">
        <v>2</v>
      </c>
      <c r="CY4" s="283">
        <v>3</v>
      </c>
      <c r="CZ4" s="286">
        <v>4</v>
      </c>
      <c r="DA4" s="282">
        <v>1</v>
      </c>
      <c r="DB4" s="283">
        <v>2</v>
      </c>
      <c r="DC4" s="283">
        <v>3</v>
      </c>
      <c r="DD4" s="286">
        <v>4</v>
      </c>
      <c r="DE4" s="282">
        <v>1</v>
      </c>
      <c r="DF4" s="283">
        <v>2</v>
      </c>
      <c r="DG4" s="283">
        <v>3</v>
      </c>
      <c r="DH4" s="284">
        <v>4</v>
      </c>
      <c r="DI4" s="282">
        <v>1</v>
      </c>
      <c r="DJ4" s="283">
        <v>2</v>
      </c>
      <c r="DK4" s="283">
        <v>3</v>
      </c>
      <c r="DL4" s="284">
        <v>4</v>
      </c>
    </row>
    <row r="5" spans="1:116" ht="22.5" x14ac:dyDescent="0.25">
      <c r="A5" s="287" t="s">
        <v>10</v>
      </c>
      <c r="B5" s="288"/>
      <c r="C5" s="289" t="s">
        <v>435</v>
      </c>
      <c r="D5" s="290"/>
      <c r="E5" s="290"/>
      <c r="F5" s="291"/>
      <c r="G5" s="292"/>
      <c r="H5" s="293"/>
      <c r="I5" s="294"/>
      <c r="J5" s="295"/>
      <c r="K5" s="295"/>
      <c r="L5" s="296"/>
      <c r="M5" s="294"/>
      <c r="N5" s="295"/>
      <c r="O5" s="295"/>
      <c r="P5" s="296"/>
      <c r="Q5" s="297"/>
      <c r="R5" s="295"/>
      <c r="S5" s="295"/>
      <c r="T5" s="296"/>
      <c r="U5" s="297"/>
      <c r="V5" s="295"/>
      <c r="W5" s="295"/>
      <c r="X5" s="296"/>
      <c r="Y5" s="294"/>
      <c r="Z5" s="295"/>
      <c r="AA5" s="295"/>
      <c r="AB5" s="296"/>
      <c r="AC5" s="294"/>
      <c r="AD5" s="295"/>
      <c r="AE5" s="295"/>
      <c r="AF5" s="296"/>
      <c r="AG5" s="294"/>
      <c r="AH5" s="295"/>
      <c r="AI5" s="295"/>
      <c r="AJ5" s="296"/>
      <c r="AK5" s="294"/>
      <c r="AL5" s="295"/>
      <c r="AM5" s="295"/>
      <c r="AN5" s="296"/>
      <c r="AO5" s="294"/>
      <c r="AP5" s="295"/>
      <c r="AQ5" s="295"/>
      <c r="AR5" s="296"/>
      <c r="AS5" s="294"/>
      <c r="AT5" s="295"/>
      <c r="AU5" s="295"/>
      <c r="AV5" s="296"/>
      <c r="AW5" s="294"/>
      <c r="AX5" s="295"/>
      <c r="AY5" s="295"/>
      <c r="AZ5" s="296"/>
      <c r="BA5" s="294"/>
      <c r="BB5" s="295"/>
      <c r="BC5" s="295"/>
      <c r="BD5" s="296"/>
      <c r="BE5" s="294"/>
      <c r="BF5" s="295"/>
      <c r="BG5" s="295"/>
      <c r="BH5" s="296"/>
      <c r="BI5" s="294"/>
      <c r="BJ5" s="295"/>
      <c r="BK5" s="295"/>
      <c r="BL5" s="296"/>
      <c r="BM5" s="297"/>
      <c r="BN5" s="295"/>
      <c r="BO5" s="295"/>
      <c r="BP5" s="296"/>
      <c r="BQ5" s="297"/>
      <c r="BR5" s="295"/>
      <c r="BS5" s="295"/>
      <c r="BT5" s="296"/>
      <c r="BU5" s="294"/>
      <c r="BV5" s="295"/>
      <c r="BW5" s="295"/>
      <c r="BX5" s="296"/>
      <c r="BY5" s="294"/>
      <c r="BZ5" s="295"/>
      <c r="CA5" s="295"/>
      <c r="CB5" s="296"/>
      <c r="CC5" s="294"/>
      <c r="CD5" s="295"/>
      <c r="CE5" s="295"/>
      <c r="CF5" s="296"/>
      <c r="CG5" s="294"/>
      <c r="CH5" s="295"/>
      <c r="CI5" s="295"/>
      <c r="CJ5" s="296"/>
      <c r="CK5" s="294"/>
      <c r="CL5" s="295"/>
      <c r="CM5" s="295"/>
      <c r="CN5" s="296"/>
      <c r="CO5" s="294"/>
      <c r="CP5" s="295"/>
      <c r="CQ5" s="295"/>
      <c r="CR5" s="296"/>
      <c r="CS5" s="294"/>
      <c r="CT5" s="295"/>
      <c r="CU5" s="295"/>
      <c r="CV5" s="296"/>
      <c r="CW5" s="294"/>
      <c r="CX5" s="295"/>
      <c r="CY5" s="295"/>
      <c r="CZ5" s="296"/>
      <c r="DA5" s="294"/>
      <c r="DB5" s="295"/>
      <c r="DC5" s="295"/>
      <c r="DD5" s="296"/>
      <c r="DE5" s="294"/>
      <c r="DF5" s="295"/>
      <c r="DG5" s="295"/>
      <c r="DH5" s="296"/>
      <c r="DI5" s="297"/>
      <c r="DJ5" s="295"/>
      <c r="DK5" s="295"/>
      <c r="DL5" s="296"/>
    </row>
    <row r="6" spans="1:116" ht="23.25" x14ac:dyDescent="0.25">
      <c r="A6" s="298" t="s">
        <v>10</v>
      </c>
      <c r="B6" s="299"/>
      <c r="C6" s="300" t="s">
        <v>436</v>
      </c>
      <c r="D6" s="301"/>
      <c r="E6" s="301"/>
      <c r="F6" s="302">
        <v>46296</v>
      </c>
      <c r="G6" s="302">
        <v>47117</v>
      </c>
      <c r="H6" s="303"/>
      <c r="I6" s="304"/>
      <c r="J6" s="305"/>
      <c r="K6" s="305"/>
      <c r="L6" s="306"/>
      <c r="M6" s="304"/>
      <c r="N6" s="305"/>
      <c r="O6" s="305"/>
      <c r="P6" s="306"/>
      <c r="Q6" s="307"/>
      <c r="R6" s="305"/>
      <c r="S6" s="305"/>
      <c r="T6" s="306"/>
      <c r="U6" s="307"/>
      <c r="V6" s="305"/>
      <c r="W6" s="305"/>
      <c r="X6" s="306"/>
      <c r="Y6" s="304"/>
      <c r="Z6" s="305"/>
      <c r="AA6" s="305"/>
      <c r="AB6" s="306"/>
      <c r="AC6" s="304"/>
      <c r="AD6" s="305"/>
      <c r="AE6" s="305"/>
      <c r="AF6" s="306"/>
      <c r="AG6" s="304"/>
      <c r="AH6" s="305"/>
      <c r="AI6" s="305"/>
      <c r="AJ6" s="306"/>
      <c r="AK6" s="304"/>
      <c r="AL6" s="305"/>
      <c r="AM6" s="305"/>
      <c r="AN6" s="306"/>
      <c r="AO6" s="304"/>
      <c r="AP6" s="305"/>
      <c r="AQ6" s="305"/>
      <c r="AR6" s="306"/>
      <c r="AS6" s="304"/>
      <c r="AT6" s="305"/>
      <c r="AU6" s="305"/>
      <c r="AV6" s="306"/>
      <c r="AW6" s="304"/>
      <c r="AX6" s="305"/>
      <c r="AY6" s="305"/>
      <c r="AZ6" s="306"/>
      <c r="BA6" s="304"/>
      <c r="BB6" s="305"/>
      <c r="BC6" s="305"/>
      <c r="BD6" s="306"/>
      <c r="BE6" s="304"/>
      <c r="BF6" s="305"/>
      <c r="BG6" s="305"/>
      <c r="BH6" s="306"/>
      <c r="BI6" s="304"/>
      <c r="BJ6" s="305"/>
      <c r="BK6" s="305"/>
      <c r="BL6" s="306"/>
      <c r="BM6" s="307"/>
      <c r="BN6" s="305"/>
      <c r="BO6" s="305"/>
      <c r="BP6" s="306"/>
      <c r="BQ6" s="307"/>
      <c r="BR6" s="305"/>
      <c r="BS6" s="305"/>
      <c r="BT6" s="306"/>
      <c r="BU6" s="304"/>
      <c r="BV6" s="305"/>
      <c r="BW6" s="305"/>
      <c r="BX6" s="306"/>
      <c r="BY6" s="304"/>
      <c r="BZ6" s="305"/>
      <c r="CA6" s="305"/>
      <c r="CB6" s="306"/>
      <c r="CC6" s="304"/>
      <c r="CD6" s="305"/>
      <c r="CE6" s="305"/>
      <c r="CF6" s="306"/>
      <c r="CG6" s="304"/>
      <c r="CH6" s="305"/>
      <c r="CI6" s="305"/>
      <c r="CJ6" s="306"/>
      <c r="CK6" s="304"/>
      <c r="CL6" s="305"/>
      <c r="CM6" s="305"/>
      <c r="CN6" s="306"/>
      <c r="CO6" s="304"/>
      <c r="CP6" s="305"/>
      <c r="CQ6" s="305"/>
      <c r="CR6" s="306"/>
      <c r="CS6" s="304"/>
      <c r="CT6" s="305"/>
      <c r="CU6" s="305"/>
      <c r="CV6" s="306"/>
      <c r="CW6" s="304"/>
      <c r="CX6" s="305"/>
      <c r="CY6" s="305"/>
      <c r="CZ6" s="306"/>
      <c r="DA6" s="304"/>
      <c r="DB6" s="305"/>
      <c r="DC6" s="305"/>
      <c r="DD6" s="306"/>
      <c r="DE6" s="304"/>
      <c r="DF6" s="305"/>
      <c r="DG6" s="305"/>
      <c r="DH6" s="306"/>
      <c r="DI6" s="307"/>
      <c r="DJ6" s="305"/>
      <c r="DK6" s="305"/>
      <c r="DL6" s="306"/>
    </row>
    <row r="7" spans="1:116" ht="23.25" x14ac:dyDescent="0.25">
      <c r="A7" s="298"/>
      <c r="B7" s="308"/>
      <c r="C7" s="300" t="s">
        <v>437</v>
      </c>
      <c r="D7" s="301"/>
      <c r="E7" s="301"/>
      <c r="F7" s="302">
        <v>46297</v>
      </c>
      <c r="G7" s="309">
        <v>46325</v>
      </c>
      <c r="H7" s="310"/>
      <c r="I7" s="304"/>
      <c r="J7" s="305"/>
      <c r="K7" s="305"/>
      <c r="L7" s="306"/>
      <c r="M7" s="311"/>
      <c r="N7" s="312"/>
      <c r="O7" s="312"/>
      <c r="P7" s="313"/>
      <c r="Q7" s="314"/>
      <c r="R7" s="312"/>
      <c r="S7" s="312"/>
      <c r="T7" s="313"/>
      <c r="U7" s="314"/>
      <c r="V7" s="312"/>
      <c r="W7" s="312"/>
      <c r="X7" s="313"/>
      <c r="Y7" s="311"/>
      <c r="Z7" s="312"/>
      <c r="AA7" s="312"/>
      <c r="AB7" s="313"/>
      <c r="AC7" s="311"/>
      <c r="AD7" s="312"/>
      <c r="AE7" s="312"/>
      <c r="AF7" s="313"/>
      <c r="AG7" s="311"/>
      <c r="AH7" s="312"/>
      <c r="AI7" s="312"/>
      <c r="AJ7" s="313"/>
      <c r="AK7" s="311"/>
      <c r="AL7" s="312"/>
      <c r="AM7" s="312"/>
      <c r="AN7" s="313"/>
      <c r="AO7" s="311"/>
      <c r="AP7" s="312"/>
      <c r="AQ7" s="312"/>
      <c r="AR7" s="313"/>
      <c r="AS7" s="311"/>
      <c r="AT7" s="312"/>
      <c r="AU7" s="312"/>
      <c r="AV7" s="313"/>
      <c r="AW7" s="311"/>
      <c r="AX7" s="312"/>
      <c r="AY7" s="312"/>
      <c r="AZ7" s="313"/>
      <c r="BA7" s="311"/>
      <c r="BB7" s="312"/>
      <c r="BC7" s="312"/>
      <c r="BD7" s="313"/>
      <c r="BE7" s="311"/>
      <c r="BF7" s="312"/>
      <c r="BG7" s="312"/>
      <c r="BH7" s="313"/>
      <c r="BI7" s="311"/>
      <c r="BJ7" s="312"/>
      <c r="BK7" s="312"/>
      <c r="BL7" s="313"/>
      <c r="BM7" s="314"/>
      <c r="BN7" s="312"/>
      <c r="BO7" s="312"/>
      <c r="BP7" s="313"/>
      <c r="BQ7" s="314"/>
      <c r="BR7" s="312"/>
      <c r="BS7" s="312"/>
      <c r="BT7" s="313"/>
      <c r="BU7" s="311"/>
      <c r="BV7" s="312"/>
      <c r="BW7" s="312"/>
      <c r="BX7" s="313"/>
      <c r="BY7" s="311"/>
      <c r="BZ7" s="312"/>
      <c r="CA7" s="312"/>
      <c r="CB7" s="313"/>
      <c r="CC7" s="311"/>
      <c r="CD7" s="312"/>
      <c r="CE7" s="312"/>
      <c r="CF7" s="313"/>
      <c r="CG7" s="311"/>
      <c r="CH7" s="312"/>
      <c r="CI7" s="312"/>
      <c r="CJ7" s="313"/>
      <c r="CK7" s="311"/>
      <c r="CL7" s="312"/>
      <c r="CM7" s="312"/>
      <c r="CN7" s="313"/>
      <c r="CO7" s="311"/>
      <c r="CP7" s="312"/>
      <c r="CQ7" s="312"/>
      <c r="CR7" s="313"/>
      <c r="CS7" s="311"/>
      <c r="CT7" s="312"/>
      <c r="CU7" s="312"/>
      <c r="CV7" s="313"/>
      <c r="CW7" s="311"/>
      <c r="CX7" s="312"/>
      <c r="CY7" s="312"/>
      <c r="CZ7" s="313"/>
      <c r="DA7" s="311"/>
      <c r="DB7" s="312"/>
      <c r="DC7" s="312"/>
      <c r="DD7" s="313"/>
      <c r="DE7" s="311"/>
      <c r="DF7" s="312"/>
      <c r="DG7" s="312"/>
      <c r="DH7" s="313"/>
      <c r="DI7" s="314"/>
      <c r="DJ7" s="312"/>
      <c r="DK7" s="312"/>
      <c r="DL7" s="313"/>
    </row>
    <row r="8" spans="1:116" ht="69.75" x14ac:dyDescent="0.25">
      <c r="A8" s="315"/>
      <c r="B8" s="316"/>
      <c r="C8" s="317" t="s">
        <v>438</v>
      </c>
      <c r="D8" s="301"/>
      <c r="E8" s="301"/>
      <c r="F8" s="302">
        <v>46305</v>
      </c>
      <c r="G8" s="309">
        <v>46310</v>
      </c>
      <c r="H8" s="310"/>
      <c r="I8" s="318"/>
      <c r="J8" s="305"/>
      <c r="K8" s="312"/>
      <c r="L8" s="313"/>
      <c r="M8" s="311"/>
      <c r="N8" s="312"/>
      <c r="O8" s="312"/>
      <c r="P8" s="313"/>
      <c r="Q8" s="314"/>
      <c r="R8" s="312"/>
      <c r="S8" s="312"/>
      <c r="T8" s="319"/>
      <c r="U8" s="311"/>
      <c r="V8" s="312"/>
      <c r="W8" s="312"/>
      <c r="X8" s="313"/>
      <c r="Y8" s="311"/>
      <c r="Z8" s="312"/>
      <c r="AA8" s="312"/>
      <c r="AB8" s="313"/>
      <c r="AC8" s="311"/>
      <c r="AD8" s="312"/>
      <c r="AE8" s="312"/>
      <c r="AF8" s="313"/>
      <c r="AG8" s="311"/>
      <c r="AH8" s="312"/>
      <c r="AI8" s="312"/>
      <c r="AJ8" s="313"/>
      <c r="AK8" s="311"/>
      <c r="AL8" s="312"/>
      <c r="AM8" s="312"/>
      <c r="AN8" s="313"/>
      <c r="AO8" s="311"/>
      <c r="AP8" s="312"/>
      <c r="AQ8" s="312"/>
      <c r="AR8" s="313"/>
      <c r="AS8" s="311"/>
      <c r="AT8" s="312"/>
      <c r="AU8" s="312"/>
      <c r="AV8" s="313"/>
      <c r="AW8" s="311"/>
      <c r="AX8" s="312"/>
      <c r="AY8" s="312"/>
      <c r="AZ8" s="313"/>
      <c r="BA8" s="311"/>
      <c r="BB8" s="312"/>
      <c r="BC8" s="312"/>
      <c r="BD8" s="313"/>
      <c r="BE8" s="311"/>
      <c r="BF8" s="312"/>
      <c r="BG8" s="312"/>
      <c r="BH8" s="313"/>
      <c r="BI8" s="311"/>
      <c r="BJ8" s="312"/>
      <c r="BK8" s="312"/>
      <c r="BL8" s="313"/>
      <c r="BM8" s="314"/>
      <c r="BN8" s="312"/>
      <c r="BO8" s="312"/>
      <c r="BP8" s="313"/>
      <c r="BQ8" s="311"/>
      <c r="BR8" s="312"/>
      <c r="BS8" s="312"/>
      <c r="BT8" s="313"/>
      <c r="BU8" s="311"/>
      <c r="BV8" s="312"/>
      <c r="BW8" s="312"/>
      <c r="BX8" s="313"/>
      <c r="BY8" s="311"/>
      <c r="BZ8" s="312"/>
      <c r="CA8" s="312"/>
      <c r="CB8" s="313"/>
      <c r="CC8" s="311"/>
      <c r="CD8" s="312"/>
      <c r="CE8" s="312"/>
      <c r="CF8" s="313"/>
      <c r="CG8" s="311"/>
      <c r="CH8" s="312"/>
      <c r="CI8" s="312"/>
      <c r="CJ8" s="313"/>
      <c r="CK8" s="311"/>
      <c r="CL8" s="312"/>
      <c r="CM8" s="312"/>
      <c r="CN8" s="313"/>
      <c r="CO8" s="311"/>
      <c r="CP8" s="312"/>
      <c r="CQ8" s="312"/>
      <c r="CR8" s="313"/>
      <c r="CS8" s="311"/>
      <c r="CT8" s="312"/>
      <c r="CU8" s="312"/>
      <c r="CV8" s="313"/>
      <c r="CW8" s="311"/>
      <c r="CX8" s="312"/>
      <c r="CY8" s="312"/>
      <c r="CZ8" s="313"/>
      <c r="DA8" s="311"/>
      <c r="DB8" s="312"/>
      <c r="DC8" s="312"/>
      <c r="DD8" s="313"/>
      <c r="DE8" s="311"/>
      <c r="DF8" s="312"/>
      <c r="DG8" s="312"/>
      <c r="DH8" s="313"/>
      <c r="DI8" s="314"/>
      <c r="DJ8" s="312"/>
      <c r="DK8" s="312"/>
      <c r="DL8" s="313"/>
    </row>
    <row r="9" spans="1:116" ht="139.5" x14ac:dyDescent="0.25">
      <c r="A9" s="315"/>
      <c r="B9" s="316"/>
      <c r="C9" s="317" t="s">
        <v>439</v>
      </c>
      <c r="D9" s="301"/>
      <c r="E9" s="301"/>
      <c r="F9" s="302">
        <v>46305</v>
      </c>
      <c r="G9" s="302">
        <v>46310</v>
      </c>
      <c r="H9" s="303"/>
      <c r="I9" s="311"/>
      <c r="J9" s="305"/>
      <c r="K9" s="312"/>
      <c r="L9" s="313"/>
      <c r="M9" s="311"/>
      <c r="N9" s="312"/>
      <c r="O9" s="312"/>
      <c r="P9" s="313"/>
      <c r="Q9" s="314"/>
      <c r="R9" s="312"/>
      <c r="S9" s="312"/>
      <c r="T9" s="319"/>
      <c r="U9" s="311"/>
      <c r="V9" s="312"/>
      <c r="W9" s="312"/>
      <c r="X9" s="313"/>
      <c r="Y9" s="311"/>
      <c r="Z9" s="312"/>
      <c r="AA9" s="312"/>
      <c r="AB9" s="313"/>
      <c r="AC9" s="311"/>
      <c r="AD9" s="312"/>
      <c r="AE9" s="312"/>
      <c r="AF9" s="313"/>
      <c r="AG9" s="311"/>
      <c r="AH9" s="312"/>
      <c r="AI9" s="312"/>
      <c r="AJ9" s="313"/>
      <c r="AK9" s="311"/>
      <c r="AL9" s="312"/>
      <c r="AM9" s="312"/>
      <c r="AN9" s="313"/>
      <c r="AO9" s="311"/>
      <c r="AP9" s="312"/>
      <c r="AQ9" s="312"/>
      <c r="AR9" s="313"/>
      <c r="AS9" s="311"/>
      <c r="AT9" s="312"/>
      <c r="AU9" s="312"/>
      <c r="AV9" s="313"/>
      <c r="AW9" s="311"/>
      <c r="AX9" s="312"/>
      <c r="AY9" s="312"/>
      <c r="AZ9" s="313"/>
      <c r="BA9" s="311"/>
      <c r="BB9" s="312"/>
      <c r="BC9" s="312"/>
      <c r="BD9" s="313"/>
      <c r="BE9" s="311"/>
      <c r="BF9" s="312"/>
      <c r="BG9" s="312"/>
      <c r="BH9" s="313"/>
      <c r="BI9" s="311"/>
      <c r="BJ9" s="312"/>
      <c r="BK9" s="312"/>
      <c r="BL9" s="313"/>
      <c r="BM9" s="314"/>
      <c r="BN9" s="312"/>
      <c r="BO9" s="312"/>
      <c r="BP9" s="313"/>
      <c r="BQ9" s="311"/>
      <c r="BR9" s="312"/>
      <c r="BS9" s="312"/>
      <c r="BT9" s="313"/>
      <c r="BU9" s="311"/>
      <c r="BV9" s="312"/>
      <c r="BW9" s="312"/>
      <c r="BX9" s="313"/>
      <c r="BY9" s="311"/>
      <c r="BZ9" s="312"/>
      <c r="CA9" s="312"/>
      <c r="CB9" s="313"/>
      <c r="CC9" s="311"/>
      <c r="CD9" s="312"/>
      <c r="CE9" s="312"/>
      <c r="CF9" s="313"/>
      <c r="CG9" s="311"/>
      <c r="CH9" s="312"/>
      <c r="CI9" s="312"/>
      <c r="CJ9" s="313"/>
      <c r="CK9" s="311"/>
      <c r="CL9" s="312"/>
      <c r="CM9" s="312"/>
      <c r="CN9" s="313"/>
      <c r="CO9" s="311"/>
      <c r="CP9" s="312"/>
      <c r="CQ9" s="312"/>
      <c r="CR9" s="313"/>
      <c r="CS9" s="311"/>
      <c r="CT9" s="312"/>
      <c r="CU9" s="312"/>
      <c r="CV9" s="313"/>
      <c r="CW9" s="311"/>
      <c r="CX9" s="312"/>
      <c r="CY9" s="312"/>
      <c r="CZ9" s="313"/>
      <c r="DA9" s="311"/>
      <c r="DB9" s="312"/>
      <c r="DC9" s="312"/>
      <c r="DD9" s="313"/>
      <c r="DE9" s="311"/>
      <c r="DF9" s="312"/>
      <c r="DG9" s="312"/>
      <c r="DH9" s="313"/>
      <c r="DI9" s="314"/>
      <c r="DJ9" s="312"/>
      <c r="DK9" s="312"/>
      <c r="DL9" s="313"/>
    </row>
    <row r="10" spans="1:116" ht="93" x14ac:dyDescent="0.25">
      <c r="A10" s="320"/>
      <c r="B10" s="321"/>
      <c r="C10" s="317" t="s">
        <v>440</v>
      </c>
      <c r="D10" s="301"/>
      <c r="E10" s="301"/>
      <c r="F10" s="302">
        <v>46305</v>
      </c>
      <c r="G10" s="302">
        <v>46311</v>
      </c>
      <c r="H10" s="303"/>
      <c r="I10" s="311"/>
      <c r="J10" s="305"/>
      <c r="K10" s="312"/>
      <c r="L10" s="313"/>
      <c r="M10" s="311"/>
      <c r="N10" s="312"/>
      <c r="O10" s="312"/>
      <c r="P10" s="313"/>
      <c r="Q10" s="314"/>
      <c r="R10" s="312"/>
      <c r="S10" s="312"/>
      <c r="T10" s="319"/>
      <c r="U10" s="311"/>
      <c r="V10" s="312"/>
      <c r="W10" s="312"/>
      <c r="X10" s="313"/>
      <c r="Y10" s="311"/>
      <c r="Z10" s="312"/>
      <c r="AA10" s="312"/>
      <c r="AB10" s="313"/>
      <c r="AC10" s="311"/>
      <c r="AD10" s="312"/>
      <c r="AE10" s="312"/>
      <c r="AF10" s="313"/>
      <c r="AG10" s="311"/>
      <c r="AH10" s="312"/>
      <c r="AI10" s="312"/>
      <c r="AJ10" s="313"/>
      <c r="AK10" s="311"/>
      <c r="AL10" s="312"/>
      <c r="AM10" s="312"/>
      <c r="AN10" s="313"/>
      <c r="AO10" s="311"/>
      <c r="AP10" s="312"/>
      <c r="AQ10" s="312"/>
      <c r="AR10" s="313"/>
      <c r="AS10" s="311"/>
      <c r="AT10" s="312"/>
      <c r="AU10" s="312"/>
      <c r="AV10" s="313"/>
      <c r="AW10" s="311"/>
      <c r="AX10" s="312"/>
      <c r="AY10" s="312"/>
      <c r="AZ10" s="313"/>
      <c r="BA10" s="311"/>
      <c r="BB10" s="312"/>
      <c r="BC10" s="312"/>
      <c r="BD10" s="313"/>
      <c r="BE10" s="311"/>
      <c r="BF10" s="312"/>
      <c r="BG10" s="312"/>
      <c r="BH10" s="313"/>
      <c r="BI10" s="311"/>
      <c r="BJ10" s="312"/>
      <c r="BK10" s="312"/>
      <c r="BL10" s="313"/>
      <c r="BM10" s="314"/>
      <c r="BN10" s="312"/>
      <c r="BO10" s="312"/>
      <c r="BP10" s="313"/>
      <c r="BQ10" s="311"/>
      <c r="BR10" s="312"/>
      <c r="BS10" s="312"/>
      <c r="BT10" s="313"/>
      <c r="BU10" s="311"/>
      <c r="BV10" s="312"/>
      <c r="BW10" s="312"/>
      <c r="BX10" s="313"/>
      <c r="BY10" s="311"/>
      <c r="BZ10" s="312"/>
      <c r="CA10" s="312"/>
      <c r="CB10" s="313"/>
      <c r="CC10" s="311"/>
      <c r="CD10" s="312"/>
      <c r="CE10" s="312"/>
      <c r="CF10" s="313"/>
      <c r="CG10" s="311"/>
      <c r="CH10" s="312"/>
      <c r="CI10" s="312"/>
      <c r="CJ10" s="313"/>
      <c r="CK10" s="311"/>
      <c r="CL10" s="312"/>
      <c r="CM10" s="312"/>
      <c r="CN10" s="313"/>
      <c r="CO10" s="311"/>
      <c r="CP10" s="312"/>
      <c r="CQ10" s="312"/>
      <c r="CR10" s="313"/>
      <c r="CS10" s="311"/>
      <c r="CT10" s="312"/>
      <c r="CU10" s="312"/>
      <c r="CV10" s="313"/>
      <c r="CW10" s="311"/>
      <c r="CX10" s="312"/>
      <c r="CY10" s="312"/>
      <c r="CZ10" s="313"/>
      <c r="DA10" s="311"/>
      <c r="DB10" s="312"/>
      <c r="DC10" s="312"/>
      <c r="DD10" s="313"/>
      <c r="DE10" s="311"/>
      <c r="DF10" s="312"/>
      <c r="DG10" s="312"/>
      <c r="DH10" s="313"/>
      <c r="DI10" s="314"/>
      <c r="DJ10" s="312"/>
      <c r="DK10" s="312"/>
      <c r="DL10" s="313"/>
    </row>
    <row r="11" spans="1:116" ht="46.5" x14ac:dyDescent="0.25">
      <c r="A11" s="322"/>
      <c r="B11" s="322"/>
      <c r="C11" s="323" t="s">
        <v>441</v>
      </c>
      <c r="D11" s="301"/>
      <c r="E11" s="301"/>
      <c r="F11" s="302">
        <v>46305</v>
      </c>
      <c r="G11" s="302">
        <v>46325</v>
      </c>
      <c r="H11" s="303"/>
      <c r="I11" s="312"/>
      <c r="J11" s="305"/>
      <c r="K11" s="305"/>
      <c r="L11" s="306"/>
      <c r="M11" s="311"/>
      <c r="N11" s="312"/>
      <c r="O11" s="312"/>
      <c r="P11" s="313"/>
      <c r="Q11" s="314"/>
      <c r="R11" s="312"/>
      <c r="S11" s="312"/>
      <c r="T11" s="319"/>
      <c r="U11" s="311"/>
      <c r="V11" s="312"/>
      <c r="W11" s="312"/>
      <c r="X11" s="313"/>
      <c r="Y11" s="311"/>
      <c r="Z11" s="312"/>
      <c r="AA11" s="312"/>
      <c r="AB11" s="313"/>
      <c r="AC11" s="311"/>
      <c r="AD11" s="312"/>
      <c r="AE11" s="312"/>
      <c r="AF11" s="313"/>
      <c r="AG11" s="311"/>
      <c r="AH11" s="312"/>
      <c r="AI11" s="312"/>
      <c r="AJ11" s="313"/>
      <c r="AK11" s="311"/>
      <c r="AL11" s="312"/>
      <c r="AM11" s="312"/>
      <c r="AN11" s="313"/>
      <c r="AO11" s="311"/>
      <c r="AP11" s="312"/>
      <c r="AQ11" s="312"/>
      <c r="AR11" s="313"/>
      <c r="AS11" s="311"/>
      <c r="AT11" s="312"/>
      <c r="AU11" s="312"/>
      <c r="AV11" s="313"/>
      <c r="AW11" s="311"/>
      <c r="AX11" s="312"/>
      <c r="AY11" s="312"/>
      <c r="AZ11" s="313"/>
      <c r="BA11" s="311"/>
      <c r="BB11" s="312"/>
      <c r="BC11" s="312"/>
      <c r="BD11" s="313"/>
      <c r="BE11" s="311"/>
      <c r="BF11" s="312"/>
      <c r="BG11" s="312"/>
      <c r="BH11" s="313"/>
      <c r="BI11" s="311"/>
      <c r="BJ11" s="312"/>
      <c r="BK11" s="312"/>
      <c r="BL11" s="313"/>
      <c r="BM11" s="314"/>
      <c r="BN11" s="312"/>
      <c r="BO11" s="312"/>
      <c r="BP11" s="313"/>
      <c r="BQ11" s="311"/>
      <c r="BR11" s="312"/>
      <c r="BS11" s="312"/>
      <c r="BT11" s="313"/>
      <c r="BU11" s="311"/>
      <c r="BV11" s="312"/>
      <c r="BW11" s="312"/>
      <c r="BX11" s="313"/>
      <c r="BY11" s="311"/>
      <c r="BZ11" s="312"/>
      <c r="CA11" s="312"/>
      <c r="CB11" s="313"/>
      <c r="CC11" s="311"/>
      <c r="CD11" s="312"/>
      <c r="CE11" s="312"/>
      <c r="CF11" s="313"/>
      <c r="CG11" s="311"/>
      <c r="CH11" s="312"/>
      <c r="CI11" s="312"/>
      <c r="CJ11" s="313"/>
      <c r="CK11" s="311"/>
      <c r="CL11" s="312"/>
      <c r="CM11" s="312"/>
      <c r="CN11" s="313"/>
      <c r="CO11" s="311"/>
      <c r="CP11" s="312"/>
      <c r="CQ11" s="312"/>
      <c r="CR11" s="313"/>
      <c r="CS11" s="311"/>
      <c r="CT11" s="312"/>
      <c r="CU11" s="312"/>
      <c r="CV11" s="313"/>
      <c r="CW11" s="311"/>
      <c r="CX11" s="312"/>
      <c r="CY11" s="312"/>
      <c r="CZ11" s="313"/>
      <c r="DA11" s="311"/>
      <c r="DB11" s="312"/>
      <c r="DC11" s="312"/>
      <c r="DD11" s="313"/>
      <c r="DE11" s="311"/>
      <c r="DF11" s="312"/>
      <c r="DG11" s="312"/>
      <c r="DH11" s="313"/>
      <c r="DI11" s="314"/>
      <c r="DJ11" s="312"/>
      <c r="DK11" s="312"/>
      <c r="DL11" s="313"/>
    </row>
    <row r="12" spans="1:116" ht="46.9" customHeight="1" x14ac:dyDescent="0.25">
      <c r="A12" s="324"/>
      <c r="B12" s="325"/>
      <c r="C12" s="317" t="s">
        <v>442</v>
      </c>
      <c r="D12" s="301"/>
      <c r="E12" s="326"/>
      <c r="F12" s="302">
        <v>46305</v>
      </c>
      <c r="G12" s="302">
        <v>46315</v>
      </c>
      <c r="H12" s="303"/>
      <c r="I12" s="312"/>
      <c r="J12" s="305"/>
      <c r="K12" s="305"/>
      <c r="L12" s="313"/>
      <c r="M12" s="311"/>
      <c r="N12" s="312"/>
      <c r="O12" s="312"/>
      <c r="P12" s="313"/>
      <c r="Q12" s="314"/>
      <c r="R12" s="312"/>
      <c r="S12" s="312"/>
      <c r="T12" s="319"/>
      <c r="U12" s="311"/>
      <c r="V12" s="312"/>
      <c r="W12" s="312"/>
      <c r="X12" s="313"/>
      <c r="Y12" s="311"/>
      <c r="Z12" s="312"/>
      <c r="AA12" s="312"/>
      <c r="AB12" s="313"/>
      <c r="AC12" s="311"/>
      <c r="AD12" s="312"/>
      <c r="AE12" s="312"/>
      <c r="AF12" s="313"/>
      <c r="AG12" s="311"/>
      <c r="AH12" s="312"/>
      <c r="AI12" s="312"/>
      <c r="AJ12" s="313"/>
      <c r="AK12" s="311"/>
      <c r="AL12" s="312"/>
      <c r="AM12" s="312"/>
      <c r="AN12" s="313"/>
      <c r="AO12" s="311"/>
      <c r="AP12" s="312"/>
      <c r="AQ12" s="312"/>
      <c r="AR12" s="313"/>
      <c r="AS12" s="311"/>
      <c r="AT12" s="312"/>
      <c r="AU12" s="312"/>
      <c r="AV12" s="313"/>
      <c r="AW12" s="311"/>
      <c r="AX12" s="312"/>
      <c r="AY12" s="312"/>
      <c r="AZ12" s="313"/>
      <c r="BA12" s="311"/>
      <c r="BB12" s="312"/>
      <c r="BC12" s="312"/>
      <c r="BD12" s="313"/>
      <c r="BE12" s="311"/>
      <c r="BF12" s="312"/>
      <c r="BG12" s="312"/>
      <c r="BH12" s="313"/>
      <c r="BI12" s="311"/>
      <c r="BJ12" s="312"/>
      <c r="BK12" s="312"/>
      <c r="BL12" s="313"/>
      <c r="BM12" s="314"/>
      <c r="BN12" s="312"/>
      <c r="BO12" s="312"/>
      <c r="BP12" s="313"/>
      <c r="BQ12" s="311"/>
      <c r="BR12" s="312"/>
      <c r="BS12" s="312"/>
      <c r="BT12" s="313"/>
      <c r="BU12" s="311"/>
      <c r="BV12" s="312"/>
      <c r="BW12" s="312"/>
      <c r="BX12" s="313"/>
      <c r="BY12" s="311"/>
      <c r="BZ12" s="312"/>
      <c r="CA12" s="312"/>
      <c r="CB12" s="313"/>
      <c r="CC12" s="311"/>
      <c r="CD12" s="312"/>
      <c r="CE12" s="312"/>
      <c r="CF12" s="313"/>
      <c r="CG12" s="311"/>
      <c r="CH12" s="312"/>
      <c r="CI12" s="312"/>
      <c r="CJ12" s="313"/>
      <c r="CK12" s="311"/>
      <c r="CL12" s="312"/>
      <c r="CM12" s="312"/>
      <c r="CN12" s="313"/>
      <c r="CO12" s="311"/>
      <c r="CP12" s="312"/>
      <c r="CQ12" s="312"/>
      <c r="CR12" s="313"/>
      <c r="CS12" s="311"/>
      <c r="CT12" s="312"/>
      <c r="CU12" s="312"/>
      <c r="CV12" s="313"/>
      <c r="CW12" s="311"/>
      <c r="CX12" s="312"/>
      <c r="CY12" s="312"/>
      <c r="CZ12" s="313"/>
      <c r="DA12" s="311"/>
      <c r="DB12" s="312"/>
      <c r="DC12" s="312"/>
      <c r="DD12" s="313"/>
      <c r="DE12" s="311"/>
      <c r="DF12" s="312"/>
      <c r="DG12" s="312"/>
      <c r="DH12" s="313"/>
      <c r="DI12" s="314"/>
      <c r="DJ12" s="312"/>
      <c r="DK12" s="312"/>
      <c r="DL12" s="313"/>
    </row>
    <row r="13" spans="1:116" ht="46.9" customHeight="1" x14ac:dyDescent="0.25">
      <c r="A13" s="315" t="s">
        <v>234</v>
      </c>
      <c r="B13" s="316" t="s">
        <v>38</v>
      </c>
      <c r="C13" s="317" t="s">
        <v>204</v>
      </c>
      <c r="D13" s="327"/>
      <c r="E13" s="328"/>
      <c r="F13" s="302">
        <v>46305</v>
      </c>
      <c r="G13" s="302">
        <v>46310</v>
      </c>
      <c r="H13" s="303"/>
      <c r="I13" s="312"/>
      <c r="J13" s="305"/>
      <c r="K13" s="312"/>
      <c r="L13" s="312"/>
      <c r="M13" s="312"/>
      <c r="N13" s="312"/>
      <c r="O13" s="312"/>
      <c r="P13" s="312"/>
      <c r="Q13" s="312"/>
      <c r="R13" s="312"/>
      <c r="S13" s="312"/>
      <c r="T13" s="319"/>
      <c r="U13" s="311"/>
      <c r="V13" s="312"/>
      <c r="W13" s="312"/>
      <c r="X13" s="312"/>
      <c r="Y13" s="312"/>
      <c r="Z13" s="312"/>
      <c r="AA13" s="312"/>
      <c r="AB13" s="312"/>
      <c r="AC13" s="312"/>
      <c r="AD13" s="312"/>
      <c r="AE13" s="312"/>
      <c r="AF13" s="312"/>
      <c r="AG13" s="312"/>
      <c r="AH13" s="312"/>
      <c r="AI13" s="312"/>
      <c r="AJ13" s="312"/>
      <c r="AK13" s="312"/>
      <c r="AL13" s="312"/>
      <c r="AM13" s="312"/>
      <c r="AN13" s="312"/>
      <c r="AO13" s="312"/>
      <c r="AP13" s="312"/>
      <c r="AQ13" s="312"/>
      <c r="AR13" s="312"/>
      <c r="AS13" s="312"/>
      <c r="AT13" s="312"/>
      <c r="AU13" s="312"/>
      <c r="AV13" s="312"/>
      <c r="AW13" s="312"/>
      <c r="AX13" s="312"/>
      <c r="AY13" s="312"/>
      <c r="AZ13" s="312"/>
      <c r="BA13" s="312"/>
      <c r="BB13" s="312"/>
      <c r="BC13" s="312"/>
      <c r="BD13" s="312"/>
      <c r="BE13" s="312"/>
      <c r="BF13" s="312"/>
      <c r="BG13" s="312"/>
      <c r="BH13" s="312"/>
      <c r="BI13" s="312"/>
      <c r="BJ13" s="312"/>
      <c r="BK13" s="312"/>
      <c r="BL13" s="312"/>
      <c r="BM13" s="312"/>
      <c r="BN13" s="312"/>
      <c r="BO13" s="312"/>
      <c r="BP13" s="313"/>
      <c r="BQ13" s="311"/>
      <c r="BR13" s="312"/>
      <c r="BS13" s="312"/>
      <c r="BT13" s="312"/>
      <c r="BU13" s="312"/>
      <c r="BV13" s="312"/>
      <c r="BW13" s="312"/>
      <c r="BX13" s="312"/>
      <c r="BY13" s="312"/>
      <c r="BZ13" s="312"/>
      <c r="CA13" s="312"/>
      <c r="CB13" s="312"/>
      <c r="CC13" s="312"/>
      <c r="CD13" s="312"/>
      <c r="CE13" s="312"/>
      <c r="CF13" s="312"/>
      <c r="CG13" s="312"/>
      <c r="CH13" s="312"/>
      <c r="CI13" s="312"/>
      <c r="CJ13" s="312"/>
      <c r="CK13" s="312"/>
      <c r="CL13" s="312"/>
      <c r="CM13" s="312"/>
      <c r="CN13" s="312"/>
      <c r="CO13" s="312"/>
      <c r="CP13" s="312"/>
      <c r="CQ13" s="312"/>
      <c r="CR13" s="312"/>
      <c r="CS13" s="312"/>
      <c r="CT13" s="312"/>
      <c r="CU13" s="312"/>
      <c r="CV13" s="312"/>
      <c r="CW13" s="312"/>
      <c r="CX13" s="312"/>
      <c r="CY13" s="312"/>
      <c r="CZ13" s="312"/>
      <c r="DA13" s="312"/>
      <c r="DB13" s="312"/>
      <c r="DC13" s="312"/>
      <c r="DD13" s="312"/>
      <c r="DE13" s="312"/>
      <c r="DF13" s="312"/>
      <c r="DG13" s="312"/>
      <c r="DH13" s="312"/>
      <c r="DI13" s="312"/>
      <c r="DJ13" s="312"/>
      <c r="DK13" s="312"/>
      <c r="DL13" s="313"/>
    </row>
    <row r="14" spans="1:116" ht="46.9" customHeight="1" x14ac:dyDescent="0.25">
      <c r="A14" s="315" t="s">
        <v>235</v>
      </c>
      <c r="B14" s="316" t="s">
        <v>205</v>
      </c>
      <c r="C14" s="329" t="s">
        <v>206</v>
      </c>
      <c r="D14" s="330"/>
      <c r="E14" s="331"/>
      <c r="F14" s="332">
        <v>46305</v>
      </c>
      <c r="G14" s="332">
        <v>46325</v>
      </c>
      <c r="H14" s="303"/>
      <c r="I14" s="312"/>
      <c r="J14" s="333"/>
      <c r="K14" s="333"/>
      <c r="L14" s="333"/>
      <c r="M14" s="312"/>
      <c r="N14" s="312"/>
      <c r="O14" s="312"/>
      <c r="P14" s="312"/>
      <c r="Q14" s="312"/>
      <c r="R14" s="312"/>
      <c r="S14" s="312"/>
      <c r="T14" s="319"/>
      <c r="U14" s="311"/>
      <c r="V14" s="312"/>
      <c r="W14" s="312"/>
      <c r="X14" s="312"/>
      <c r="Y14" s="312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2"/>
      <c r="AK14" s="312"/>
      <c r="AL14" s="312"/>
      <c r="AM14" s="312"/>
      <c r="AN14" s="312"/>
      <c r="AO14" s="312"/>
      <c r="AP14" s="312"/>
      <c r="AQ14" s="312"/>
      <c r="AR14" s="312"/>
      <c r="AS14" s="312"/>
      <c r="AT14" s="312"/>
      <c r="AU14" s="312"/>
      <c r="AV14" s="312"/>
      <c r="AW14" s="312"/>
      <c r="AX14" s="312"/>
      <c r="AY14" s="312"/>
      <c r="AZ14" s="312"/>
      <c r="BA14" s="312"/>
      <c r="BB14" s="312"/>
      <c r="BC14" s="312"/>
      <c r="BD14" s="312"/>
      <c r="BE14" s="312"/>
      <c r="BF14" s="312"/>
      <c r="BG14" s="312"/>
      <c r="BH14" s="312"/>
      <c r="BI14" s="312"/>
      <c r="BJ14" s="312"/>
      <c r="BK14" s="312"/>
      <c r="BL14" s="312"/>
      <c r="BM14" s="312"/>
      <c r="BN14" s="312"/>
      <c r="BO14" s="312"/>
      <c r="BP14" s="313"/>
      <c r="BQ14" s="311"/>
      <c r="BR14" s="312"/>
      <c r="BS14" s="312"/>
      <c r="BT14" s="312"/>
      <c r="BU14" s="312"/>
      <c r="BV14" s="312"/>
      <c r="BW14" s="312"/>
      <c r="BX14" s="312"/>
      <c r="BY14" s="312"/>
      <c r="BZ14" s="312"/>
      <c r="CA14" s="312"/>
      <c r="CB14" s="312"/>
      <c r="CC14" s="312"/>
      <c r="CD14" s="312"/>
      <c r="CE14" s="312"/>
      <c r="CF14" s="312"/>
      <c r="CG14" s="312"/>
      <c r="CH14" s="312"/>
      <c r="CI14" s="312"/>
      <c r="CJ14" s="312"/>
      <c r="CK14" s="312"/>
      <c r="CL14" s="312"/>
      <c r="CM14" s="312"/>
      <c r="CN14" s="312"/>
      <c r="CO14" s="312"/>
      <c r="CP14" s="312"/>
      <c r="CQ14" s="312"/>
      <c r="CR14" s="312"/>
      <c r="CS14" s="312"/>
      <c r="CT14" s="312"/>
      <c r="CU14" s="312"/>
      <c r="CV14" s="312"/>
      <c r="CW14" s="312"/>
      <c r="CX14" s="312"/>
      <c r="CY14" s="312"/>
      <c r="CZ14" s="312"/>
      <c r="DA14" s="312"/>
      <c r="DB14" s="312"/>
      <c r="DC14" s="312"/>
      <c r="DD14" s="312"/>
      <c r="DE14" s="312"/>
      <c r="DF14" s="312"/>
      <c r="DG14" s="312"/>
      <c r="DH14" s="312"/>
      <c r="DI14" s="312"/>
      <c r="DJ14" s="312"/>
      <c r="DK14" s="312"/>
      <c r="DL14" s="313"/>
    </row>
    <row r="15" spans="1:116" ht="33" customHeight="1" x14ac:dyDescent="0.25">
      <c r="A15" s="334" t="s">
        <v>12</v>
      </c>
      <c r="B15" s="308" t="s">
        <v>443</v>
      </c>
      <c r="C15" s="335" t="s">
        <v>444</v>
      </c>
      <c r="D15" s="336">
        <v>1</v>
      </c>
      <c r="E15" s="337" t="s">
        <v>445</v>
      </c>
      <c r="F15" s="338">
        <v>46305</v>
      </c>
      <c r="G15" s="332">
        <v>46476</v>
      </c>
      <c r="H15" s="339"/>
      <c r="I15" s="318"/>
      <c r="J15" s="333"/>
      <c r="K15" s="333"/>
      <c r="L15" s="333"/>
      <c r="M15" s="333"/>
      <c r="N15" s="333"/>
      <c r="O15" s="333"/>
      <c r="P15" s="333"/>
      <c r="Q15" s="333"/>
      <c r="R15" s="333"/>
      <c r="S15" s="333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0"/>
      <c r="AG15" s="312"/>
      <c r="AH15" s="312"/>
      <c r="AI15" s="312"/>
      <c r="AJ15" s="312"/>
      <c r="AK15" s="312"/>
      <c r="AL15" s="312"/>
      <c r="AM15" s="312"/>
      <c r="AN15" s="312"/>
      <c r="AO15" s="312"/>
      <c r="AP15" s="312"/>
      <c r="AQ15" s="312"/>
      <c r="AR15" s="312"/>
      <c r="AS15" s="312"/>
      <c r="AT15" s="312"/>
      <c r="AU15" s="312"/>
      <c r="AV15" s="312"/>
      <c r="AW15" s="312"/>
      <c r="AX15" s="312"/>
      <c r="AY15" s="312"/>
      <c r="AZ15" s="312"/>
      <c r="BA15" s="312"/>
      <c r="BB15" s="312"/>
      <c r="BC15" s="312"/>
      <c r="BD15" s="312"/>
      <c r="BE15" s="312"/>
      <c r="BF15" s="312"/>
      <c r="BG15" s="312"/>
      <c r="BH15" s="312"/>
      <c r="BI15" s="312"/>
      <c r="BJ15" s="312"/>
      <c r="BK15" s="312"/>
      <c r="BL15" s="312"/>
      <c r="BM15" s="312"/>
      <c r="BN15" s="312"/>
      <c r="BO15" s="312"/>
      <c r="BP15" s="313"/>
      <c r="BQ15" s="311"/>
      <c r="BR15" s="312"/>
      <c r="BS15" s="312"/>
      <c r="BT15" s="312"/>
      <c r="BU15" s="312"/>
      <c r="BV15" s="312"/>
      <c r="BW15" s="312"/>
      <c r="BX15" s="312"/>
      <c r="BY15" s="312"/>
      <c r="BZ15" s="312"/>
      <c r="CA15" s="312"/>
      <c r="CB15" s="312"/>
      <c r="CC15" s="312"/>
      <c r="CD15" s="312"/>
      <c r="CE15" s="312"/>
      <c r="CF15" s="312"/>
      <c r="CG15" s="312"/>
      <c r="CH15" s="312"/>
      <c r="CI15" s="312"/>
      <c r="CJ15" s="312"/>
      <c r="CK15" s="312"/>
      <c r="CL15" s="312"/>
      <c r="CM15" s="312"/>
      <c r="CN15" s="312"/>
      <c r="CO15" s="312"/>
      <c r="CP15" s="312"/>
      <c r="CQ15" s="312"/>
      <c r="CR15" s="312"/>
      <c r="CS15" s="312"/>
      <c r="CT15" s="312"/>
      <c r="CU15" s="312"/>
      <c r="CV15" s="312"/>
      <c r="CW15" s="312"/>
      <c r="CX15" s="312"/>
      <c r="CY15" s="312"/>
      <c r="CZ15" s="312"/>
      <c r="DA15" s="312"/>
      <c r="DB15" s="312"/>
      <c r="DC15" s="312"/>
      <c r="DD15" s="312"/>
      <c r="DE15" s="312"/>
      <c r="DF15" s="312"/>
      <c r="DG15" s="312"/>
      <c r="DH15" s="312"/>
      <c r="DI15" s="312"/>
      <c r="DJ15" s="312"/>
      <c r="DK15" s="312"/>
      <c r="DL15" s="313"/>
    </row>
    <row r="16" spans="1:116" ht="33" customHeight="1" x14ac:dyDescent="0.25">
      <c r="A16" s="334" t="s">
        <v>16</v>
      </c>
      <c r="B16" s="308" t="s">
        <v>37</v>
      </c>
      <c r="C16" s="335" t="s">
        <v>446</v>
      </c>
      <c r="D16" s="336">
        <v>1</v>
      </c>
      <c r="E16" s="336" t="s">
        <v>445</v>
      </c>
      <c r="F16" s="332">
        <v>46305</v>
      </c>
      <c r="G16" s="332">
        <v>46315</v>
      </c>
      <c r="H16" s="339"/>
      <c r="I16" s="341"/>
      <c r="J16" s="333"/>
      <c r="K16" s="333"/>
      <c r="L16" s="342"/>
      <c r="M16" s="341"/>
      <c r="N16" s="318"/>
      <c r="O16" s="318"/>
      <c r="P16" s="342"/>
      <c r="Q16" s="343"/>
      <c r="R16" s="318"/>
      <c r="S16" s="318"/>
      <c r="T16" s="344"/>
      <c r="U16" s="341"/>
      <c r="V16" s="318"/>
      <c r="W16" s="318"/>
      <c r="X16" s="342"/>
      <c r="Y16" s="341"/>
      <c r="Z16" s="318"/>
      <c r="AA16" s="318"/>
      <c r="AB16" s="342"/>
      <c r="AC16" s="341"/>
      <c r="AD16" s="318"/>
      <c r="AE16" s="318"/>
      <c r="AF16" s="342"/>
      <c r="AG16" s="341"/>
      <c r="AH16" s="318"/>
      <c r="AI16" s="318"/>
      <c r="AJ16" s="342"/>
      <c r="AK16" s="341"/>
      <c r="AL16" s="318"/>
      <c r="AM16" s="318"/>
      <c r="AN16" s="342"/>
      <c r="AO16" s="341"/>
      <c r="AP16" s="318"/>
      <c r="AQ16" s="318"/>
      <c r="AR16" s="342"/>
      <c r="AS16" s="341"/>
      <c r="AT16" s="318"/>
      <c r="AU16" s="318"/>
      <c r="AV16" s="342"/>
      <c r="AW16" s="341"/>
      <c r="AX16" s="318"/>
      <c r="AY16" s="318"/>
      <c r="AZ16" s="342"/>
      <c r="BA16" s="341"/>
      <c r="BB16" s="318"/>
      <c r="BC16" s="318"/>
      <c r="BD16" s="342"/>
      <c r="BE16" s="341"/>
      <c r="BF16" s="318"/>
      <c r="BG16" s="318"/>
      <c r="BH16" s="342"/>
      <c r="BI16" s="341"/>
      <c r="BJ16" s="318"/>
      <c r="BK16" s="318"/>
      <c r="BL16" s="313"/>
      <c r="BM16" s="343"/>
      <c r="BN16" s="318"/>
      <c r="BO16" s="318"/>
      <c r="BP16" s="342"/>
      <c r="BQ16" s="311"/>
      <c r="BR16" s="312"/>
      <c r="BS16" s="312"/>
      <c r="BT16" s="313"/>
      <c r="BU16" s="311"/>
      <c r="BV16" s="312"/>
      <c r="BW16" s="312"/>
      <c r="BX16" s="313"/>
      <c r="BY16" s="311"/>
      <c r="BZ16" s="312"/>
      <c r="CA16" s="312"/>
      <c r="CB16" s="313"/>
      <c r="CC16" s="311"/>
      <c r="CD16" s="312"/>
      <c r="CE16" s="312"/>
      <c r="CF16" s="313"/>
      <c r="CG16" s="311"/>
      <c r="CH16" s="312"/>
      <c r="CI16" s="312"/>
      <c r="CJ16" s="313"/>
      <c r="CK16" s="311"/>
      <c r="CL16" s="312"/>
      <c r="CM16" s="312"/>
      <c r="CN16" s="313"/>
      <c r="CO16" s="311"/>
      <c r="CP16" s="312"/>
      <c r="CQ16" s="312"/>
      <c r="CR16" s="313"/>
      <c r="CS16" s="311"/>
      <c r="CT16" s="312"/>
      <c r="CU16" s="312"/>
      <c r="CV16" s="313"/>
      <c r="CW16" s="311"/>
      <c r="CX16" s="312"/>
      <c r="CY16" s="312"/>
      <c r="CZ16" s="313"/>
      <c r="DA16" s="311"/>
      <c r="DB16" s="312"/>
      <c r="DC16" s="312"/>
      <c r="DD16" s="313"/>
      <c r="DE16" s="311"/>
      <c r="DF16" s="312"/>
      <c r="DG16" s="312"/>
      <c r="DH16" s="313"/>
      <c r="DI16" s="314"/>
      <c r="DJ16" s="312"/>
      <c r="DK16" s="312"/>
      <c r="DL16" s="313"/>
    </row>
    <row r="17" spans="1:116" ht="88.9" customHeight="1" x14ac:dyDescent="0.25">
      <c r="A17" s="334"/>
      <c r="B17" s="345"/>
      <c r="C17" s="346" t="s">
        <v>447</v>
      </c>
      <c r="D17" s="347">
        <v>1</v>
      </c>
      <c r="E17" s="347" t="s">
        <v>445</v>
      </c>
      <c r="F17" s="348"/>
      <c r="G17" s="349"/>
      <c r="H17" s="339"/>
      <c r="I17" s="312"/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9"/>
      <c r="U17" s="311"/>
      <c r="V17" s="312"/>
      <c r="W17" s="312"/>
      <c r="X17" s="312"/>
      <c r="Y17" s="312"/>
      <c r="Z17" s="312"/>
      <c r="AA17" s="312"/>
      <c r="AB17" s="312"/>
      <c r="AC17" s="312"/>
      <c r="AD17" s="312"/>
      <c r="AE17" s="312"/>
      <c r="AF17" s="312"/>
      <c r="AG17" s="312"/>
      <c r="AH17" s="312"/>
      <c r="AI17" s="312"/>
      <c r="AJ17" s="312"/>
      <c r="AK17" s="312"/>
      <c r="AL17" s="312"/>
      <c r="AM17" s="312"/>
      <c r="AN17" s="312"/>
      <c r="AO17" s="312"/>
      <c r="AP17" s="312"/>
      <c r="AQ17" s="312"/>
      <c r="AR17" s="312"/>
      <c r="AS17" s="312"/>
      <c r="AT17" s="312"/>
      <c r="AU17" s="312"/>
      <c r="AV17" s="312"/>
      <c r="AW17" s="312"/>
      <c r="AX17" s="312"/>
      <c r="AY17" s="312"/>
      <c r="AZ17" s="312"/>
      <c r="BA17" s="312"/>
      <c r="BB17" s="312"/>
      <c r="BC17" s="312"/>
      <c r="BD17" s="312"/>
      <c r="BE17" s="312"/>
      <c r="BF17" s="312"/>
      <c r="BG17" s="312"/>
      <c r="BH17" s="312"/>
      <c r="BI17" s="312"/>
      <c r="BJ17" s="312"/>
      <c r="BK17" s="312"/>
      <c r="BL17" s="312"/>
      <c r="BM17" s="312"/>
      <c r="BN17" s="312"/>
      <c r="BO17" s="312"/>
      <c r="BP17" s="313"/>
      <c r="BQ17" s="311"/>
      <c r="BR17" s="312"/>
      <c r="BS17" s="312"/>
      <c r="BT17" s="312"/>
      <c r="BU17" s="312"/>
      <c r="BV17" s="312"/>
      <c r="BW17" s="312"/>
      <c r="BX17" s="312"/>
      <c r="BY17" s="312"/>
      <c r="BZ17" s="312"/>
      <c r="CA17" s="312"/>
      <c r="CB17" s="312"/>
      <c r="CC17" s="312"/>
      <c r="CD17" s="312"/>
      <c r="CE17" s="312"/>
      <c r="CF17" s="312"/>
      <c r="CG17" s="312"/>
      <c r="CH17" s="312"/>
      <c r="CI17" s="312"/>
      <c r="CJ17" s="312"/>
      <c r="CK17" s="312"/>
      <c r="CL17" s="312"/>
      <c r="CM17" s="312"/>
      <c r="CN17" s="312"/>
      <c r="CO17" s="312"/>
      <c r="CP17" s="312"/>
      <c r="CQ17" s="312"/>
      <c r="CR17" s="312"/>
      <c r="CS17" s="312"/>
      <c r="CT17" s="312"/>
      <c r="CU17" s="312"/>
      <c r="CV17" s="312"/>
      <c r="CW17" s="312"/>
      <c r="CX17" s="312"/>
      <c r="CY17" s="312"/>
      <c r="CZ17" s="312"/>
      <c r="DA17" s="312"/>
      <c r="DB17" s="312"/>
      <c r="DC17" s="312"/>
      <c r="DD17" s="312"/>
      <c r="DE17" s="312"/>
      <c r="DF17" s="312"/>
      <c r="DG17" s="312"/>
      <c r="DH17" s="312"/>
      <c r="DI17" s="312"/>
      <c r="DJ17" s="312"/>
      <c r="DK17" s="312"/>
      <c r="DL17" s="313"/>
    </row>
    <row r="18" spans="1:116" ht="32.1" customHeight="1" x14ac:dyDescent="0.25">
      <c r="A18" s="350" t="s">
        <v>18</v>
      </c>
      <c r="B18" s="299" t="s">
        <v>51</v>
      </c>
      <c r="C18" s="351" t="s">
        <v>119</v>
      </c>
      <c r="D18" s="352"/>
      <c r="E18" s="352"/>
      <c r="F18" s="353">
        <v>46327</v>
      </c>
      <c r="G18" s="354">
        <v>47058</v>
      </c>
      <c r="H18" s="339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9"/>
      <c r="U18" s="311"/>
      <c r="V18" s="312"/>
      <c r="W18" s="312"/>
      <c r="X18" s="312"/>
      <c r="Y18" s="312"/>
      <c r="Z18" s="312"/>
      <c r="AA18" s="312"/>
      <c r="AB18" s="312"/>
      <c r="AC18" s="312"/>
      <c r="AD18" s="312"/>
      <c r="AE18" s="312"/>
      <c r="AF18" s="312"/>
      <c r="AG18" s="312"/>
      <c r="AH18" s="312"/>
      <c r="AI18" s="312"/>
      <c r="AJ18" s="312"/>
      <c r="AK18" s="312"/>
      <c r="AL18" s="312"/>
      <c r="AM18" s="312"/>
      <c r="AN18" s="312"/>
      <c r="AO18" s="312"/>
      <c r="AP18" s="312"/>
      <c r="AQ18" s="312"/>
      <c r="AR18" s="312"/>
      <c r="AS18" s="312"/>
      <c r="AT18" s="312"/>
      <c r="AU18" s="312"/>
      <c r="AV18" s="312"/>
      <c r="AW18" s="312"/>
      <c r="AX18" s="312"/>
      <c r="AY18" s="312"/>
      <c r="AZ18" s="312"/>
      <c r="BA18" s="312"/>
      <c r="BB18" s="312"/>
      <c r="BC18" s="312"/>
      <c r="BD18" s="312"/>
      <c r="BE18" s="312"/>
      <c r="BF18" s="312"/>
      <c r="BG18" s="312"/>
      <c r="BH18" s="312"/>
      <c r="BI18" s="312"/>
      <c r="BJ18" s="312"/>
      <c r="BK18" s="312"/>
      <c r="BL18" s="312"/>
      <c r="BM18" s="312"/>
      <c r="BN18" s="312"/>
      <c r="BO18" s="312"/>
      <c r="BP18" s="313"/>
      <c r="BQ18" s="311"/>
      <c r="BR18" s="312"/>
      <c r="BS18" s="312"/>
      <c r="BT18" s="312"/>
      <c r="BU18" s="312"/>
      <c r="BV18" s="312"/>
      <c r="BW18" s="312"/>
      <c r="BX18" s="312"/>
      <c r="BY18" s="312"/>
      <c r="BZ18" s="312"/>
      <c r="CA18" s="312"/>
      <c r="CB18" s="312"/>
      <c r="CC18" s="312"/>
      <c r="CD18" s="312"/>
      <c r="CE18" s="312"/>
      <c r="CF18" s="312"/>
      <c r="CG18" s="312"/>
      <c r="CH18" s="312"/>
      <c r="CI18" s="312"/>
      <c r="CJ18" s="312"/>
      <c r="CK18" s="312"/>
      <c r="CL18" s="312"/>
      <c r="CM18" s="312"/>
      <c r="CN18" s="312"/>
      <c r="CO18" s="312"/>
      <c r="CP18" s="312"/>
      <c r="CQ18" s="312"/>
      <c r="CR18" s="312"/>
      <c r="CS18" s="312"/>
      <c r="CT18" s="312"/>
      <c r="CU18" s="312"/>
      <c r="CV18" s="312"/>
      <c r="CW18" s="312"/>
      <c r="CX18" s="312"/>
      <c r="CY18" s="312"/>
      <c r="CZ18" s="312"/>
      <c r="DA18" s="312"/>
      <c r="DB18" s="312"/>
      <c r="DC18" s="312"/>
      <c r="DD18" s="312"/>
      <c r="DE18" s="312"/>
      <c r="DF18" s="312"/>
      <c r="DG18" s="312"/>
      <c r="DH18" s="312"/>
      <c r="DI18" s="312"/>
      <c r="DJ18" s="312"/>
      <c r="DK18" s="312"/>
      <c r="DL18" s="313"/>
    </row>
    <row r="19" spans="1:116" ht="32.1" customHeight="1" x14ac:dyDescent="0.25">
      <c r="A19" s="350" t="s">
        <v>19</v>
      </c>
      <c r="B19" s="299" t="s">
        <v>171</v>
      </c>
      <c r="C19" s="355" t="s">
        <v>172</v>
      </c>
      <c r="D19" s="356">
        <v>1</v>
      </c>
      <c r="E19" s="356" t="s">
        <v>445</v>
      </c>
      <c r="F19" s="357">
        <v>46327</v>
      </c>
      <c r="G19" s="358">
        <v>46569</v>
      </c>
      <c r="H19" s="339"/>
      <c r="I19" s="312"/>
      <c r="J19" s="312"/>
      <c r="K19" s="312"/>
      <c r="L19" s="312"/>
      <c r="M19" s="283"/>
      <c r="N19" s="283"/>
      <c r="O19" s="283"/>
      <c r="P19" s="283"/>
      <c r="Q19" s="283"/>
      <c r="R19" s="283"/>
      <c r="S19" s="283"/>
      <c r="T19" s="359"/>
      <c r="U19" s="282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318"/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18"/>
      <c r="BG19" s="318"/>
      <c r="BH19" s="318"/>
      <c r="BI19" s="318"/>
      <c r="BJ19" s="318"/>
      <c r="BK19" s="318"/>
      <c r="BL19" s="318"/>
      <c r="BM19" s="318"/>
      <c r="BN19" s="318"/>
      <c r="BO19" s="318"/>
      <c r="BP19" s="342"/>
      <c r="BQ19" s="341"/>
      <c r="BR19" s="318"/>
      <c r="BS19" s="318"/>
      <c r="BT19" s="318"/>
      <c r="BU19" s="318"/>
      <c r="BV19" s="318"/>
      <c r="BW19" s="318"/>
      <c r="BX19" s="318"/>
      <c r="BY19" s="318"/>
      <c r="BZ19" s="318"/>
      <c r="CA19" s="318"/>
      <c r="CB19" s="318"/>
      <c r="CC19" s="318"/>
      <c r="CD19" s="318"/>
      <c r="CE19" s="318"/>
      <c r="CF19" s="318"/>
      <c r="CG19" s="318"/>
      <c r="CH19" s="318"/>
      <c r="CI19" s="318"/>
      <c r="CJ19" s="318"/>
      <c r="CK19" s="318"/>
      <c r="CL19" s="318"/>
      <c r="CM19" s="318"/>
      <c r="CN19" s="318"/>
      <c r="CO19" s="318"/>
      <c r="CP19" s="318"/>
      <c r="CQ19" s="318"/>
      <c r="CR19" s="318"/>
      <c r="CS19" s="318"/>
      <c r="CT19" s="318"/>
      <c r="CU19" s="318"/>
      <c r="CV19" s="318"/>
      <c r="CW19" s="318"/>
      <c r="CX19" s="318"/>
      <c r="CY19" s="318"/>
      <c r="CZ19" s="318"/>
      <c r="DA19" s="318"/>
      <c r="DB19" s="318"/>
      <c r="DC19" s="318"/>
      <c r="DD19" s="318"/>
      <c r="DE19" s="318"/>
      <c r="DF19" s="318"/>
      <c r="DG19" s="318"/>
      <c r="DH19" s="318"/>
      <c r="DI19" s="318"/>
      <c r="DJ19" s="318"/>
      <c r="DK19" s="318"/>
      <c r="DL19" s="342"/>
    </row>
    <row r="20" spans="1:116" ht="32.1" customHeight="1" x14ac:dyDescent="0.25">
      <c r="A20" s="350" t="s">
        <v>20</v>
      </c>
      <c r="B20" s="299" t="s">
        <v>173</v>
      </c>
      <c r="C20" s="355" t="s">
        <v>174</v>
      </c>
      <c r="D20" s="356">
        <v>1</v>
      </c>
      <c r="E20" s="356" t="s">
        <v>445</v>
      </c>
      <c r="F20" s="360">
        <v>46508</v>
      </c>
      <c r="G20" s="358">
        <v>46690</v>
      </c>
      <c r="H20" s="339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9"/>
      <c r="U20" s="341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318"/>
      <c r="AK20" s="283"/>
      <c r="AL20" s="283"/>
      <c r="AM20" s="283"/>
      <c r="AN20" s="283"/>
      <c r="AO20" s="283"/>
      <c r="AP20" s="283"/>
      <c r="AQ20" s="283"/>
      <c r="AR20" s="283"/>
      <c r="AS20" s="283"/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83"/>
      <c r="BG20" s="283"/>
      <c r="BH20" s="283"/>
      <c r="BI20" s="318"/>
      <c r="BJ20" s="318"/>
      <c r="BK20" s="318"/>
      <c r="BL20" s="318"/>
      <c r="BM20" s="318"/>
      <c r="BN20" s="318"/>
      <c r="BO20" s="318"/>
      <c r="BP20" s="342"/>
      <c r="BQ20" s="341"/>
      <c r="BR20" s="318"/>
      <c r="BS20" s="318"/>
      <c r="BT20" s="318"/>
      <c r="BU20" s="318"/>
      <c r="BV20" s="318"/>
      <c r="BW20" s="318"/>
      <c r="BX20" s="318"/>
      <c r="BY20" s="318"/>
      <c r="BZ20" s="318"/>
      <c r="CA20" s="318"/>
      <c r="CB20" s="318"/>
      <c r="CC20" s="318"/>
      <c r="CD20" s="318"/>
      <c r="CE20" s="318"/>
      <c r="CF20" s="318"/>
      <c r="CG20" s="318"/>
      <c r="CH20" s="318"/>
      <c r="CI20" s="318"/>
      <c r="CJ20" s="318"/>
      <c r="CK20" s="318"/>
      <c r="CL20" s="318"/>
      <c r="CM20" s="318"/>
      <c r="CN20" s="318"/>
      <c r="CO20" s="318"/>
      <c r="CP20" s="318"/>
      <c r="CQ20" s="318"/>
      <c r="CR20" s="318"/>
      <c r="CS20" s="318"/>
      <c r="CT20" s="318"/>
      <c r="CU20" s="318"/>
      <c r="CV20" s="318"/>
      <c r="CW20" s="318"/>
      <c r="CX20" s="318"/>
      <c r="CY20" s="318"/>
      <c r="CZ20" s="318"/>
      <c r="DA20" s="318"/>
      <c r="DB20" s="318"/>
      <c r="DC20" s="318"/>
      <c r="DD20" s="318"/>
      <c r="DE20" s="318"/>
      <c r="DF20" s="318"/>
      <c r="DG20" s="318"/>
      <c r="DH20" s="318"/>
      <c r="DI20" s="318"/>
      <c r="DJ20" s="318"/>
      <c r="DK20" s="318"/>
      <c r="DL20" s="342"/>
    </row>
    <row r="21" spans="1:116" ht="32.1" customHeight="1" x14ac:dyDescent="0.25">
      <c r="A21" s="350" t="s">
        <v>236</v>
      </c>
      <c r="B21" s="299" t="s">
        <v>175</v>
      </c>
      <c r="C21" s="361" t="s">
        <v>176</v>
      </c>
      <c r="D21" s="356">
        <v>1</v>
      </c>
      <c r="E21" s="356" t="s">
        <v>445</v>
      </c>
      <c r="F21" s="360">
        <v>46569</v>
      </c>
      <c r="G21" s="358">
        <v>46660</v>
      </c>
      <c r="H21" s="362">
        <v>45480</v>
      </c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9"/>
      <c r="U21" s="341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  <c r="AJ21" s="318"/>
      <c r="AK21" s="318"/>
      <c r="AL21" s="318"/>
      <c r="AM21" s="318"/>
      <c r="AN21" s="318"/>
      <c r="AO21" s="318"/>
      <c r="AP21" s="318"/>
      <c r="AQ21" s="318"/>
      <c r="AR21" s="318"/>
      <c r="AS21" s="283"/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318"/>
      <c r="BF21" s="318"/>
      <c r="BG21" s="318"/>
      <c r="BH21" s="318"/>
      <c r="BI21" s="318"/>
      <c r="BJ21" s="318"/>
      <c r="BK21" s="318"/>
      <c r="BL21" s="318"/>
      <c r="BM21" s="318"/>
      <c r="BN21" s="318"/>
      <c r="BO21" s="318"/>
      <c r="BP21" s="342"/>
      <c r="BQ21" s="341"/>
      <c r="BR21" s="318"/>
      <c r="BS21" s="318"/>
      <c r="BT21" s="318"/>
      <c r="BU21" s="318"/>
      <c r="BV21" s="318"/>
      <c r="BW21" s="318"/>
      <c r="BX21" s="318"/>
      <c r="BY21" s="318"/>
      <c r="BZ21" s="318"/>
      <c r="CA21" s="318"/>
      <c r="CB21" s="318"/>
      <c r="CC21" s="318"/>
      <c r="CD21" s="318"/>
      <c r="CE21" s="318"/>
      <c r="CF21" s="318"/>
      <c r="CG21" s="318"/>
      <c r="CH21" s="318"/>
      <c r="CI21" s="318"/>
      <c r="CJ21" s="318"/>
      <c r="CK21" s="318"/>
      <c r="CL21" s="318"/>
      <c r="CM21" s="318"/>
      <c r="CN21" s="318"/>
      <c r="CO21" s="318"/>
      <c r="CP21" s="318"/>
      <c r="CQ21" s="318"/>
      <c r="CR21" s="318"/>
      <c r="CS21" s="318"/>
      <c r="CT21" s="318"/>
      <c r="CU21" s="318"/>
      <c r="CV21" s="318"/>
      <c r="CW21" s="318"/>
      <c r="CX21" s="318"/>
      <c r="CY21" s="318"/>
      <c r="CZ21" s="318"/>
      <c r="DA21" s="318"/>
      <c r="DB21" s="318"/>
      <c r="DC21" s="318"/>
      <c r="DD21" s="318"/>
      <c r="DE21" s="318"/>
      <c r="DF21" s="318"/>
      <c r="DG21" s="318"/>
      <c r="DH21" s="318"/>
      <c r="DI21" s="318"/>
      <c r="DJ21" s="318"/>
      <c r="DK21" s="318"/>
      <c r="DL21" s="342"/>
    </row>
    <row r="22" spans="1:116" ht="32.1" customHeight="1" x14ac:dyDescent="0.25">
      <c r="A22" s="350" t="s">
        <v>237</v>
      </c>
      <c r="B22" s="299" t="s">
        <v>177</v>
      </c>
      <c r="C22" s="361" t="s">
        <v>178</v>
      </c>
      <c r="D22" s="356">
        <v>1</v>
      </c>
      <c r="E22" s="356" t="s">
        <v>445</v>
      </c>
      <c r="F22" s="360">
        <v>46569</v>
      </c>
      <c r="G22" s="358">
        <v>46660</v>
      </c>
      <c r="H22" s="363">
        <v>45488</v>
      </c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9"/>
      <c r="U22" s="341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  <c r="AJ22" s="318"/>
      <c r="AK22" s="318"/>
      <c r="AL22" s="318"/>
      <c r="AM22" s="318"/>
      <c r="AN22" s="318"/>
      <c r="AO22" s="318"/>
      <c r="AP22" s="318"/>
      <c r="AQ22" s="318"/>
      <c r="AR22" s="318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318"/>
      <c r="BF22" s="318"/>
      <c r="BG22" s="318"/>
      <c r="BH22" s="318"/>
      <c r="BI22" s="318"/>
      <c r="BJ22" s="318"/>
      <c r="BK22" s="318"/>
      <c r="BL22" s="318"/>
      <c r="BM22" s="318"/>
      <c r="BN22" s="318"/>
      <c r="BO22" s="318"/>
      <c r="BP22" s="342"/>
      <c r="BQ22" s="341"/>
      <c r="BR22" s="318"/>
      <c r="BS22" s="318"/>
      <c r="BT22" s="318"/>
      <c r="BU22" s="318"/>
      <c r="BV22" s="318"/>
      <c r="BW22" s="318"/>
      <c r="BX22" s="318"/>
      <c r="BY22" s="318"/>
      <c r="BZ22" s="318"/>
      <c r="CA22" s="318"/>
      <c r="CB22" s="318"/>
      <c r="CC22" s="318"/>
      <c r="CD22" s="318"/>
      <c r="CE22" s="318"/>
      <c r="CF22" s="318"/>
      <c r="CG22" s="318"/>
      <c r="CH22" s="318"/>
      <c r="CI22" s="318"/>
      <c r="CJ22" s="318"/>
      <c r="CK22" s="318"/>
      <c r="CL22" s="318"/>
      <c r="CM22" s="318"/>
      <c r="CN22" s="318"/>
      <c r="CO22" s="318"/>
      <c r="CP22" s="318"/>
      <c r="CQ22" s="318"/>
      <c r="CR22" s="318"/>
      <c r="CS22" s="318"/>
      <c r="CT22" s="318"/>
      <c r="CU22" s="318"/>
      <c r="CV22" s="318"/>
      <c r="CW22" s="318"/>
      <c r="CX22" s="318"/>
      <c r="CY22" s="318"/>
      <c r="CZ22" s="318"/>
      <c r="DA22" s="318"/>
      <c r="DB22" s="318"/>
      <c r="DC22" s="318"/>
      <c r="DD22" s="318"/>
      <c r="DE22" s="318"/>
      <c r="DF22" s="318"/>
      <c r="DG22" s="318"/>
      <c r="DH22" s="318"/>
      <c r="DI22" s="318"/>
      <c r="DJ22" s="318"/>
      <c r="DK22" s="318"/>
      <c r="DL22" s="342"/>
    </row>
    <row r="23" spans="1:116" ht="48" customHeight="1" x14ac:dyDescent="0.25">
      <c r="A23" s="350" t="s">
        <v>238</v>
      </c>
      <c r="B23" s="299" t="s">
        <v>179</v>
      </c>
      <c r="C23" s="361" t="s">
        <v>260</v>
      </c>
      <c r="D23" s="356">
        <v>1</v>
      </c>
      <c r="E23" s="356" t="s">
        <v>445</v>
      </c>
      <c r="F23" s="360">
        <v>46569</v>
      </c>
      <c r="G23" s="358">
        <v>46690</v>
      </c>
      <c r="H23" s="364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9"/>
      <c r="U23" s="341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318"/>
      <c r="AP23" s="318"/>
      <c r="AQ23" s="318"/>
      <c r="AR23" s="318"/>
      <c r="AS23" s="283"/>
      <c r="AT23" s="283"/>
      <c r="AU23" s="283"/>
      <c r="AV23" s="283"/>
      <c r="AW23" s="283"/>
      <c r="AX23" s="283"/>
      <c r="AY23" s="283"/>
      <c r="AZ23" s="283"/>
      <c r="BA23" s="283"/>
      <c r="BB23" s="283"/>
      <c r="BC23" s="283"/>
      <c r="BD23" s="283"/>
      <c r="BE23" s="283"/>
      <c r="BF23" s="283"/>
      <c r="BG23" s="283"/>
      <c r="BH23" s="283"/>
      <c r="BI23" s="318"/>
      <c r="BJ23" s="318"/>
      <c r="BK23" s="318"/>
      <c r="BL23" s="318"/>
      <c r="BM23" s="318"/>
      <c r="BN23" s="318"/>
      <c r="BO23" s="318"/>
      <c r="BP23" s="342"/>
      <c r="BQ23" s="341"/>
      <c r="BR23" s="318"/>
      <c r="BS23" s="318"/>
      <c r="BT23" s="318"/>
      <c r="BU23" s="318"/>
      <c r="BV23" s="318"/>
      <c r="BW23" s="318"/>
      <c r="BX23" s="318"/>
      <c r="BY23" s="318"/>
      <c r="BZ23" s="318"/>
      <c r="CA23" s="318"/>
      <c r="CB23" s="318"/>
      <c r="CC23" s="318"/>
      <c r="CD23" s="318"/>
      <c r="CE23" s="318"/>
      <c r="CF23" s="318"/>
      <c r="CG23" s="318"/>
      <c r="CH23" s="318"/>
      <c r="CI23" s="318"/>
      <c r="CJ23" s="318"/>
      <c r="CK23" s="318"/>
      <c r="CL23" s="318"/>
      <c r="CM23" s="318"/>
      <c r="CN23" s="318"/>
      <c r="CO23" s="318"/>
      <c r="CP23" s="318"/>
      <c r="CQ23" s="318"/>
      <c r="CR23" s="318"/>
      <c r="CS23" s="318"/>
      <c r="CT23" s="318"/>
      <c r="CU23" s="318"/>
      <c r="CV23" s="318"/>
      <c r="CW23" s="318"/>
      <c r="CX23" s="318"/>
      <c r="CY23" s="318"/>
      <c r="CZ23" s="318"/>
      <c r="DA23" s="318"/>
      <c r="DB23" s="318"/>
      <c r="DC23" s="318"/>
      <c r="DD23" s="318"/>
      <c r="DE23" s="318"/>
      <c r="DF23" s="318"/>
      <c r="DG23" s="318"/>
      <c r="DH23" s="318"/>
      <c r="DI23" s="318"/>
      <c r="DJ23" s="318"/>
      <c r="DK23" s="318"/>
      <c r="DL23" s="342"/>
    </row>
    <row r="24" spans="1:116" ht="32.1" customHeight="1" x14ac:dyDescent="0.25">
      <c r="A24" s="350" t="s">
        <v>239</v>
      </c>
      <c r="B24" s="299" t="s">
        <v>180</v>
      </c>
      <c r="C24" s="365" t="s">
        <v>181</v>
      </c>
      <c r="D24" s="356">
        <v>1</v>
      </c>
      <c r="E24" s="356" t="s">
        <v>445</v>
      </c>
      <c r="F24" s="360">
        <v>46569</v>
      </c>
      <c r="G24" s="358">
        <v>46660</v>
      </c>
      <c r="H24" s="364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9"/>
      <c r="U24" s="341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  <c r="AJ24" s="318"/>
      <c r="AK24" s="318"/>
      <c r="AL24" s="318"/>
      <c r="AM24" s="318"/>
      <c r="AN24" s="318"/>
      <c r="AO24" s="318"/>
      <c r="AP24" s="318"/>
      <c r="AQ24" s="318"/>
      <c r="AR24" s="318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318"/>
      <c r="BF24" s="318"/>
      <c r="BG24" s="318"/>
      <c r="BH24" s="318"/>
      <c r="BI24" s="318"/>
      <c r="BJ24" s="318"/>
      <c r="BK24" s="318"/>
      <c r="BL24" s="318"/>
      <c r="BM24" s="318"/>
      <c r="BN24" s="318"/>
      <c r="BO24" s="318"/>
      <c r="BP24" s="342"/>
      <c r="BQ24" s="341"/>
      <c r="BR24" s="318"/>
      <c r="BS24" s="318"/>
      <c r="BT24" s="318"/>
      <c r="BU24" s="318"/>
      <c r="BV24" s="318"/>
      <c r="BW24" s="318"/>
      <c r="BX24" s="318"/>
      <c r="BY24" s="318"/>
      <c r="BZ24" s="318"/>
      <c r="CA24" s="318"/>
      <c r="CB24" s="318"/>
      <c r="CC24" s="318"/>
      <c r="CD24" s="318"/>
      <c r="CE24" s="318"/>
      <c r="CF24" s="318"/>
      <c r="CG24" s="318"/>
      <c r="CH24" s="318"/>
      <c r="CI24" s="318"/>
      <c r="CJ24" s="318"/>
      <c r="CK24" s="318"/>
      <c r="CL24" s="318"/>
      <c r="CM24" s="318"/>
      <c r="CN24" s="318"/>
      <c r="CO24" s="318"/>
      <c r="CP24" s="318"/>
      <c r="CQ24" s="318"/>
      <c r="CR24" s="318"/>
      <c r="CS24" s="318"/>
      <c r="CT24" s="318"/>
      <c r="CU24" s="318"/>
      <c r="CV24" s="318"/>
      <c r="CW24" s="318"/>
      <c r="CX24" s="318"/>
      <c r="CY24" s="318"/>
      <c r="CZ24" s="318"/>
      <c r="DA24" s="318"/>
      <c r="DB24" s="318"/>
      <c r="DC24" s="318"/>
      <c r="DD24" s="318"/>
      <c r="DE24" s="318"/>
      <c r="DF24" s="318"/>
      <c r="DG24" s="318"/>
      <c r="DH24" s="318"/>
      <c r="DI24" s="318"/>
      <c r="DJ24" s="318"/>
      <c r="DK24" s="318"/>
      <c r="DL24" s="342"/>
    </row>
    <row r="25" spans="1:116" ht="32.1" customHeight="1" x14ac:dyDescent="0.25">
      <c r="A25" s="350" t="s">
        <v>240</v>
      </c>
      <c r="B25" s="299" t="s">
        <v>182</v>
      </c>
      <c r="C25" s="365" t="s">
        <v>183</v>
      </c>
      <c r="D25" s="356">
        <v>1</v>
      </c>
      <c r="E25" s="356" t="s">
        <v>445</v>
      </c>
      <c r="F25" s="360">
        <v>46571</v>
      </c>
      <c r="G25" s="358">
        <v>46842</v>
      </c>
      <c r="H25" s="364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9"/>
      <c r="U25" s="341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  <c r="AJ25" s="318"/>
      <c r="AK25" s="318"/>
      <c r="AL25" s="318"/>
      <c r="AM25" s="318"/>
      <c r="AN25" s="318"/>
      <c r="AO25" s="318"/>
      <c r="AP25" s="318"/>
      <c r="AQ25" s="318"/>
      <c r="AR25" s="318"/>
      <c r="AS25" s="283"/>
      <c r="AT25" s="283"/>
      <c r="AU25" s="283"/>
      <c r="AV25" s="283"/>
      <c r="AW25" s="283"/>
      <c r="AX25" s="283"/>
      <c r="AY25" s="283"/>
      <c r="AZ25" s="283"/>
      <c r="BA25" s="283"/>
      <c r="BB25" s="283"/>
      <c r="BC25" s="283"/>
      <c r="BD25" s="283"/>
      <c r="BE25" s="283"/>
      <c r="BF25" s="283"/>
      <c r="BG25" s="283"/>
      <c r="BH25" s="283"/>
      <c r="BI25" s="283"/>
      <c r="BJ25" s="283"/>
      <c r="BK25" s="283"/>
      <c r="BL25" s="283"/>
      <c r="BM25" s="283"/>
      <c r="BN25" s="283"/>
      <c r="BO25" s="283"/>
      <c r="BP25" s="284"/>
      <c r="BQ25" s="282"/>
      <c r="BR25" s="283"/>
      <c r="BS25" s="283"/>
      <c r="BT25" s="283"/>
      <c r="BU25" s="283"/>
      <c r="BV25" s="283"/>
      <c r="BW25" s="283"/>
      <c r="BX25" s="283"/>
      <c r="BY25" s="283"/>
      <c r="BZ25" s="283"/>
      <c r="CA25" s="283"/>
      <c r="CB25" s="283"/>
      <c r="CC25" s="318"/>
      <c r="CD25" s="318"/>
      <c r="CE25" s="318"/>
      <c r="CF25" s="318"/>
      <c r="CG25" s="318"/>
      <c r="CH25" s="318"/>
      <c r="CI25" s="318"/>
      <c r="CJ25" s="318"/>
      <c r="CK25" s="318"/>
      <c r="CL25" s="318"/>
      <c r="CM25" s="318"/>
      <c r="CN25" s="318"/>
      <c r="CO25" s="318"/>
      <c r="CP25" s="318"/>
      <c r="CQ25" s="318"/>
      <c r="CR25" s="318"/>
      <c r="CS25" s="318"/>
      <c r="CT25" s="318"/>
      <c r="CU25" s="318"/>
      <c r="CV25" s="318"/>
      <c r="CW25" s="318"/>
      <c r="CX25" s="318"/>
      <c r="CY25" s="318"/>
      <c r="CZ25" s="318"/>
      <c r="DA25" s="318"/>
      <c r="DB25" s="318"/>
      <c r="DC25" s="318"/>
      <c r="DD25" s="318"/>
      <c r="DE25" s="318"/>
      <c r="DF25" s="318"/>
      <c r="DG25" s="318"/>
      <c r="DH25" s="318"/>
      <c r="DI25" s="318"/>
      <c r="DJ25" s="318"/>
      <c r="DK25" s="318"/>
      <c r="DL25" s="342"/>
    </row>
    <row r="26" spans="1:116" ht="32.1" customHeight="1" x14ac:dyDescent="0.25">
      <c r="A26" s="350" t="s">
        <v>241</v>
      </c>
      <c r="B26" s="299" t="s">
        <v>184</v>
      </c>
      <c r="C26" s="365" t="s">
        <v>185</v>
      </c>
      <c r="D26" s="356">
        <v>1</v>
      </c>
      <c r="E26" s="356" t="s">
        <v>445</v>
      </c>
      <c r="F26" s="360">
        <v>46635</v>
      </c>
      <c r="G26" s="358">
        <v>46690</v>
      </c>
      <c r="H26" s="364"/>
      <c r="I26" s="312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9"/>
      <c r="U26" s="341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  <c r="AJ26" s="318"/>
      <c r="AK26" s="318"/>
      <c r="AL26" s="318"/>
      <c r="AM26" s="318"/>
      <c r="AN26" s="318"/>
      <c r="AO26" s="318"/>
      <c r="AP26" s="318"/>
      <c r="AQ26" s="318"/>
      <c r="AR26" s="318"/>
      <c r="AS26" s="318"/>
      <c r="AT26" s="318"/>
      <c r="AU26" s="318"/>
      <c r="AV26" s="318"/>
      <c r="AW26" s="318"/>
      <c r="AX26" s="318"/>
      <c r="AY26" s="318"/>
      <c r="AZ26" s="318"/>
      <c r="BA26" s="283"/>
      <c r="BB26" s="283"/>
      <c r="BC26" s="283"/>
      <c r="BD26" s="283"/>
      <c r="BE26" s="283"/>
      <c r="BF26" s="283"/>
      <c r="BG26" s="283"/>
      <c r="BH26" s="283"/>
      <c r="BI26" s="318"/>
      <c r="BJ26" s="318"/>
      <c r="BK26" s="318"/>
      <c r="BL26" s="318"/>
      <c r="BM26" s="318"/>
      <c r="BN26" s="318"/>
      <c r="BO26" s="318"/>
      <c r="BP26" s="342"/>
      <c r="BQ26" s="341"/>
      <c r="BR26" s="318"/>
      <c r="BS26" s="318"/>
      <c r="BT26" s="318"/>
      <c r="BU26" s="318"/>
      <c r="BV26" s="318"/>
      <c r="BW26" s="318"/>
      <c r="BX26" s="318"/>
      <c r="BY26" s="318"/>
      <c r="BZ26" s="318"/>
      <c r="CA26" s="318"/>
      <c r="CB26" s="318"/>
      <c r="CC26" s="318"/>
      <c r="CD26" s="318"/>
      <c r="CE26" s="318"/>
      <c r="CF26" s="318"/>
      <c r="CG26" s="318"/>
      <c r="CH26" s="318"/>
      <c r="CI26" s="318"/>
      <c r="CJ26" s="318"/>
      <c r="CK26" s="318"/>
      <c r="CL26" s="318"/>
      <c r="CM26" s="318"/>
      <c r="CN26" s="318"/>
      <c r="CO26" s="318"/>
      <c r="CP26" s="318"/>
      <c r="CQ26" s="318"/>
      <c r="CR26" s="318"/>
      <c r="CS26" s="318"/>
      <c r="CT26" s="318"/>
      <c r="CU26" s="318"/>
      <c r="CV26" s="318"/>
      <c r="CW26" s="318"/>
      <c r="CX26" s="318"/>
      <c r="CY26" s="318"/>
      <c r="CZ26" s="318"/>
      <c r="DA26" s="318"/>
      <c r="DB26" s="318"/>
      <c r="DC26" s="318"/>
      <c r="DD26" s="318"/>
      <c r="DE26" s="318"/>
      <c r="DF26" s="318"/>
      <c r="DG26" s="318"/>
      <c r="DH26" s="318"/>
      <c r="DI26" s="318"/>
      <c r="DJ26" s="318"/>
      <c r="DK26" s="318"/>
      <c r="DL26" s="342"/>
    </row>
    <row r="27" spans="1:116" ht="32.1" customHeight="1" x14ac:dyDescent="0.25">
      <c r="A27" s="350" t="s">
        <v>242</v>
      </c>
      <c r="B27" s="299" t="s">
        <v>186</v>
      </c>
      <c r="C27" s="365" t="s">
        <v>187</v>
      </c>
      <c r="D27" s="356">
        <v>1</v>
      </c>
      <c r="E27" s="356" t="s">
        <v>445</v>
      </c>
      <c r="F27" s="358">
        <v>46842</v>
      </c>
      <c r="G27" s="358">
        <v>46904</v>
      </c>
      <c r="H27" s="364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9"/>
      <c r="U27" s="341"/>
      <c r="V27" s="318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  <c r="AJ27" s="318"/>
      <c r="AK27" s="318"/>
      <c r="AL27" s="318"/>
      <c r="AM27" s="318"/>
      <c r="AN27" s="318"/>
      <c r="AO27" s="318"/>
      <c r="AP27" s="318"/>
      <c r="AQ27" s="318"/>
      <c r="AR27" s="318"/>
      <c r="AS27" s="318"/>
      <c r="AT27" s="318"/>
      <c r="AU27" s="318"/>
      <c r="AV27" s="318"/>
      <c r="AW27" s="318"/>
      <c r="AX27" s="318"/>
      <c r="AY27" s="318"/>
      <c r="AZ27" s="318"/>
      <c r="BA27" s="318"/>
      <c r="BB27" s="318"/>
      <c r="BC27" s="318"/>
      <c r="BD27" s="318"/>
      <c r="BE27" s="318"/>
      <c r="BF27" s="318"/>
      <c r="BG27" s="318"/>
      <c r="BH27" s="318"/>
      <c r="BI27" s="318"/>
      <c r="BJ27" s="318"/>
      <c r="BK27" s="318"/>
      <c r="BL27" s="318"/>
      <c r="BM27" s="318"/>
      <c r="BN27" s="318"/>
      <c r="BO27" s="318"/>
      <c r="BP27" s="342"/>
      <c r="BQ27" s="341"/>
      <c r="BR27" s="318"/>
      <c r="BS27" s="318"/>
      <c r="BT27" s="318"/>
      <c r="BU27" s="318"/>
      <c r="BV27" s="318"/>
      <c r="BW27" s="318"/>
      <c r="BX27" s="318"/>
      <c r="BY27" s="318"/>
      <c r="BZ27" s="318"/>
      <c r="CA27" s="318"/>
      <c r="CB27" s="283"/>
      <c r="CC27" s="283"/>
      <c r="CD27" s="283"/>
      <c r="CE27" s="283"/>
      <c r="CF27" s="283"/>
      <c r="CG27" s="283"/>
      <c r="CH27" s="283"/>
      <c r="CI27" s="283"/>
      <c r="CJ27" s="283"/>
      <c r="CK27" s="318"/>
      <c r="CL27" s="318"/>
      <c r="CM27" s="318"/>
      <c r="CN27" s="318"/>
      <c r="CO27" s="318"/>
      <c r="CP27" s="318"/>
      <c r="CQ27" s="318"/>
      <c r="CR27" s="318"/>
      <c r="CS27" s="318"/>
      <c r="CT27" s="318"/>
      <c r="CU27" s="318"/>
      <c r="CV27" s="318"/>
      <c r="CW27" s="318"/>
      <c r="CX27" s="318"/>
      <c r="CY27" s="318"/>
      <c r="CZ27" s="318"/>
      <c r="DA27" s="318"/>
      <c r="DB27" s="318"/>
      <c r="DC27" s="318"/>
      <c r="DD27" s="318"/>
      <c r="DE27" s="318"/>
      <c r="DF27" s="318"/>
      <c r="DG27" s="318"/>
      <c r="DH27" s="318"/>
      <c r="DI27" s="318"/>
      <c r="DJ27" s="318"/>
      <c r="DK27" s="318"/>
      <c r="DL27" s="342"/>
    </row>
    <row r="28" spans="1:116" ht="32.1" customHeight="1" x14ac:dyDescent="0.25">
      <c r="A28" s="366" t="s">
        <v>243</v>
      </c>
      <c r="B28" s="367" t="s">
        <v>188</v>
      </c>
      <c r="C28" s="365" t="s">
        <v>189</v>
      </c>
      <c r="D28" s="356">
        <v>1</v>
      </c>
      <c r="E28" s="356" t="s">
        <v>445</v>
      </c>
      <c r="F28" s="360">
        <v>46936</v>
      </c>
      <c r="G28" s="358">
        <v>46996</v>
      </c>
      <c r="H28" s="364"/>
      <c r="I28" s="312"/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9"/>
      <c r="U28" s="341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  <c r="AJ28" s="318"/>
      <c r="AK28" s="318"/>
      <c r="AL28" s="318"/>
      <c r="AM28" s="318"/>
      <c r="AN28" s="318"/>
      <c r="AO28" s="318"/>
      <c r="AP28" s="318"/>
      <c r="AQ28" s="318"/>
      <c r="AR28" s="318"/>
      <c r="AS28" s="318"/>
      <c r="AT28" s="318"/>
      <c r="AU28" s="318"/>
      <c r="AV28" s="318"/>
      <c r="AW28" s="318"/>
      <c r="AX28" s="318"/>
      <c r="AY28" s="318"/>
      <c r="AZ28" s="318"/>
      <c r="BA28" s="318"/>
      <c r="BB28" s="318"/>
      <c r="BC28" s="318"/>
      <c r="BD28" s="318"/>
      <c r="BE28" s="318"/>
      <c r="BF28" s="318"/>
      <c r="BG28" s="318"/>
      <c r="BH28" s="318"/>
      <c r="BI28" s="318"/>
      <c r="BJ28" s="318"/>
      <c r="BK28" s="318"/>
      <c r="BL28" s="318"/>
      <c r="BM28" s="318"/>
      <c r="BN28" s="318"/>
      <c r="BO28" s="318"/>
      <c r="BP28" s="342"/>
      <c r="BQ28" s="341"/>
      <c r="BR28" s="318"/>
      <c r="BS28" s="318"/>
      <c r="BT28" s="318"/>
      <c r="BU28" s="318"/>
      <c r="BV28" s="318"/>
      <c r="BW28" s="318"/>
      <c r="BX28" s="318"/>
      <c r="BY28" s="318"/>
      <c r="BZ28" s="318"/>
      <c r="CA28" s="318"/>
      <c r="CB28" s="318"/>
      <c r="CC28" s="318"/>
      <c r="CD28" s="318"/>
      <c r="CE28" s="318"/>
      <c r="CF28" s="318"/>
      <c r="CG28" s="318"/>
      <c r="CH28" s="318"/>
      <c r="CI28" s="318"/>
      <c r="CJ28" s="318"/>
      <c r="CK28" s="318"/>
      <c r="CL28" s="318"/>
      <c r="CM28" s="318"/>
      <c r="CN28" s="318"/>
      <c r="CO28" s="283"/>
      <c r="CP28" s="283"/>
      <c r="CQ28" s="283"/>
      <c r="CR28" s="283"/>
      <c r="CS28" s="283"/>
      <c r="CT28" s="283"/>
      <c r="CU28" s="283"/>
      <c r="CV28" s="283"/>
      <c r="CW28" s="318"/>
      <c r="CX28" s="318"/>
      <c r="CY28" s="318"/>
      <c r="CZ28" s="318"/>
      <c r="DA28" s="318"/>
      <c r="DB28" s="318"/>
      <c r="DC28" s="318"/>
      <c r="DD28" s="318"/>
      <c r="DE28" s="318"/>
      <c r="DF28" s="318"/>
      <c r="DG28" s="318"/>
      <c r="DH28" s="318"/>
      <c r="DI28" s="318"/>
      <c r="DJ28" s="318"/>
      <c r="DK28" s="318"/>
      <c r="DL28" s="342"/>
    </row>
    <row r="29" spans="1:116" ht="32.1" customHeight="1" x14ac:dyDescent="0.25">
      <c r="A29" s="366" t="s">
        <v>244</v>
      </c>
      <c r="B29" s="367" t="s">
        <v>190</v>
      </c>
      <c r="C29" s="365" t="s">
        <v>191</v>
      </c>
      <c r="D29" s="356">
        <v>1</v>
      </c>
      <c r="E29" s="356" t="s">
        <v>445</v>
      </c>
      <c r="F29" s="360">
        <v>46788</v>
      </c>
      <c r="G29" s="358">
        <v>46811</v>
      </c>
      <c r="H29" s="364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9"/>
      <c r="U29" s="341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  <c r="AJ29" s="318"/>
      <c r="AK29" s="318"/>
      <c r="AL29" s="318"/>
      <c r="AM29" s="318"/>
      <c r="AN29" s="318"/>
      <c r="AO29" s="318"/>
      <c r="AP29" s="318"/>
      <c r="AQ29" s="318"/>
      <c r="AR29" s="318"/>
      <c r="AS29" s="318"/>
      <c r="AT29" s="318"/>
      <c r="AU29" s="318"/>
      <c r="AV29" s="318"/>
      <c r="AW29" s="318"/>
      <c r="AX29" s="318"/>
      <c r="AY29" s="318"/>
      <c r="AZ29" s="318"/>
      <c r="BA29" s="318"/>
      <c r="BB29" s="318"/>
      <c r="BC29" s="318"/>
      <c r="BD29" s="318"/>
      <c r="BE29" s="318"/>
      <c r="BF29" s="318"/>
      <c r="BG29" s="318"/>
      <c r="BH29" s="318"/>
      <c r="BI29" s="318"/>
      <c r="BJ29" s="318"/>
      <c r="BK29" s="318"/>
      <c r="BL29" s="318"/>
      <c r="BM29" s="318"/>
      <c r="BN29" s="318"/>
      <c r="BO29" s="318"/>
      <c r="BP29" s="342"/>
      <c r="BQ29" s="341"/>
      <c r="BR29" s="318"/>
      <c r="BS29" s="318"/>
      <c r="BT29" s="318"/>
      <c r="BU29" s="283"/>
      <c r="BV29" s="283"/>
      <c r="BW29" s="283"/>
      <c r="BX29" s="283"/>
      <c r="BY29" s="318"/>
      <c r="BZ29" s="318"/>
      <c r="CA29" s="318"/>
      <c r="CB29" s="318"/>
      <c r="CC29" s="318"/>
      <c r="CD29" s="318"/>
      <c r="CE29" s="318"/>
      <c r="CF29" s="318"/>
      <c r="CG29" s="318"/>
      <c r="CH29" s="318"/>
      <c r="CI29" s="318"/>
      <c r="CJ29" s="318"/>
      <c r="CK29" s="318"/>
      <c r="CL29" s="318"/>
      <c r="CM29" s="318"/>
      <c r="CN29" s="318"/>
      <c r="CO29" s="318"/>
      <c r="CP29" s="318"/>
      <c r="CQ29" s="318"/>
      <c r="CR29" s="318"/>
      <c r="CS29" s="318"/>
      <c r="CT29" s="318"/>
      <c r="CU29" s="318"/>
      <c r="CV29" s="318"/>
      <c r="CW29" s="318"/>
      <c r="CX29" s="318"/>
      <c r="CY29" s="318"/>
      <c r="CZ29" s="318"/>
      <c r="DA29" s="318"/>
      <c r="DB29" s="318"/>
      <c r="DC29" s="318"/>
      <c r="DD29" s="318"/>
      <c r="DE29" s="318"/>
      <c r="DF29" s="318"/>
      <c r="DG29" s="318"/>
      <c r="DH29" s="318"/>
      <c r="DI29" s="318"/>
      <c r="DJ29" s="318"/>
      <c r="DK29" s="318"/>
      <c r="DL29" s="342"/>
    </row>
    <row r="30" spans="1:116" ht="32.1" customHeight="1" x14ac:dyDescent="0.25">
      <c r="A30" s="366" t="s">
        <v>245</v>
      </c>
      <c r="B30" s="367" t="s">
        <v>192</v>
      </c>
      <c r="C30" s="365" t="s">
        <v>193</v>
      </c>
      <c r="D30" s="356">
        <v>1</v>
      </c>
      <c r="E30" s="356" t="s">
        <v>445</v>
      </c>
      <c r="F30" s="360">
        <v>46935</v>
      </c>
      <c r="G30" s="358">
        <v>46997</v>
      </c>
      <c r="H30" s="364"/>
      <c r="I30" s="312"/>
      <c r="J30" s="312"/>
      <c r="K30" s="312"/>
      <c r="L30" s="312"/>
      <c r="M30" s="312"/>
      <c r="N30" s="312"/>
      <c r="O30" s="312"/>
      <c r="P30" s="312"/>
      <c r="Q30" s="312"/>
      <c r="R30" s="312"/>
      <c r="S30" s="312"/>
      <c r="T30" s="319"/>
      <c r="U30" s="341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  <c r="AJ30" s="318"/>
      <c r="AK30" s="318"/>
      <c r="AL30" s="318"/>
      <c r="AM30" s="318"/>
      <c r="AN30" s="318"/>
      <c r="AO30" s="318"/>
      <c r="AP30" s="318"/>
      <c r="AQ30" s="318"/>
      <c r="AR30" s="318"/>
      <c r="AS30" s="318"/>
      <c r="AT30" s="318"/>
      <c r="AU30" s="318"/>
      <c r="AV30" s="318"/>
      <c r="AW30" s="318"/>
      <c r="AX30" s="318"/>
      <c r="AY30" s="318"/>
      <c r="AZ30" s="318"/>
      <c r="BA30" s="318"/>
      <c r="BB30" s="318"/>
      <c r="BC30" s="318"/>
      <c r="BD30" s="318"/>
      <c r="BE30" s="318"/>
      <c r="BF30" s="318"/>
      <c r="BG30" s="318"/>
      <c r="BH30" s="318"/>
      <c r="BI30" s="318"/>
      <c r="BJ30" s="318"/>
      <c r="BK30" s="318"/>
      <c r="BL30" s="318"/>
      <c r="BM30" s="318"/>
      <c r="BN30" s="318"/>
      <c r="BO30" s="318"/>
      <c r="BP30" s="342"/>
      <c r="BQ30" s="341"/>
      <c r="BR30" s="318"/>
      <c r="BS30" s="318"/>
      <c r="BT30" s="318"/>
      <c r="BU30" s="318"/>
      <c r="BV30" s="318"/>
      <c r="BW30" s="318"/>
      <c r="BX30" s="318"/>
      <c r="BY30" s="318"/>
      <c r="BZ30" s="318"/>
      <c r="CA30" s="318"/>
      <c r="CB30" s="318"/>
      <c r="CC30" s="318"/>
      <c r="CD30" s="318"/>
      <c r="CE30" s="318"/>
      <c r="CF30" s="318"/>
      <c r="CG30" s="318"/>
      <c r="CH30" s="318"/>
      <c r="CI30" s="318"/>
      <c r="CJ30" s="318"/>
      <c r="CK30" s="318"/>
      <c r="CL30" s="318"/>
      <c r="CM30" s="318"/>
      <c r="CN30" s="318"/>
      <c r="CO30" s="283"/>
      <c r="CP30" s="283"/>
      <c r="CQ30" s="283"/>
      <c r="CR30" s="283"/>
      <c r="CS30" s="283"/>
      <c r="CT30" s="283"/>
      <c r="CU30" s="283"/>
      <c r="CV30" s="283"/>
      <c r="CW30" s="318"/>
      <c r="CX30" s="318"/>
      <c r="CY30" s="318"/>
      <c r="CZ30" s="318"/>
      <c r="DA30" s="318"/>
      <c r="DB30" s="318"/>
      <c r="DC30" s="318"/>
      <c r="DD30" s="318"/>
      <c r="DE30" s="318"/>
      <c r="DF30" s="318"/>
      <c r="DG30" s="318"/>
      <c r="DH30" s="318"/>
      <c r="DI30" s="318"/>
      <c r="DJ30" s="318"/>
      <c r="DK30" s="318"/>
      <c r="DL30" s="342"/>
    </row>
    <row r="31" spans="1:116" ht="32.1" customHeight="1" x14ac:dyDescent="0.25">
      <c r="A31" s="366" t="s">
        <v>246</v>
      </c>
      <c r="B31" s="367" t="s">
        <v>194</v>
      </c>
      <c r="C31" s="365" t="s">
        <v>195</v>
      </c>
      <c r="D31" s="356">
        <v>1</v>
      </c>
      <c r="E31" s="356" t="s">
        <v>445</v>
      </c>
      <c r="F31" s="360">
        <v>46997</v>
      </c>
      <c r="G31" s="358">
        <v>47026</v>
      </c>
      <c r="H31" s="364"/>
      <c r="I31" s="312"/>
      <c r="J31" s="312"/>
      <c r="K31" s="312"/>
      <c r="L31" s="312"/>
      <c r="M31" s="312"/>
      <c r="N31" s="312"/>
      <c r="O31" s="312"/>
      <c r="P31" s="312"/>
      <c r="Q31" s="312"/>
      <c r="R31" s="312"/>
      <c r="S31" s="312"/>
      <c r="T31" s="319"/>
      <c r="U31" s="341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  <c r="AJ31" s="318"/>
      <c r="AK31" s="318"/>
      <c r="AL31" s="318"/>
      <c r="AM31" s="318"/>
      <c r="AN31" s="318"/>
      <c r="AO31" s="318"/>
      <c r="AP31" s="318"/>
      <c r="AQ31" s="318"/>
      <c r="AR31" s="318"/>
      <c r="AS31" s="318"/>
      <c r="AT31" s="318"/>
      <c r="AU31" s="318"/>
      <c r="AV31" s="318"/>
      <c r="AW31" s="318"/>
      <c r="AX31" s="318"/>
      <c r="AY31" s="318"/>
      <c r="AZ31" s="318"/>
      <c r="BA31" s="318"/>
      <c r="BB31" s="318"/>
      <c r="BC31" s="318"/>
      <c r="BD31" s="318"/>
      <c r="BE31" s="318"/>
      <c r="BF31" s="318"/>
      <c r="BG31" s="318"/>
      <c r="BH31" s="318"/>
      <c r="BI31" s="318"/>
      <c r="BJ31" s="318"/>
      <c r="BK31" s="318"/>
      <c r="BL31" s="318"/>
      <c r="BM31" s="318"/>
      <c r="BN31" s="318"/>
      <c r="BO31" s="318"/>
      <c r="BP31" s="342"/>
      <c r="BQ31" s="341"/>
      <c r="BR31" s="318"/>
      <c r="BS31" s="318"/>
      <c r="BT31" s="318"/>
      <c r="BU31" s="318"/>
      <c r="BV31" s="318"/>
      <c r="BW31" s="318"/>
      <c r="BX31" s="318"/>
      <c r="BY31" s="318"/>
      <c r="BZ31" s="318"/>
      <c r="CA31" s="318"/>
      <c r="CB31" s="318"/>
      <c r="CC31" s="318"/>
      <c r="CD31" s="318"/>
      <c r="CE31" s="318"/>
      <c r="CF31" s="318"/>
      <c r="CG31" s="318"/>
      <c r="CH31" s="318"/>
      <c r="CI31" s="318"/>
      <c r="CJ31" s="318"/>
      <c r="CK31" s="318"/>
      <c r="CL31" s="318"/>
      <c r="CM31" s="318"/>
      <c r="CN31" s="318"/>
      <c r="CO31" s="318"/>
      <c r="CP31" s="318"/>
      <c r="CQ31" s="318"/>
      <c r="CR31" s="318"/>
      <c r="CS31" s="318"/>
      <c r="CT31" s="318"/>
      <c r="CU31" s="318"/>
      <c r="CV31" s="318"/>
      <c r="CW31" s="283"/>
      <c r="CX31" s="283"/>
      <c r="CY31" s="283"/>
      <c r="CZ31" s="283"/>
      <c r="DA31" s="318"/>
      <c r="DB31" s="318"/>
      <c r="DC31" s="318"/>
      <c r="DD31" s="318"/>
      <c r="DE31" s="318"/>
      <c r="DF31" s="318"/>
      <c r="DG31" s="318"/>
      <c r="DH31" s="318"/>
      <c r="DI31" s="318"/>
      <c r="DJ31" s="318"/>
      <c r="DK31" s="318"/>
      <c r="DL31" s="342"/>
    </row>
    <row r="32" spans="1:116" ht="46.5" customHeight="1" x14ac:dyDescent="0.25">
      <c r="A32" s="366" t="s">
        <v>247</v>
      </c>
      <c r="B32" s="367" t="s">
        <v>196</v>
      </c>
      <c r="C32" s="365" t="s">
        <v>197</v>
      </c>
      <c r="D32" s="356">
        <v>1</v>
      </c>
      <c r="E32" s="356" t="s">
        <v>445</v>
      </c>
      <c r="F32" s="360">
        <v>46966</v>
      </c>
      <c r="G32" s="358">
        <v>47026</v>
      </c>
      <c r="H32" s="364"/>
      <c r="I32" s="312"/>
      <c r="J32" s="312"/>
      <c r="K32" s="312"/>
      <c r="L32" s="312"/>
      <c r="M32" s="312"/>
      <c r="N32" s="312"/>
      <c r="O32" s="312"/>
      <c r="P32" s="312"/>
      <c r="Q32" s="312"/>
      <c r="R32" s="312"/>
      <c r="S32" s="312"/>
      <c r="T32" s="319"/>
      <c r="U32" s="341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  <c r="AJ32" s="318"/>
      <c r="AK32" s="318"/>
      <c r="AL32" s="318"/>
      <c r="AM32" s="318"/>
      <c r="AN32" s="318"/>
      <c r="AO32" s="318"/>
      <c r="AP32" s="318"/>
      <c r="AQ32" s="318"/>
      <c r="AR32" s="318"/>
      <c r="AS32" s="318"/>
      <c r="AT32" s="318"/>
      <c r="AU32" s="318"/>
      <c r="AV32" s="318"/>
      <c r="AW32" s="318"/>
      <c r="AX32" s="318"/>
      <c r="AY32" s="318"/>
      <c r="AZ32" s="318"/>
      <c r="BA32" s="318"/>
      <c r="BB32" s="318"/>
      <c r="BC32" s="318"/>
      <c r="BD32" s="318"/>
      <c r="BE32" s="318"/>
      <c r="BF32" s="318"/>
      <c r="BG32" s="318"/>
      <c r="BH32" s="318"/>
      <c r="BI32" s="318"/>
      <c r="BJ32" s="318"/>
      <c r="BK32" s="318"/>
      <c r="BL32" s="318"/>
      <c r="BM32" s="318"/>
      <c r="BN32" s="318"/>
      <c r="BO32" s="318"/>
      <c r="BP32" s="342"/>
      <c r="BQ32" s="341"/>
      <c r="BR32" s="318"/>
      <c r="BS32" s="318"/>
      <c r="BT32" s="318"/>
      <c r="BU32" s="318"/>
      <c r="BV32" s="318"/>
      <c r="BW32" s="318"/>
      <c r="BX32" s="318"/>
      <c r="BY32" s="318"/>
      <c r="BZ32" s="318"/>
      <c r="CA32" s="318"/>
      <c r="CB32" s="318"/>
      <c r="CC32" s="318"/>
      <c r="CD32" s="318"/>
      <c r="CE32" s="318"/>
      <c r="CF32" s="318"/>
      <c r="CG32" s="318"/>
      <c r="CH32" s="318"/>
      <c r="CI32" s="318"/>
      <c r="CJ32" s="318"/>
      <c r="CK32" s="318"/>
      <c r="CL32" s="318"/>
      <c r="CM32" s="318"/>
      <c r="CN32" s="318"/>
      <c r="CO32" s="318"/>
      <c r="CP32" s="318"/>
      <c r="CQ32" s="318"/>
      <c r="CR32" s="318"/>
      <c r="CS32" s="283"/>
      <c r="CT32" s="283"/>
      <c r="CU32" s="283"/>
      <c r="CV32" s="283"/>
      <c r="CW32" s="283"/>
      <c r="CX32" s="283"/>
      <c r="CY32" s="283"/>
      <c r="CZ32" s="283"/>
      <c r="DA32" s="318"/>
      <c r="DB32" s="318"/>
      <c r="DC32" s="318"/>
      <c r="DD32" s="318"/>
      <c r="DE32" s="318"/>
      <c r="DF32" s="318"/>
      <c r="DG32" s="318"/>
      <c r="DH32" s="318"/>
      <c r="DI32" s="318"/>
      <c r="DJ32" s="318"/>
      <c r="DK32" s="318"/>
      <c r="DL32" s="342"/>
    </row>
    <row r="33" spans="1:116" ht="32.1" customHeight="1" x14ac:dyDescent="0.25">
      <c r="A33" s="366" t="s">
        <v>248</v>
      </c>
      <c r="B33" s="367" t="s">
        <v>198</v>
      </c>
      <c r="C33" s="365" t="s">
        <v>199</v>
      </c>
      <c r="D33" s="356">
        <v>1</v>
      </c>
      <c r="E33" s="356" t="s">
        <v>445</v>
      </c>
      <c r="F33" s="360">
        <v>46874</v>
      </c>
      <c r="G33" s="358">
        <v>46935</v>
      </c>
      <c r="H33" s="364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9"/>
      <c r="U33" s="341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/>
      <c r="BA33" s="318"/>
      <c r="BB33" s="318"/>
      <c r="BC33" s="318"/>
      <c r="BD33" s="318"/>
      <c r="BE33" s="318"/>
      <c r="BF33" s="318"/>
      <c r="BG33" s="318"/>
      <c r="BH33" s="318"/>
      <c r="BI33" s="318"/>
      <c r="BJ33" s="318"/>
      <c r="BK33" s="318"/>
      <c r="BL33" s="318"/>
      <c r="BM33" s="318"/>
      <c r="BN33" s="318"/>
      <c r="BO33" s="318"/>
      <c r="BP33" s="342"/>
      <c r="BQ33" s="341"/>
      <c r="BR33" s="318"/>
      <c r="BS33" s="318"/>
      <c r="BT33" s="318"/>
      <c r="BU33" s="318"/>
      <c r="BV33" s="318"/>
      <c r="BW33" s="318"/>
      <c r="BX33" s="318"/>
      <c r="BY33" s="318"/>
      <c r="BZ33" s="318"/>
      <c r="CA33" s="318"/>
      <c r="CB33" s="318"/>
      <c r="CC33" s="318"/>
      <c r="CD33" s="318"/>
      <c r="CE33" s="318"/>
      <c r="CF33" s="318"/>
      <c r="CG33" s="283"/>
      <c r="CH33" s="283"/>
      <c r="CI33" s="283"/>
      <c r="CJ33" s="283"/>
      <c r="CK33" s="283"/>
      <c r="CL33" s="283"/>
      <c r="CM33" s="283"/>
      <c r="CN33" s="283"/>
      <c r="CO33" s="318"/>
      <c r="CP33" s="318"/>
      <c r="CQ33" s="318"/>
      <c r="CR33" s="318"/>
      <c r="CS33" s="318"/>
      <c r="CT33" s="318"/>
      <c r="CU33" s="318"/>
      <c r="CV33" s="318"/>
      <c r="CW33" s="318"/>
      <c r="CX33" s="318"/>
      <c r="CY33" s="318"/>
      <c r="CZ33" s="318"/>
      <c r="DA33" s="318"/>
      <c r="DB33" s="318"/>
      <c r="DC33" s="318"/>
      <c r="DD33" s="318"/>
      <c r="DE33" s="318"/>
      <c r="DF33" s="318"/>
      <c r="DG33" s="318"/>
      <c r="DH33" s="318"/>
      <c r="DI33" s="318"/>
      <c r="DJ33" s="318"/>
      <c r="DK33" s="318"/>
      <c r="DL33" s="342"/>
    </row>
    <row r="34" spans="1:116" ht="48" customHeight="1" x14ac:dyDescent="0.25">
      <c r="A34" s="366" t="s">
        <v>250</v>
      </c>
      <c r="B34" s="367" t="s">
        <v>200</v>
      </c>
      <c r="C34" s="365" t="s">
        <v>201</v>
      </c>
      <c r="D34" s="356">
        <v>1</v>
      </c>
      <c r="E34" s="356" t="s">
        <v>445</v>
      </c>
      <c r="F34" s="360">
        <v>46966</v>
      </c>
      <c r="G34" s="358">
        <v>46995</v>
      </c>
      <c r="H34" s="364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9"/>
      <c r="U34" s="341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318"/>
      <c r="BD34" s="318"/>
      <c r="BE34" s="318"/>
      <c r="BF34" s="318"/>
      <c r="BG34" s="318"/>
      <c r="BH34" s="318"/>
      <c r="BI34" s="318"/>
      <c r="BJ34" s="318"/>
      <c r="BK34" s="318"/>
      <c r="BL34" s="318"/>
      <c r="BM34" s="318"/>
      <c r="BN34" s="318"/>
      <c r="BO34" s="318"/>
      <c r="BP34" s="342"/>
      <c r="BQ34" s="341"/>
      <c r="BR34" s="318"/>
      <c r="BS34" s="318"/>
      <c r="BT34" s="318"/>
      <c r="BU34" s="318"/>
      <c r="BV34" s="318"/>
      <c r="BW34" s="318"/>
      <c r="BX34" s="318"/>
      <c r="BY34" s="318"/>
      <c r="BZ34" s="318"/>
      <c r="CA34" s="318"/>
      <c r="CB34" s="318"/>
      <c r="CC34" s="318"/>
      <c r="CD34" s="318"/>
      <c r="CE34" s="318"/>
      <c r="CF34" s="318"/>
      <c r="CG34" s="318"/>
      <c r="CH34" s="318"/>
      <c r="CI34" s="318"/>
      <c r="CJ34" s="318"/>
      <c r="CK34" s="318"/>
      <c r="CL34" s="318"/>
      <c r="CM34" s="318"/>
      <c r="CN34" s="318"/>
      <c r="CO34" s="318"/>
      <c r="CP34" s="318"/>
      <c r="CQ34" s="318"/>
      <c r="CR34" s="318"/>
      <c r="CS34" s="283"/>
      <c r="CT34" s="283"/>
      <c r="CU34" s="283"/>
      <c r="CV34" s="283"/>
      <c r="CW34" s="318"/>
      <c r="CX34" s="318"/>
      <c r="CY34" s="318"/>
      <c r="CZ34" s="318"/>
      <c r="DA34" s="318"/>
      <c r="DB34" s="318"/>
      <c r="DC34" s="318"/>
      <c r="DD34" s="318"/>
      <c r="DE34" s="318"/>
      <c r="DF34" s="318"/>
      <c r="DG34" s="318"/>
      <c r="DH34" s="318"/>
      <c r="DI34" s="318"/>
      <c r="DJ34" s="318"/>
      <c r="DK34" s="318"/>
      <c r="DL34" s="342"/>
    </row>
    <row r="35" spans="1:116" ht="45" customHeight="1" x14ac:dyDescent="0.25">
      <c r="A35" s="366" t="s">
        <v>249</v>
      </c>
      <c r="B35" s="367" t="s">
        <v>202</v>
      </c>
      <c r="C35" s="365" t="s">
        <v>203</v>
      </c>
      <c r="D35" s="356">
        <v>1</v>
      </c>
      <c r="E35" s="356" t="s">
        <v>445</v>
      </c>
      <c r="F35" s="360">
        <v>46813</v>
      </c>
      <c r="G35" s="358">
        <v>46874</v>
      </c>
      <c r="H35" s="364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9"/>
      <c r="U35" s="341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318"/>
      <c r="BF35" s="318"/>
      <c r="BG35" s="318"/>
      <c r="BH35" s="318"/>
      <c r="BI35" s="318"/>
      <c r="BJ35" s="318"/>
      <c r="BK35" s="318"/>
      <c r="BL35" s="318"/>
      <c r="BM35" s="318"/>
      <c r="BN35" s="318"/>
      <c r="BO35" s="318"/>
      <c r="BP35" s="342"/>
      <c r="BQ35" s="341"/>
      <c r="BR35" s="318"/>
      <c r="BS35" s="318"/>
      <c r="BT35" s="318"/>
      <c r="BU35" s="318"/>
      <c r="BV35" s="318"/>
      <c r="BW35" s="318"/>
      <c r="BX35" s="318"/>
      <c r="BY35" s="283"/>
      <c r="BZ35" s="283"/>
      <c r="CA35" s="283"/>
      <c r="CB35" s="283"/>
      <c r="CC35" s="283"/>
      <c r="CD35" s="283"/>
      <c r="CE35" s="283"/>
      <c r="CF35" s="283"/>
      <c r="CG35" s="318"/>
      <c r="CH35" s="318"/>
      <c r="CI35" s="318"/>
      <c r="CJ35" s="318"/>
      <c r="CK35" s="318"/>
      <c r="CL35" s="318"/>
      <c r="CM35" s="318"/>
      <c r="CN35" s="318"/>
      <c r="CO35" s="318"/>
      <c r="CP35" s="318"/>
      <c r="CQ35" s="318"/>
      <c r="CR35" s="318"/>
      <c r="CS35" s="318"/>
      <c r="CT35" s="318"/>
      <c r="CU35" s="318"/>
      <c r="CV35" s="318"/>
      <c r="CW35" s="318"/>
      <c r="CX35" s="318"/>
      <c r="CY35" s="318"/>
      <c r="CZ35" s="318"/>
      <c r="DA35" s="318"/>
      <c r="DB35" s="318"/>
      <c r="DC35" s="318"/>
      <c r="DD35" s="318"/>
      <c r="DE35" s="318"/>
      <c r="DF35" s="318"/>
      <c r="DG35" s="318"/>
      <c r="DH35" s="318"/>
      <c r="DI35" s="318"/>
      <c r="DJ35" s="318"/>
      <c r="DK35" s="318"/>
      <c r="DL35" s="342"/>
    </row>
    <row r="36" spans="1:116" ht="32.1" customHeight="1" x14ac:dyDescent="0.25">
      <c r="A36" s="366" t="s">
        <v>21</v>
      </c>
      <c r="B36" s="367" t="s">
        <v>120</v>
      </c>
      <c r="C36" s="368" t="s">
        <v>121</v>
      </c>
      <c r="D36" s="352"/>
      <c r="E36" s="352"/>
      <c r="F36" s="369">
        <v>46844</v>
      </c>
      <c r="G36" s="354">
        <v>46903</v>
      </c>
      <c r="H36" s="364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  <c r="T36" s="319"/>
      <c r="U36" s="341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42"/>
      <c r="BQ36" s="341"/>
      <c r="BR36" s="318"/>
      <c r="BS36" s="318"/>
      <c r="BT36" s="318"/>
      <c r="BU36" s="318"/>
      <c r="BV36" s="318"/>
      <c r="BW36" s="318"/>
      <c r="BX36" s="318"/>
      <c r="BY36" s="318"/>
      <c r="BZ36" s="318"/>
      <c r="CA36" s="318"/>
      <c r="CB36" s="318"/>
      <c r="CC36" s="318"/>
      <c r="CD36" s="318"/>
      <c r="CE36" s="318"/>
      <c r="CF36" s="318"/>
      <c r="CG36" s="318"/>
      <c r="CH36" s="318"/>
      <c r="CI36" s="318"/>
      <c r="CJ36" s="318"/>
      <c r="CK36" s="318"/>
      <c r="CL36" s="318"/>
      <c r="CM36" s="318"/>
      <c r="CN36" s="318"/>
      <c r="CO36" s="318"/>
      <c r="CP36" s="318"/>
      <c r="CQ36" s="318"/>
      <c r="CR36" s="318"/>
      <c r="CS36" s="318"/>
      <c r="CT36" s="318"/>
      <c r="CU36" s="318"/>
      <c r="CV36" s="318"/>
      <c r="CW36" s="318"/>
      <c r="CX36" s="318"/>
      <c r="CY36" s="318"/>
      <c r="CZ36" s="318"/>
      <c r="DA36" s="318"/>
      <c r="DB36" s="318"/>
      <c r="DC36" s="318"/>
      <c r="DD36" s="318"/>
      <c r="DE36" s="318"/>
      <c r="DF36" s="318"/>
      <c r="DG36" s="318"/>
      <c r="DH36" s="318"/>
      <c r="DI36" s="318"/>
      <c r="DJ36" s="318"/>
      <c r="DK36" s="318"/>
      <c r="DL36" s="342"/>
    </row>
    <row r="37" spans="1:116" ht="32.1" customHeight="1" x14ac:dyDescent="0.25">
      <c r="A37" s="366" t="s">
        <v>265</v>
      </c>
      <c r="B37" s="367" t="s">
        <v>261</v>
      </c>
      <c r="C37" s="365" t="s">
        <v>262</v>
      </c>
      <c r="D37" s="356">
        <v>1</v>
      </c>
      <c r="E37" s="356" t="s">
        <v>445</v>
      </c>
      <c r="F37" s="370">
        <v>46844</v>
      </c>
      <c r="G37" s="358">
        <v>46903</v>
      </c>
      <c r="H37" s="364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2"/>
      <c r="T37" s="319"/>
      <c r="U37" s="341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42"/>
      <c r="BQ37" s="341"/>
      <c r="BR37" s="318"/>
      <c r="BS37" s="318"/>
      <c r="BT37" s="318"/>
      <c r="BU37" s="318"/>
      <c r="BV37" s="318"/>
      <c r="BW37" s="318"/>
      <c r="BX37" s="318"/>
      <c r="BY37" s="318"/>
      <c r="BZ37" s="318"/>
      <c r="CA37" s="318"/>
      <c r="CB37" s="318"/>
      <c r="CC37" s="283"/>
      <c r="CD37" s="283"/>
      <c r="CE37" s="283"/>
      <c r="CF37" s="283"/>
      <c r="CG37" s="283"/>
      <c r="CH37" s="283"/>
      <c r="CI37" s="283"/>
      <c r="CJ37" s="283"/>
      <c r="CK37" s="318"/>
      <c r="CL37" s="318"/>
      <c r="CM37" s="318"/>
      <c r="CN37" s="318"/>
      <c r="CO37" s="318"/>
      <c r="CP37" s="318"/>
      <c r="CQ37" s="318"/>
      <c r="CR37" s="318"/>
      <c r="CS37" s="318"/>
      <c r="CT37" s="318"/>
      <c r="CU37" s="318"/>
      <c r="CV37" s="318"/>
      <c r="CW37" s="318"/>
      <c r="CX37" s="318"/>
      <c r="CY37" s="318"/>
      <c r="CZ37" s="318"/>
      <c r="DA37" s="318"/>
      <c r="DB37" s="318"/>
      <c r="DC37" s="318"/>
      <c r="DD37" s="318"/>
      <c r="DE37" s="318"/>
      <c r="DF37" s="318"/>
      <c r="DG37" s="318"/>
      <c r="DH37" s="318"/>
      <c r="DI37" s="318"/>
      <c r="DJ37" s="318"/>
      <c r="DK37" s="318"/>
      <c r="DL37" s="342"/>
    </row>
    <row r="38" spans="1:116" ht="32.1" customHeight="1" x14ac:dyDescent="0.25">
      <c r="A38" s="366" t="s">
        <v>266</v>
      </c>
      <c r="B38" s="367" t="s">
        <v>263</v>
      </c>
      <c r="C38" s="365" t="s">
        <v>264</v>
      </c>
      <c r="D38" s="356">
        <v>1</v>
      </c>
      <c r="E38" s="356" t="s">
        <v>445</v>
      </c>
      <c r="F38" s="370">
        <v>46844</v>
      </c>
      <c r="G38" s="358">
        <v>46903</v>
      </c>
      <c r="H38" s="364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9"/>
      <c r="U38" s="341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42"/>
      <c r="BQ38" s="341"/>
      <c r="BR38" s="318"/>
      <c r="BS38" s="318"/>
      <c r="BT38" s="318"/>
      <c r="BU38" s="318"/>
      <c r="BV38" s="318"/>
      <c r="BW38" s="318"/>
      <c r="BX38" s="318"/>
      <c r="BY38" s="318"/>
      <c r="BZ38" s="318"/>
      <c r="CA38" s="318"/>
      <c r="CB38" s="318"/>
      <c r="CC38" s="283"/>
      <c r="CD38" s="283"/>
      <c r="CE38" s="283"/>
      <c r="CF38" s="283"/>
      <c r="CG38" s="283"/>
      <c r="CH38" s="283"/>
      <c r="CI38" s="283"/>
      <c r="CJ38" s="283"/>
      <c r="CK38" s="318"/>
      <c r="CL38" s="318"/>
      <c r="CM38" s="318"/>
      <c r="CN38" s="318"/>
      <c r="CO38" s="318"/>
      <c r="CP38" s="318"/>
      <c r="CQ38" s="318"/>
      <c r="CR38" s="318"/>
      <c r="CS38" s="318"/>
      <c r="CT38" s="318"/>
      <c r="CU38" s="318"/>
      <c r="CV38" s="318"/>
      <c r="CW38" s="318"/>
      <c r="CX38" s="318"/>
      <c r="CY38" s="318"/>
      <c r="CZ38" s="318"/>
      <c r="DA38" s="318"/>
      <c r="DB38" s="318"/>
      <c r="DC38" s="318"/>
      <c r="DD38" s="318"/>
      <c r="DE38" s="318"/>
      <c r="DF38" s="318"/>
      <c r="DG38" s="318"/>
      <c r="DH38" s="318"/>
      <c r="DI38" s="318"/>
      <c r="DJ38" s="318"/>
      <c r="DK38" s="318"/>
      <c r="DL38" s="342"/>
    </row>
    <row r="39" spans="1:116" ht="32.1" customHeight="1" x14ac:dyDescent="0.25">
      <c r="A39" s="366" t="s">
        <v>22</v>
      </c>
      <c r="B39" s="367" t="s">
        <v>41</v>
      </c>
      <c r="C39" s="365" t="s">
        <v>42</v>
      </c>
      <c r="D39" s="356">
        <v>1</v>
      </c>
      <c r="E39" s="356" t="s">
        <v>445</v>
      </c>
      <c r="F39" s="370">
        <v>46844</v>
      </c>
      <c r="G39" s="358">
        <v>46903</v>
      </c>
      <c r="H39" s="364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9"/>
      <c r="U39" s="341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318"/>
      <c r="BD39" s="318"/>
      <c r="BE39" s="318"/>
      <c r="BF39" s="318"/>
      <c r="BG39" s="318"/>
      <c r="BH39" s="318"/>
      <c r="BI39" s="318"/>
      <c r="BJ39" s="318"/>
      <c r="BK39" s="318"/>
      <c r="BL39" s="318"/>
      <c r="BM39" s="318"/>
      <c r="BN39" s="318"/>
      <c r="BO39" s="318"/>
      <c r="BP39" s="342"/>
      <c r="BQ39" s="341"/>
      <c r="BR39" s="318"/>
      <c r="BS39" s="318"/>
      <c r="BT39" s="318"/>
      <c r="BU39" s="318"/>
      <c r="BV39" s="318"/>
      <c r="BW39" s="318"/>
      <c r="BX39" s="318"/>
      <c r="BY39" s="318"/>
      <c r="BZ39" s="318"/>
      <c r="CA39" s="318"/>
      <c r="CB39" s="318"/>
      <c r="CC39" s="283"/>
      <c r="CD39" s="283"/>
      <c r="CE39" s="283"/>
      <c r="CF39" s="283"/>
      <c r="CG39" s="283"/>
      <c r="CH39" s="283"/>
      <c r="CI39" s="283"/>
      <c r="CJ39" s="283"/>
      <c r="CK39" s="318"/>
      <c r="CL39" s="318"/>
      <c r="CM39" s="318"/>
      <c r="CN39" s="318"/>
      <c r="CO39" s="318"/>
      <c r="CP39" s="318"/>
      <c r="CQ39" s="318"/>
      <c r="CR39" s="318"/>
      <c r="CS39" s="318"/>
      <c r="CT39" s="318"/>
      <c r="CU39" s="318"/>
      <c r="CV39" s="318"/>
      <c r="CW39" s="318"/>
      <c r="CX39" s="318"/>
      <c r="CY39" s="318"/>
      <c r="CZ39" s="318"/>
      <c r="DA39" s="318"/>
      <c r="DB39" s="318"/>
      <c r="DC39" s="318"/>
      <c r="DD39" s="318"/>
      <c r="DE39" s="318"/>
      <c r="DF39" s="318"/>
      <c r="DG39" s="318"/>
      <c r="DH39" s="318"/>
      <c r="DI39" s="318"/>
      <c r="DJ39" s="318"/>
      <c r="DK39" s="318"/>
      <c r="DL39" s="342"/>
    </row>
    <row r="40" spans="1:116" ht="32.1" customHeight="1" x14ac:dyDescent="0.25">
      <c r="A40" s="366" t="s">
        <v>23</v>
      </c>
      <c r="B40" s="371" t="s">
        <v>123</v>
      </c>
      <c r="C40" s="368" t="s">
        <v>124</v>
      </c>
      <c r="D40" s="372"/>
      <c r="E40" s="372"/>
      <c r="F40" s="369">
        <v>46874</v>
      </c>
      <c r="G40" s="373">
        <v>47057</v>
      </c>
      <c r="H40" s="364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9"/>
      <c r="U40" s="341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42"/>
      <c r="BQ40" s="341"/>
      <c r="BR40" s="318"/>
      <c r="BS40" s="318"/>
      <c r="BT40" s="318"/>
      <c r="BU40" s="318"/>
      <c r="BV40" s="318"/>
      <c r="BW40" s="318"/>
      <c r="BX40" s="318"/>
      <c r="BY40" s="318"/>
      <c r="BZ40" s="318"/>
      <c r="CA40" s="318"/>
      <c r="CB40" s="318"/>
      <c r="CC40" s="318"/>
      <c r="CD40" s="318"/>
      <c r="CE40" s="318"/>
      <c r="CF40" s="318"/>
      <c r="CG40" s="318"/>
      <c r="CH40" s="318"/>
      <c r="CI40" s="318"/>
      <c r="CJ40" s="318"/>
      <c r="CK40" s="318"/>
      <c r="CL40" s="318"/>
      <c r="CM40" s="318"/>
      <c r="CN40" s="318"/>
      <c r="CO40" s="318"/>
      <c r="CP40" s="318"/>
      <c r="CQ40" s="318"/>
      <c r="CR40" s="318"/>
      <c r="CS40" s="318"/>
      <c r="CT40" s="318"/>
      <c r="CU40" s="318"/>
      <c r="CV40" s="318"/>
      <c r="CW40" s="318"/>
      <c r="CX40" s="318"/>
      <c r="CY40" s="318"/>
      <c r="CZ40" s="318"/>
      <c r="DA40" s="318"/>
      <c r="DB40" s="318"/>
      <c r="DC40" s="318"/>
      <c r="DD40" s="318"/>
      <c r="DE40" s="318"/>
      <c r="DF40" s="318"/>
      <c r="DG40" s="318"/>
      <c r="DH40" s="318"/>
      <c r="DI40" s="318"/>
      <c r="DJ40" s="318"/>
      <c r="DK40" s="318"/>
      <c r="DL40" s="342"/>
    </row>
    <row r="41" spans="1:116" ht="32.1" customHeight="1" x14ac:dyDescent="0.25">
      <c r="A41" s="366" t="s">
        <v>267</v>
      </c>
      <c r="B41" s="367" t="s">
        <v>207</v>
      </c>
      <c r="C41" s="365" t="s">
        <v>208</v>
      </c>
      <c r="D41" s="356">
        <v>1</v>
      </c>
      <c r="E41" s="356" t="s">
        <v>445</v>
      </c>
      <c r="F41" s="370">
        <v>46874</v>
      </c>
      <c r="G41" s="358">
        <v>46903</v>
      </c>
      <c r="H41" s="364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9"/>
      <c r="U41" s="341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8"/>
      <c r="AZ41" s="318"/>
      <c r="BA41" s="318"/>
      <c r="BB41" s="318"/>
      <c r="BC41" s="318"/>
      <c r="BD41" s="318"/>
      <c r="BE41" s="318"/>
      <c r="BF41" s="318"/>
      <c r="BG41" s="318"/>
      <c r="BH41" s="318"/>
      <c r="BI41" s="318"/>
      <c r="BJ41" s="318"/>
      <c r="BK41" s="318"/>
      <c r="BL41" s="318"/>
      <c r="BM41" s="318"/>
      <c r="BN41" s="318"/>
      <c r="BO41" s="318"/>
      <c r="BP41" s="342"/>
      <c r="BQ41" s="341"/>
      <c r="BR41" s="318"/>
      <c r="BS41" s="318"/>
      <c r="BT41" s="318"/>
      <c r="BU41" s="318"/>
      <c r="BV41" s="318"/>
      <c r="BW41" s="318"/>
      <c r="BX41" s="318"/>
      <c r="BY41" s="318"/>
      <c r="BZ41" s="318"/>
      <c r="CA41" s="318"/>
      <c r="CB41" s="318"/>
      <c r="CC41" s="318"/>
      <c r="CD41" s="318"/>
      <c r="CE41" s="318"/>
      <c r="CF41" s="318"/>
      <c r="CG41" s="283"/>
      <c r="CH41" s="283"/>
      <c r="CI41" s="283"/>
      <c r="CJ41" s="283"/>
      <c r="CK41" s="318"/>
      <c r="CL41" s="318"/>
      <c r="CM41" s="318"/>
      <c r="CN41" s="318"/>
      <c r="CO41" s="318"/>
      <c r="CP41" s="318"/>
      <c r="CQ41" s="318"/>
      <c r="CR41" s="318"/>
      <c r="CS41" s="318"/>
      <c r="CT41" s="318"/>
      <c r="CU41" s="318"/>
      <c r="CV41" s="318"/>
      <c r="CW41" s="318"/>
      <c r="CX41" s="318"/>
      <c r="CY41" s="318"/>
      <c r="CZ41" s="318"/>
      <c r="DA41" s="318"/>
      <c r="DB41" s="318"/>
      <c r="DC41" s="318"/>
      <c r="DD41" s="318"/>
      <c r="DE41" s="318"/>
      <c r="DF41" s="318"/>
      <c r="DG41" s="318"/>
      <c r="DH41" s="318"/>
      <c r="DI41" s="318"/>
      <c r="DJ41" s="318"/>
      <c r="DK41" s="318"/>
      <c r="DL41" s="342"/>
    </row>
    <row r="42" spans="1:116" ht="32.1" customHeight="1" x14ac:dyDescent="0.25">
      <c r="A42" s="366" t="s">
        <v>268</v>
      </c>
      <c r="B42" s="367" t="s">
        <v>209</v>
      </c>
      <c r="C42" s="365" t="s">
        <v>210</v>
      </c>
      <c r="D42" s="356">
        <v>1</v>
      </c>
      <c r="E42" s="356" t="s">
        <v>445</v>
      </c>
      <c r="F42" s="370">
        <v>46874</v>
      </c>
      <c r="G42" s="358">
        <v>46903</v>
      </c>
      <c r="H42" s="364"/>
      <c r="I42" s="312"/>
      <c r="J42" s="312"/>
      <c r="K42" s="312"/>
      <c r="L42" s="312"/>
      <c r="M42" s="312"/>
      <c r="N42" s="312"/>
      <c r="O42" s="312"/>
      <c r="P42" s="312"/>
      <c r="Q42" s="312"/>
      <c r="R42" s="312"/>
      <c r="S42" s="312"/>
      <c r="T42" s="319"/>
      <c r="U42" s="341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  <c r="AJ42" s="318"/>
      <c r="AK42" s="318"/>
      <c r="AL42" s="318"/>
      <c r="AM42" s="318"/>
      <c r="AN42" s="318"/>
      <c r="AO42" s="318"/>
      <c r="AP42" s="318"/>
      <c r="AQ42" s="318"/>
      <c r="AR42" s="318"/>
      <c r="AS42" s="318"/>
      <c r="AT42" s="318"/>
      <c r="AU42" s="318"/>
      <c r="AV42" s="318"/>
      <c r="AW42" s="318"/>
      <c r="AX42" s="318"/>
      <c r="AY42" s="318"/>
      <c r="AZ42" s="318"/>
      <c r="BA42" s="318"/>
      <c r="BB42" s="318"/>
      <c r="BC42" s="318"/>
      <c r="BD42" s="318"/>
      <c r="BE42" s="318"/>
      <c r="BF42" s="318"/>
      <c r="BG42" s="318"/>
      <c r="BH42" s="318"/>
      <c r="BI42" s="318"/>
      <c r="BJ42" s="318"/>
      <c r="BK42" s="318"/>
      <c r="BL42" s="318"/>
      <c r="BM42" s="318"/>
      <c r="BN42" s="318"/>
      <c r="BO42" s="318"/>
      <c r="BP42" s="342"/>
      <c r="BQ42" s="341"/>
      <c r="BR42" s="318"/>
      <c r="BS42" s="318"/>
      <c r="BT42" s="318"/>
      <c r="BU42" s="318"/>
      <c r="BV42" s="318"/>
      <c r="BW42" s="318"/>
      <c r="BX42" s="318"/>
      <c r="BY42" s="318"/>
      <c r="BZ42" s="318"/>
      <c r="CA42" s="318"/>
      <c r="CB42" s="318"/>
      <c r="CC42" s="318"/>
      <c r="CD42" s="318"/>
      <c r="CE42" s="318"/>
      <c r="CF42" s="318"/>
      <c r="CG42" s="283"/>
      <c r="CH42" s="283"/>
      <c r="CI42" s="283"/>
      <c r="CJ42" s="283"/>
      <c r="CK42" s="318"/>
      <c r="CL42" s="318"/>
      <c r="CM42" s="318"/>
      <c r="CN42" s="318"/>
      <c r="CO42" s="318"/>
      <c r="CP42" s="318"/>
      <c r="CQ42" s="318"/>
      <c r="CR42" s="318"/>
      <c r="CS42" s="318"/>
      <c r="CT42" s="318"/>
      <c r="CU42" s="318"/>
      <c r="CV42" s="318"/>
      <c r="CW42" s="318"/>
      <c r="CX42" s="318"/>
      <c r="CY42" s="318"/>
      <c r="CZ42" s="318"/>
      <c r="DA42" s="318"/>
      <c r="DB42" s="318"/>
      <c r="DC42" s="318"/>
      <c r="DD42" s="318"/>
      <c r="DE42" s="318"/>
      <c r="DF42" s="318"/>
      <c r="DG42" s="318"/>
      <c r="DH42" s="318"/>
      <c r="DI42" s="318"/>
      <c r="DJ42" s="318"/>
      <c r="DK42" s="318"/>
      <c r="DL42" s="342"/>
    </row>
    <row r="43" spans="1:116" ht="32.1" customHeight="1" x14ac:dyDescent="0.25">
      <c r="A43" s="366" t="s">
        <v>24</v>
      </c>
      <c r="B43" s="367" t="s">
        <v>125</v>
      </c>
      <c r="C43" s="365" t="s">
        <v>126</v>
      </c>
      <c r="D43" s="356">
        <v>1</v>
      </c>
      <c r="E43" s="356" t="s">
        <v>445</v>
      </c>
      <c r="F43" s="370">
        <v>46874</v>
      </c>
      <c r="G43" s="358">
        <v>46903</v>
      </c>
      <c r="H43" s="364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9"/>
      <c r="U43" s="341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  <c r="AJ43" s="318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8"/>
      <c r="AZ43" s="318"/>
      <c r="BA43" s="318"/>
      <c r="BB43" s="318"/>
      <c r="BC43" s="318"/>
      <c r="BD43" s="318"/>
      <c r="BE43" s="318"/>
      <c r="BF43" s="318"/>
      <c r="BG43" s="318"/>
      <c r="BH43" s="318"/>
      <c r="BI43" s="318"/>
      <c r="BJ43" s="318"/>
      <c r="BK43" s="318"/>
      <c r="BL43" s="318"/>
      <c r="BM43" s="318"/>
      <c r="BN43" s="318"/>
      <c r="BO43" s="318"/>
      <c r="BP43" s="342"/>
      <c r="BQ43" s="341"/>
      <c r="BR43" s="318"/>
      <c r="BS43" s="318"/>
      <c r="BT43" s="318"/>
      <c r="BU43" s="318"/>
      <c r="BV43" s="318"/>
      <c r="BW43" s="318"/>
      <c r="BX43" s="318"/>
      <c r="BY43" s="318"/>
      <c r="BZ43" s="318"/>
      <c r="CA43" s="318"/>
      <c r="CB43" s="318"/>
      <c r="CC43" s="318"/>
      <c r="CD43" s="318"/>
      <c r="CE43" s="318"/>
      <c r="CF43" s="318"/>
      <c r="CG43" s="283"/>
      <c r="CH43" s="283"/>
      <c r="CI43" s="283"/>
      <c r="CJ43" s="283"/>
      <c r="CK43" s="318"/>
      <c r="CL43" s="318"/>
      <c r="CM43" s="318"/>
      <c r="CN43" s="318"/>
      <c r="CO43" s="318"/>
      <c r="CP43" s="318"/>
      <c r="CQ43" s="318"/>
      <c r="CR43" s="318"/>
      <c r="CS43" s="318"/>
      <c r="CT43" s="318"/>
      <c r="CU43" s="318"/>
      <c r="CV43" s="318"/>
      <c r="CW43" s="318"/>
      <c r="CX43" s="318"/>
      <c r="CY43" s="318"/>
      <c r="CZ43" s="318"/>
      <c r="DA43" s="318"/>
      <c r="DB43" s="318"/>
      <c r="DC43" s="318"/>
      <c r="DD43" s="318"/>
      <c r="DE43" s="318"/>
      <c r="DF43" s="318"/>
      <c r="DG43" s="318"/>
      <c r="DH43" s="318"/>
      <c r="DI43" s="318"/>
      <c r="DJ43" s="318"/>
      <c r="DK43" s="318"/>
      <c r="DL43" s="342"/>
    </row>
    <row r="44" spans="1:116" ht="32.1" customHeight="1" x14ac:dyDescent="0.25">
      <c r="A44" s="366" t="s">
        <v>25</v>
      </c>
      <c r="B44" s="367" t="s">
        <v>128</v>
      </c>
      <c r="C44" s="365" t="s">
        <v>129</v>
      </c>
      <c r="D44" s="356">
        <v>1</v>
      </c>
      <c r="E44" s="356" t="s">
        <v>445</v>
      </c>
      <c r="F44" s="370">
        <v>46905</v>
      </c>
      <c r="G44" s="358">
        <v>47057</v>
      </c>
      <c r="H44" s="364"/>
      <c r="I44" s="312"/>
      <c r="J44" s="312"/>
      <c r="K44" s="312"/>
      <c r="L44" s="312"/>
      <c r="M44" s="312"/>
      <c r="N44" s="312"/>
      <c r="O44" s="312"/>
      <c r="P44" s="312"/>
      <c r="Q44" s="312"/>
      <c r="R44" s="312"/>
      <c r="S44" s="312"/>
      <c r="T44" s="319"/>
      <c r="U44" s="341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8"/>
      <c r="AO44" s="318"/>
      <c r="AP44" s="318"/>
      <c r="AQ44" s="318"/>
      <c r="AR44" s="318"/>
      <c r="AS44" s="318"/>
      <c r="AT44" s="318"/>
      <c r="AU44" s="318"/>
      <c r="AV44" s="318"/>
      <c r="AW44" s="318"/>
      <c r="AX44" s="318"/>
      <c r="AY44" s="318"/>
      <c r="AZ44" s="318"/>
      <c r="BA44" s="318"/>
      <c r="BB44" s="318"/>
      <c r="BC44" s="318"/>
      <c r="BD44" s="318"/>
      <c r="BE44" s="318"/>
      <c r="BF44" s="318"/>
      <c r="BG44" s="318"/>
      <c r="BH44" s="318"/>
      <c r="BI44" s="318"/>
      <c r="BJ44" s="318"/>
      <c r="BK44" s="318"/>
      <c r="BL44" s="318"/>
      <c r="BM44" s="318"/>
      <c r="BN44" s="318"/>
      <c r="BO44" s="318"/>
      <c r="BP44" s="342"/>
      <c r="BQ44" s="341"/>
      <c r="BR44" s="318"/>
      <c r="BS44" s="318"/>
      <c r="BT44" s="318"/>
      <c r="BU44" s="318"/>
      <c r="BV44" s="318"/>
      <c r="BW44" s="318"/>
      <c r="BX44" s="318"/>
      <c r="BY44" s="318"/>
      <c r="BZ44" s="318"/>
      <c r="CA44" s="318"/>
      <c r="CB44" s="318"/>
      <c r="CC44" s="318"/>
      <c r="CD44" s="318"/>
      <c r="CE44" s="318"/>
      <c r="CF44" s="318"/>
      <c r="CG44" s="318"/>
      <c r="CH44" s="318"/>
      <c r="CI44" s="318"/>
      <c r="CJ44" s="318"/>
      <c r="CK44" s="283"/>
      <c r="CL44" s="283"/>
      <c r="CM44" s="283"/>
      <c r="CN44" s="283"/>
      <c r="CO44" s="283"/>
      <c r="CP44" s="283"/>
      <c r="CQ44" s="283"/>
      <c r="CR44" s="283"/>
      <c r="CS44" s="283"/>
      <c r="CT44" s="283"/>
      <c r="CU44" s="283"/>
      <c r="CV44" s="283"/>
      <c r="CW44" s="283"/>
      <c r="CX44" s="283"/>
      <c r="CY44" s="283"/>
      <c r="CZ44" s="283"/>
      <c r="DA44" s="283"/>
      <c r="DB44" s="283"/>
      <c r="DC44" s="283"/>
      <c r="DD44" s="283"/>
      <c r="DE44" s="318"/>
      <c r="DF44" s="318"/>
      <c r="DG44" s="318"/>
      <c r="DH44" s="318"/>
      <c r="DI44" s="318"/>
      <c r="DJ44" s="318"/>
      <c r="DK44" s="318"/>
      <c r="DL44" s="342"/>
    </row>
    <row r="45" spans="1:116" ht="32.1" customHeight="1" x14ac:dyDescent="0.25">
      <c r="A45" s="366" t="s">
        <v>26</v>
      </c>
      <c r="B45" s="367" t="s">
        <v>130</v>
      </c>
      <c r="C45" s="365" t="s">
        <v>131</v>
      </c>
      <c r="D45" s="356">
        <v>1</v>
      </c>
      <c r="E45" s="356" t="s">
        <v>445</v>
      </c>
      <c r="F45" s="370">
        <v>46905</v>
      </c>
      <c r="G45" s="358">
        <v>46996</v>
      </c>
      <c r="H45" s="364"/>
      <c r="I45" s="312"/>
      <c r="J45" s="312"/>
      <c r="K45" s="312"/>
      <c r="L45" s="312"/>
      <c r="M45" s="312"/>
      <c r="N45" s="312"/>
      <c r="O45" s="312"/>
      <c r="P45" s="312"/>
      <c r="Q45" s="312"/>
      <c r="R45" s="312"/>
      <c r="S45" s="312"/>
      <c r="T45" s="319"/>
      <c r="U45" s="341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  <c r="AJ45" s="318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8"/>
      <c r="AZ45" s="318"/>
      <c r="BA45" s="318"/>
      <c r="BB45" s="318"/>
      <c r="BC45" s="318"/>
      <c r="BD45" s="318"/>
      <c r="BE45" s="318"/>
      <c r="BF45" s="318"/>
      <c r="BG45" s="318"/>
      <c r="BH45" s="318"/>
      <c r="BI45" s="318"/>
      <c r="BJ45" s="318"/>
      <c r="BK45" s="318"/>
      <c r="BL45" s="318"/>
      <c r="BM45" s="318"/>
      <c r="BN45" s="318"/>
      <c r="BO45" s="318"/>
      <c r="BP45" s="342"/>
      <c r="BQ45" s="341"/>
      <c r="BR45" s="318"/>
      <c r="BS45" s="318"/>
      <c r="BT45" s="318"/>
      <c r="BU45" s="318"/>
      <c r="BV45" s="318"/>
      <c r="BW45" s="318"/>
      <c r="BX45" s="318"/>
      <c r="BY45" s="318"/>
      <c r="BZ45" s="318"/>
      <c r="CA45" s="318"/>
      <c r="CB45" s="318"/>
      <c r="CC45" s="318"/>
      <c r="CD45" s="318"/>
      <c r="CE45" s="318"/>
      <c r="CF45" s="318"/>
      <c r="CG45" s="318"/>
      <c r="CH45" s="318"/>
      <c r="CI45" s="318"/>
      <c r="CJ45" s="318"/>
      <c r="CK45" s="283"/>
      <c r="CL45" s="283"/>
      <c r="CM45" s="283"/>
      <c r="CN45" s="283"/>
      <c r="CO45" s="283"/>
      <c r="CP45" s="283"/>
      <c r="CQ45" s="283"/>
      <c r="CR45" s="283"/>
      <c r="CS45" s="283"/>
      <c r="CT45" s="283"/>
      <c r="CU45" s="283"/>
      <c r="CV45" s="283"/>
      <c r="CW45" s="283"/>
      <c r="CX45" s="318"/>
      <c r="CY45" s="318"/>
      <c r="CZ45" s="318"/>
      <c r="DA45" s="318"/>
      <c r="DB45" s="318"/>
      <c r="DC45" s="318"/>
      <c r="DD45" s="318"/>
      <c r="DE45" s="318"/>
      <c r="DF45" s="318"/>
      <c r="DG45" s="318"/>
      <c r="DH45" s="318"/>
      <c r="DI45" s="318"/>
      <c r="DJ45" s="318"/>
      <c r="DK45" s="318"/>
      <c r="DL45" s="342"/>
    </row>
    <row r="46" spans="1:116" ht="32.1" customHeight="1" x14ac:dyDescent="0.25">
      <c r="A46" s="320" t="s">
        <v>27</v>
      </c>
      <c r="B46" s="374" t="s">
        <v>52</v>
      </c>
      <c r="C46" s="368" t="s">
        <v>278</v>
      </c>
      <c r="D46" s="352"/>
      <c r="E46" s="352"/>
      <c r="F46" s="369">
        <v>46997</v>
      </c>
      <c r="G46" s="373">
        <v>47056</v>
      </c>
      <c r="H46" s="364"/>
      <c r="I46" s="312"/>
      <c r="J46" s="312"/>
      <c r="K46" s="312"/>
      <c r="L46" s="312"/>
      <c r="M46" s="312"/>
      <c r="N46" s="312"/>
      <c r="O46" s="312"/>
      <c r="P46" s="312"/>
      <c r="Q46" s="312"/>
      <c r="R46" s="312"/>
      <c r="S46" s="312"/>
      <c r="T46" s="319"/>
      <c r="U46" s="341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8"/>
      <c r="AJ46" s="318"/>
      <c r="AK46" s="318"/>
      <c r="AL46" s="318"/>
      <c r="AM46" s="318"/>
      <c r="AN46" s="318"/>
      <c r="AO46" s="318"/>
      <c r="AP46" s="318"/>
      <c r="AQ46" s="318"/>
      <c r="AR46" s="318"/>
      <c r="AS46" s="318"/>
      <c r="AT46" s="318"/>
      <c r="AU46" s="318"/>
      <c r="AV46" s="318"/>
      <c r="AW46" s="318"/>
      <c r="AX46" s="318"/>
      <c r="AY46" s="318"/>
      <c r="AZ46" s="318"/>
      <c r="BA46" s="318"/>
      <c r="BB46" s="318"/>
      <c r="BC46" s="318"/>
      <c r="BD46" s="318"/>
      <c r="BE46" s="318"/>
      <c r="BF46" s="318"/>
      <c r="BG46" s="318"/>
      <c r="BH46" s="318"/>
      <c r="BI46" s="318"/>
      <c r="BJ46" s="318"/>
      <c r="BK46" s="318"/>
      <c r="BL46" s="318"/>
      <c r="BM46" s="318"/>
      <c r="BN46" s="318"/>
      <c r="BO46" s="318"/>
      <c r="BP46" s="342"/>
      <c r="BQ46" s="341"/>
      <c r="BR46" s="318"/>
      <c r="BS46" s="318"/>
      <c r="BT46" s="318"/>
      <c r="BU46" s="318"/>
      <c r="BV46" s="318"/>
      <c r="BW46" s="318"/>
      <c r="BX46" s="318"/>
      <c r="BY46" s="318"/>
      <c r="BZ46" s="318"/>
      <c r="CA46" s="318"/>
      <c r="CB46" s="318"/>
      <c r="CC46" s="318"/>
      <c r="CD46" s="318"/>
      <c r="CE46" s="318"/>
      <c r="CF46" s="318"/>
      <c r="CG46" s="318"/>
      <c r="CH46" s="318"/>
      <c r="CI46" s="318"/>
      <c r="CJ46" s="318"/>
      <c r="CK46" s="318"/>
      <c r="CL46" s="318"/>
      <c r="CM46" s="318"/>
      <c r="CN46" s="318"/>
      <c r="CO46" s="318"/>
      <c r="CP46" s="318"/>
      <c r="CQ46" s="318"/>
      <c r="CR46" s="318"/>
      <c r="CS46" s="318"/>
      <c r="CT46" s="318"/>
      <c r="CU46" s="318"/>
      <c r="CV46" s="318"/>
      <c r="CW46" s="318"/>
      <c r="CX46" s="318"/>
      <c r="CY46" s="318"/>
      <c r="CZ46" s="318"/>
      <c r="DA46" s="318"/>
      <c r="DB46" s="318"/>
      <c r="DC46" s="318"/>
      <c r="DD46" s="318"/>
      <c r="DE46" s="318"/>
      <c r="DF46" s="318"/>
      <c r="DG46" s="318"/>
      <c r="DH46" s="318"/>
      <c r="DI46" s="318"/>
      <c r="DJ46" s="318"/>
      <c r="DK46" s="318"/>
      <c r="DL46" s="342"/>
    </row>
    <row r="47" spans="1:116" ht="50.25" customHeight="1" x14ac:dyDescent="0.25">
      <c r="A47" s="366" t="s">
        <v>28</v>
      </c>
      <c r="B47" s="367" t="s">
        <v>211</v>
      </c>
      <c r="C47" s="365" t="s">
        <v>212</v>
      </c>
      <c r="D47" s="356">
        <v>1</v>
      </c>
      <c r="E47" s="356" t="s">
        <v>445</v>
      </c>
      <c r="F47" s="370">
        <v>46997</v>
      </c>
      <c r="G47" s="358">
        <v>47026</v>
      </c>
      <c r="H47" s="364"/>
      <c r="I47" s="312"/>
      <c r="J47" s="312"/>
      <c r="K47" s="312"/>
      <c r="L47" s="312"/>
      <c r="M47" s="312"/>
      <c r="N47" s="312"/>
      <c r="O47" s="312"/>
      <c r="P47" s="312"/>
      <c r="Q47" s="312"/>
      <c r="R47" s="312"/>
      <c r="S47" s="312"/>
      <c r="T47" s="319"/>
      <c r="U47" s="341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  <c r="AJ47" s="318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8"/>
      <c r="AZ47" s="318"/>
      <c r="BA47" s="318"/>
      <c r="BB47" s="318"/>
      <c r="BC47" s="318"/>
      <c r="BD47" s="318"/>
      <c r="BE47" s="318"/>
      <c r="BF47" s="318"/>
      <c r="BG47" s="318"/>
      <c r="BH47" s="318"/>
      <c r="BI47" s="318"/>
      <c r="BJ47" s="318"/>
      <c r="BK47" s="318"/>
      <c r="BL47" s="318"/>
      <c r="BM47" s="318"/>
      <c r="BN47" s="318"/>
      <c r="BO47" s="318"/>
      <c r="BP47" s="342"/>
      <c r="BQ47" s="341"/>
      <c r="BR47" s="318"/>
      <c r="BS47" s="318"/>
      <c r="BT47" s="318"/>
      <c r="BU47" s="318"/>
      <c r="BV47" s="318"/>
      <c r="BW47" s="318"/>
      <c r="BX47" s="318"/>
      <c r="BY47" s="318"/>
      <c r="BZ47" s="318"/>
      <c r="CA47" s="318"/>
      <c r="CB47" s="318"/>
      <c r="CC47" s="318"/>
      <c r="CD47" s="318"/>
      <c r="CE47" s="318"/>
      <c r="CF47" s="318"/>
      <c r="CG47" s="318"/>
      <c r="CH47" s="318"/>
      <c r="CI47" s="318"/>
      <c r="CJ47" s="318"/>
      <c r="CK47" s="318"/>
      <c r="CL47" s="318"/>
      <c r="CM47" s="318"/>
      <c r="CN47" s="318"/>
      <c r="CO47" s="318"/>
      <c r="CP47" s="318"/>
      <c r="CQ47" s="318"/>
      <c r="CR47" s="318"/>
      <c r="CS47" s="318"/>
      <c r="CT47" s="318"/>
      <c r="CU47" s="318"/>
      <c r="CV47" s="318"/>
      <c r="CW47" s="283"/>
      <c r="CX47" s="283"/>
      <c r="CY47" s="283"/>
      <c r="CZ47" s="283"/>
      <c r="DA47" s="318"/>
      <c r="DB47" s="318"/>
      <c r="DC47" s="318"/>
      <c r="DD47" s="318"/>
      <c r="DE47" s="318"/>
      <c r="DF47" s="318"/>
      <c r="DG47" s="318"/>
      <c r="DH47" s="318"/>
      <c r="DI47" s="318"/>
      <c r="DJ47" s="318"/>
      <c r="DK47" s="318"/>
      <c r="DL47" s="342"/>
    </row>
    <row r="48" spans="1:116" ht="52.5" customHeight="1" x14ac:dyDescent="0.25">
      <c r="A48" s="366" t="s">
        <v>29</v>
      </c>
      <c r="B48" s="367" t="s">
        <v>213</v>
      </c>
      <c r="C48" s="365" t="s">
        <v>214</v>
      </c>
      <c r="D48" s="356">
        <v>1</v>
      </c>
      <c r="E48" s="356" t="s">
        <v>445</v>
      </c>
      <c r="F48" s="370">
        <v>46997</v>
      </c>
      <c r="G48" s="358">
        <v>47056</v>
      </c>
      <c r="H48" s="364"/>
      <c r="I48" s="312"/>
      <c r="J48" s="312"/>
      <c r="K48" s="312"/>
      <c r="L48" s="312"/>
      <c r="M48" s="312"/>
      <c r="N48" s="312"/>
      <c r="O48" s="312"/>
      <c r="P48" s="312"/>
      <c r="Q48" s="312"/>
      <c r="R48" s="312"/>
      <c r="S48" s="312"/>
      <c r="T48" s="319"/>
      <c r="U48" s="341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  <c r="AJ48" s="318"/>
      <c r="AK48" s="318"/>
      <c r="AL48" s="318"/>
      <c r="AM48" s="318"/>
      <c r="AN48" s="318"/>
      <c r="AO48" s="318"/>
      <c r="AP48" s="318"/>
      <c r="AQ48" s="318"/>
      <c r="AR48" s="318"/>
      <c r="AS48" s="318"/>
      <c r="AT48" s="318"/>
      <c r="AU48" s="318"/>
      <c r="AV48" s="318"/>
      <c r="AW48" s="318"/>
      <c r="AX48" s="318"/>
      <c r="AY48" s="318"/>
      <c r="AZ48" s="318"/>
      <c r="BA48" s="318"/>
      <c r="BB48" s="318"/>
      <c r="BC48" s="318"/>
      <c r="BD48" s="318"/>
      <c r="BE48" s="318"/>
      <c r="BF48" s="318"/>
      <c r="BG48" s="318"/>
      <c r="BH48" s="318"/>
      <c r="BI48" s="318"/>
      <c r="BJ48" s="318"/>
      <c r="BK48" s="318"/>
      <c r="BL48" s="318"/>
      <c r="BM48" s="318"/>
      <c r="BN48" s="318"/>
      <c r="BO48" s="318"/>
      <c r="BP48" s="342"/>
      <c r="BQ48" s="341"/>
      <c r="BR48" s="318"/>
      <c r="BS48" s="318"/>
      <c r="BT48" s="318"/>
      <c r="BU48" s="318"/>
      <c r="BV48" s="318"/>
      <c r="BW48" s="318"/>
      <c r="BX48" s="318"/>
      <c r="BY48" s="318"/>
      <c r="BZ48" s="318"/>
      <c r="CA48" s="318"/>
      <c r="CB48" s="318"/>
      <c r="CC48" s="318"/>
      <c r="CD48" s="318"/>
      <c r="CE48" s="318"/>
      <c r="CF48" s="318"/>
      <c r="CG48" s="318"/>
      <c r="CH48" s="318"/>
      <c r="CI48" s="318"/>
      <c r="CJ48" s="318"/>
      <c r="CK48" s="318"/>
      <c r="CL48" s="318"/>
      <c r="CM48" s="318"/>
      <c r="CN48" s="318"/>
      <c r="CO48" s="318"/>
      <c r="CP48" s="318"/>
      <c r="CQ48" s="318"/>
      <c r="CR48" s="318"/>
      <c r="CS48" s="318"/>
      <c r="CT48" s="318"/>
      <c r="CU48" s="318"/>
      <c r="CV48" s="318"/>
      <c r="CW48" s="283"/>
      <c r="CX48" s="283"/>
      <c r="CY48" s="283"/>
      <c r="CZ48" s="283"/>
      <c r="DA48" s="283"/>
      <c r="DB48" s="283"/>
      <c r="DC48" s="283"/>
      <c r="DD48" s="283"/>
      <c r="DE48" s="318"/>
      <c r="DF48" s="318"/>
      <c r="DG48" s="318"/>
      <c r="DH48" s="318"/>
      <c r="DI48" s="318"/>
      <c r="DJ48" s="318"/>
      <c r="DK48" s="318"/>
      <c r="DL48" s="342"/>
    </row>
    <row r="49" spans="1:116" ht="32.1" customHeight="1" x14ac:dyDescent="0.25">
      <c r="A49" s="366" t="s">
        <v>251</v>
      </c>
      <c r="B49" s="367" t="s">
        <v>215</v>
      </c>
      <c r="C49" s="365" t="s">
        <v>216</v>
      </c>
      <c r="D49" s="356">
        <v>1</v>
      </c>
      <c r="E49" s="356" t="s">
        <v>445</v>
      </c>
      <c r="F49" s="370">
        <v>46997</v>
      </c>
      <c r="G49" s="358">
        <v>47026</v>
      </c>
      <c r="H49" s="364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9"/>
      <c r="U49" s="341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  <c r="AJ49" s="318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8"/>
      <c r="AZ49" s="318"/>
      <c r="BA49" s="318"/>
      <c r="BB49" s="318"/>
      <c r="BC49" s="318"/>
      <c r="BD49" s="318"/>
      <c r="BE49" s="318"/>
      <c r="BF49" s="318"/>
      <c r="BG49" s="318"/>
      <c r="BH49" s="318"/>
      <c r="BI49" s="318"/>
      <c r="BJ49" s="318"/>
      <c r="BK49" s="318"/>
      <c r="BL49" s="318"/>
      <c r="BM49" s="318"/>
      <c r="BN49" s="318"/>
      <c r="BO49" s="318"/>
      <c r="BP49" s="342"/>
      <c r="BQ49" s="341"/>
      <c r="BR49" s="318"/>
      <c r="BS49" s="318"/>
      <c r="BT49" s="318"/>
      <c r="BU49" s="318"/>
      <c r="BV49" s="318"/>
      <c r="BW49" s="318"/>
      <c r="BX49" s="318"/>
      <c r="BY49" s="318"/>
      <c r="BZ49" s="318"/>
      <c r="CA49" s="318"/>
      <c r="CB49" s="318"/>
      <c r="CC49" s="318"/>
      <c r="CD49" s="318"/>
      <c r="CE49" s="318"/>
      <c r="CF49" s="318"/>
      <c r="CG49" s="318"/>
      <c r="CH49" s="318"/>
      <c r="CI49" s="318"/>
      <c r="CJ49" s="318"/>
      <c r="CK49" s="318"/>
      <c r="CL49" s="318"/>
      <c r="CM49" s="318"/>
      <c r="CN49" s="318"/>
      <c r="CO49" s="318"/>
      <c r="CP49" s="318"/>
      <c r="CQ49" s="318"/>
      <c r="CR49" s="318"/>
      <c r="CS49" s="318"/>
      <c r="CT49" s="318"/>
      <c r="CU49" s="318"/>
      <c r="CV49" s="318"/>
      <c r="CW49" s="283"/>
      <c r="CX49" s="283"/>
      <c r="CY49" s="283"/>
      <c r="CZ49" s="283"/>
      <c r="DA49" s="318"/>
      <c r="DB49" s="318"/>
      <c r="DC49" s="318"/>
      <c r="DD49" s="318"/>
      <c r="DE49" s="318"/>
      <c r="DF49" s="318"/>
      <c r="DG49" s="318"/>
      <c r="DH49" s="318"/>
      <c r="DI49" s="318"/>
      <c r="DJ49" s="318"/>
      <c r="DK49" s="318"/>
      <c r="DL49" s="342"/>
    </row>
    <row r="50" spans="1:116" ht="48" customHeight="1" x14ac:dyDescent="0.25">
      <c r="A50" s="366" t="s">
        <v>269</v>
      </c>
      <c r="B50" s="367" t="s">
        <v>217</v>
      </c>
      <c r="C50" s="365" t="s">
        <v>218</v>
      </c>
      <c r="D50" s="356">
        <v>1</v>
      </c>
      <c r="E50" s="356" t="s">
        <v>445</v>
      </c>
      <c r="F50" s="370">
        <v>46997</v>
      </c>
      <c r="G50" s="358">
        <v>47056</v>
      </c>
      <c r="H50" s="364"/>
      <c r="I50" s="312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9"/>
      <c r="U50" s="341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8"/>
      <c r="AJ50" s="318"/>
      <c r="AK50" s="318"/>
      <c r="AL50" s="318"/>
      <c r="AM50" s="318"/>
      <c r="AN50" s="318"/>
      <c r="AO50" s="318"/>
      <c r="AP50" s="318"/>
      <c r="AQ50" s="318"/>
      <c r="AR50" s="318"/>
      <c r="AS50" s="318"/>
      <c r="AT50" s="318"/>
      <c r="AU50" s="318"/>
      <c r="AV50" s="318"/>
      <c r="AW50" s="318"/>
      <c r="AX50" s="318"/>
      <c r="AY50" s="318"/>
      <c r="AZ50" s="318"/>
      <c r="BA50" s="318"/>
      <c r="BB50" s="318"/>
      <c r="BC50" s="318"/>
      <c r="BD50" s="318"/>
      <c r="BE50" s="318"/>
      <c r="BF50" s="318"/>
      <c r="BG50" s="318"/>
      <c r="BH50" s="318"/>
      <c r="BI50" s="318"/>
      <c r="BJ50" s="318"/>
      <c r="BK50" s="318"/>
      <c r="BL50" s="318"/>
      <c r="BM50" s="318"/>
      <c r="BN50" s="318"/>
      <c r="BO50" s="318"/>
      <c r="BP50" s="342"/>
      <c r="BQ50" s="341"/>
      <c r="BR50" s="318"/>
      <c r="BS50" s="318"/>
      <c r="BT50" s="318"/>
      <c r="BU50" s="318"/>
      <c r="BV50" s="318"/>
      <c r="BW50" s="318"/>
      <c r="BX50" s="318"/>
      <c r="BY50" s="318"/>
      <c r="BZ50" s="318"/>
      <c r="CA50" s="318"/>
      <c r="CB50" s="318"/>
      <c r="CC50" s="318"/>
      <c r="CD50" s="318"/>
      <c r="CE50" s="318"/>
      <c r="CF50" s="318"/>
      <c r="CG50" s="318"/>
      <c r="CH50" s="318"/>
      <c r="CI50" s="318"/>
      <c r="CJ50" s="318"/>
      <c r="CK50" s="318"/>
      <c r="CL50" s="318"/>
      <c r="CM50" s="318"/>
      <c r="CN50" s="318"/>
      <c r="CO50" s="318"/>
      <c r="CP50" s="318"/>
      <c r="CQ50" s="318"/>
      <c r="CR50" s="318"/>
      <c r="CS50" s="318"/>
      <c r="CT50" s="318"/>
      <c r="CU50" s="318"/>
      <c r="CV50" s="318"/>
      <c r="CW50" s="283"/>
      <c r="CX50" s="283"/>
      <c r="CY50" s="283"/>
      <c r="CZ50" s="283"/>
      <c r="DA50" s="283"/>
      <c r="DB50" s="283"/>
      <c r="DC50" s="283"/>
      <c r="DD50" s="283"/>
      <c r="DE50" s="318"/>
      <c r="DF50" s="318"/>
      <c r="DG50" s="318"/>
      <c r="DH50" s="318"/>
      <c r="DI50" s="318"/>
      <c r="DJ50" s="318"/>
      <c r="DK50" s="318"/>
      <c r="DL50" s="342"/>
    </row>
    <row r="51" spans="1:116" ht="32.1" customHeight="1" x14ac:dyDescent="0.25">
      <c r="A51" s="366" t="s">
        <v>270</v>
      </c>
      <c r="B51" s="367" t="s">
        <v>219</v>
      </c>
      <c r="C51" s="365" t="s">
        <v>220</v>
      </c>
      <c r="D51" s="356">
        <v>1</v>
      </c>
      <c r="E51" s="356" t="s">
        <v>445</v>
      </c>
      <c r="F51" s="370">
        <v>46997</v>
      </c>
      <c r="G51" s="358">
        <v>47026</v>
      </c>
      <c r="H51" s="364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9"/>
      <c r="U51" s="341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  <c r="AJ51" s="318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8"/>
      <c r="AZ51" s="318"/>
      <c r="BA51" s="318"/>
      <c r="BB51" s="318"/>
      <c r="BC51" s="318"/>
      <c r="BD51" s="318"/>
      <c r="BE51" s="318"/>
      <c r="BF51" s="318"/>
      <c r="BG51" s="318"/>
      <c r="BH51" s="318"/>
      <c r="BI51" s="318"/>
      <c r="BJ51" s="318"/>
      <c r="BK51" s="318"/>
      <c r="BL51" s="318"/>
      <c r="BM51" s="318"/>
      <c r="BN51" s="318"/>
      <c r="BO51" s="318"/>
      <c r="BP51" s="342"/>
      <c r="BQ51" s="341"/>
      <c r="BR51" s="318"/>
      <c r="BS51" s="318"/>
      <c r="BT51" s="318"/>
      <c r="BU51" s="318"/>
      <c r="BV51" s="318"/>
      <c r="BW51" s="318"/>
      <c r="BX51" s="318"/>
      <c r="BY51" s="318"/>
      <c r="BZ51" s="318"/>
      <c r="CA51" s="318"/>
      <c r="CB51" s="318"/>
      <c r="CC51" s="318"/>
      <c r="CD51" s="318"/>
      <c r="CE51" s="318"/>
      <c r="CF51" s="318"/>
      <c r="CG51" s="318"/>
      <c r="CH51" s="318"/>
      <c r="CI51" s="318"/>
      <c r="CJ51" s="318"/>
      <c r="CK51" s="318"/>
      <c r="CL51" s="318"/>
      <c r="CM51" s="318"/>
      <c r="CN51" s="318"/>
      <c r="CO51" s="318"/>
      <c r="CP51" s="318"/>
      <c r="CQ51" s="318"/>
      <c r="CR51" s="318"/>
      <c r="CS51" s="318"/>
      <c r="CT51" s="318"/>
      <c r="CU51" s="318"/>
      <c r="CV51" s="318"/>
      <c r="CW51" s="283"/>
      <c r="CX51" s="283"/>
      <c r="CY51" s="283"/>
      <c r="CZ51" s="283"/>
      <c r="DA51" s="318"/>
      <c r="DB51" s="318"/>
      <c r="DC51" s="318"/>
      <c r="DD51" s="318"/>
      <c r="DE51" s="318"/>
      <c r="DF51" s="318"/>
      <c r="DG51" s="318"/>
      <c r="DH51" s="318"/>
      <c r="DI51" s="318"/>
      <c r="DJ51" s="318"/>
      <c r="DK51" s="318"/>
      <c r="DL51" s="342"/>
    </row>
    <row r="52" spans="1:116" ht="32.1" customHeight="1" x14ac:dyDescent="0.25">
      <c r="A52" s="366" t="s">
        <v>271</v>
      </c>
      <c r="B52" s="367" t="s">
        <v>221</v>
      </c>
      <c r="C52" s="365" t="s">
        <v>222</v>
      </c>
      <c r="D52" s="356">
        <v>1</v>
      </c>
      <c r="E52" s="356" t="s">
        <v>445</v>
      </c>
      <c r="F52" s="370">
        <v>46997</v>
      </c>
      <c r="G52" s="358">
        <v>47026</v>
      </c>
      <c r="H52" s="364"/>
      <c r="I52" s="312"/>
      <c r="J52" s="312"/>
      <c r="K52" s="312"/>
      <c r="L52" s="312"/>
      <c r="M52" s="312"/>
      <c r="N52" s="312"/>
      <c r="O52" s="312"/>
      <c r="P52" s="312"/>
      <c r="Q52" s="312"/>
      <c r="R52" s="312"/>
      <c r="S52" s="312"/>
      <c r="T52" s="319"/>
      <c r="U52" s="341"/>
      <c r="V52" s="318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  <c r="AJ52" s="318"/>
      <c r="AK52" s="318"/>
      <c r="AL52" s="318"/>
      <c r="AM52" s="318"/>
      <c r="AN52" s="318"/>
      <c r="AO52" s="318"/>
      <c r="AP52" s="318"/>
      <c r="AQ52" s="318"/>
      <c r="AR52" s="318"/>
      <c r="AS52" s="318"/>
      <c r="AT52" s="318"/>
      <c r="AU52" s="318"/>
      <c r="AV52" s="318"/>
      <c r="AW52" s="318"/>
      <c r="AX52" s="318"/>
      <c r="AY52" s="318"/>
      <c r="AZ52" s="318"/>
      <c r="BA52" s="318"/>
      <c r="BB52" s="318"/>
      <c r="BC52" s="318"/>
      <c r="BD52" s="318"/>
      <c r="BE52" s="318"/>
      <c r="BF52" s="318"/>
      <c r="BG52" s="318"/>
      <c r="BH52" s="318"/>
      <c r="BI52" s="318"/>
      <c r="BJ52" s="318"/>
      <c r="BK52" s="318"/>
      <c r="BL52" s="318"/>
      <c r="BM52" s="318"/>
      <c r="BN52" s="318"/>
      <c r="BO52" s="318"/>
      <c r="BP52" s="342"/>
      <c r="BQ52" s="341"/>
      <c r="BR52" s="318"/>
      <c r="BS52" s="318"/>
      <c r="BT52" s="318"/>
      <c r="BU52" s="318"/>
      <c r="BV52" s="318"/>
      <c r="BW52" s="318"/>
      <c r="BX52" s="318"/>
      <c r="BY52" s="318"/>
      <c r="BZ52" s="318"/>
      <c r="CA52" s="318"/>
      <c r="CB52" s="318"/>
      <c r="CC52" s="318"/>
      <c r="CD52" s="318"/>
      <c r="CE52" s="318"/>
      <c r="CF52" s="318"/>
      <c r="CG52" s="318"/>
      <c r="CH52" s="318"/>
      <c r="CI52" s="318"/>
      <c r="CJ52" s="318"/>
      <c r="CK52" s="318"/>
      <c r="CL52" s="318"/>
      <c r="CM52" s="318"/>
      <c r="CN52" s="318"/>
      <c r="CO52" s="318"/>
      <c r="CP52" s="318"/>
      <c r="CQ52" s="318"/>
      <c r="CR52" s="318"/>
      <c r="CS52" s="318"/>
      <c r="CT52" s="318"/>
      <c r="CU52" s="318"/>
      <c r="CV52" s="318"/>
      <c r="CW52" s="283"/>
      <c r="CX52" s="283"/>
      <c r="CY52" s="283"/>
      <c r="CZ52" s="283"/>
      <c r="DA52" s="318"/>
      <c r="DB52" s="318"/>
      <c r="DC52" s="318"/>
      <c r="DD52" s="318"/>
      <c r="DE52" s="318"/>
      <c r="DF52" s="318"/>
      <c r="DG52" s="318"/>
      <c r="DH52" s="318"/>
      <c r="DI52" s="318"/>
      <c r="DJ52" s="318"/>
      <c r="DK52" s="318"/>
      <c r="DL52" s="342"/>
    </row>
    <row r="53" spans="1:116" ht="50.25" customHeight="1" x14ac:dyDescent="0.25">
      <c r="A53" s="366" t="s">
        <v>272</v>
      </c>
      <c r="B53" s="367" t="s">
        <v>223</v>
      </c>
      <c r="C53" s="365" t="s">
        <v>224</v>
      </c>
      <c r="D53" s="356">
        <v>1</v>
      </c>
      <c r="E53" s="356" t="s">
        <v>445</v>
      </c>
      <c r="F53" s="370">
        <v>46997</v>
      </c>
      <c r="G53" s="358">
        <v>47026</v>
      </c>
      <c r="H53" s="364"/>
      <c r="I53" s="312"/>
      <c r="J53" s="312"/>
      <c r="K53" s="312"/>
      <c r="L53" s="312"/>
      <c r="M53" s="312"/>
      <c r="N53" s="312"/>
      <c r="O53" s="312"/>
      <c r="P53" s="312"/>
      <c r="Q53" s="312"/>
      <c r="R53" s="312"/>
      <c r="S53" s="312"/>
      <c r="T53" s="319"/>
      <c r="U53" s="341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  <c r="AJ53" s="318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8"/>
      <c r="AZ53" s="318"/>
      <c r="BA53" s="318"/>
      <c r="BB53" s="318"/>
      <c r="BC53" s="318"/>
      <c r="BD53" s="318"/>
      <c r="BE53" s="318"/>
      <c r="BF53" s="318"/>
      <c r="BG53" s="318"/>
      <c r="BH53" s="318"/>
      <c r="BI53" s="318"/>
      <c r="BJ53" s="318"/>
      <c r="BK53" s="318"/>
      <c r="BL53" s="318"/>
      <c r="BM53" s="318"/>
      <c r="BN53" s="318"/>
      <c r="BO53" s="318"/>
      <c r="BP53" s="342"/>
      <c r="BQ53" s="341"/>
      <c r="BR53" s="318"/>
      <c r="BS53" s="318"/>
      <c r="BT53" s="318"/>
      <c r="BU53" s="318"/>
      <c r="BV53" s="318"/>
      <c r="BW53" s="318"/>
      <c r="BX53" s="318"/>
      <c r="BY53" s="318"/>
      <c r="BZ53" s="318"/>
      <c r="CA53" s="318"/>
      <c r="CB53" s="318"/>
      <c r="CC53" s="318"/>
      <c r="CD53" s="318"/>
      <c r="CE53" s="318"/>
      <c r="CF53" s="318"/>
      <c r="CG53" s="318"/>
      <c r="CH53" s="318"/>
      <c r="CI53" s="318"/>
      <c r="CJ53" s="318"/>
      <c r="CK53" s="318"/>
      <c r="CL53" s="318"/>
      <c r="CM53" s="318"/>
      <c r="CN53" s="318"/>
      <c r="CO53" s="318"/>
      <c r="CP53" s="318"/>
      <c r="CQ53" s="318"/>
      <c r="CR53" s="318"/>
      <c r="CS53" s="318"/>
      <c r="CT53" s="318"/>
      <c r="CU53" s="318"/>
      <c r="CV53" s="318"/>
      <c r="CW53" s="283"/>
      <c r="CX53" s="283"/>
      <c r="CY53" s="283"/>
      <c r="CZ53" s="283"/>
      <c r="DA53" s="318"/>
      <c r="DB53" s="318"/>
      <c r="DC53" s="318"/>
      <c r="DD53" s="318"/>
      <c r="DE53" s="318"/>
      <c r="DF53" s="318"/>
      <c r="DG53" s="318"/>
      <c r="DH53" s="318"/>
      <c r="DI53" s="318"/>
      <c r="DJ53" s="318"/>
      <c r="DK53" s="318"/>
      <c r="DL53" s="342"/>
    </row>
    <row r="54" spans="1:116" ht="32.1" customHeight="1" x14ac:dyDescent="0.25">
      <c r="A54" s="366" t="s">
        <v>273</v>
      </c>
      <c r="B54" s="367" t="s">
        <v>225</v>
      </c>
      <c r="C54" s="365" t="s">
        <v>226</v>
      </c>
      <c r="D54" s="356">
        <v>1</v>
      </c>
      <c r="E54" s="356" t="s">
        <v>445</v>
      </c>
      <c r="F54" s="370">
        <v>46997</v>
      </c>
      <c r="G54" s="358">
        <v>47026</v>
      </c>
      <c r="H54" s="364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9"/>
      <c r="U54" s="341"/>
      <c r="V54" s="318"/>
      <c r="W54" s="318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8"/>
      <c r="AJ54" s="318"/>
      <c r="AK54" s="318"/>
      <c r="AL54" s="318"/>
      <c r="AM54" s="318"/>
      <c r="AN54" s="318"/>
      <c r="AO54" s="318"/>
      <c r="AP54" s="318"/>
      <c r="AQ54" s="318"/>
      <c r="AR54" s="318"/>
      <c r="AS54" s="318"/>
      <c r="AT54" s="318"/>
      <c r="AU54" s="318"/>
      <c r="AV54" s="318"/>
      <c r="AW54" s="318"/>
      <c r="AX54" s="318"/>
      <c r="AY54" s="318"/>
      <c r="AZ54" s="318"/>
      <c r="BA54" s="318"/>
      <c r="BB54" s="318"/>
      <c r="BC54" s="318"/>
      <c r="BD54" s="318"/>
      <c r="BE54" s="318"/>
      <c r="BF54" s="318"/>
      <c r="BG54" s="318"/>
      <c r="BH54" s="318"/>
      <c r="BI54" s="318"/>
      <c r="BJ54" s="318"/>
      <c r="BK54" s="318"/>
      <c r="BL54" s="318"/>
      <c r="BM54" s="318"/>
      <c r="BN54" s="318"/>
      <c r="BO54" s="318"/>
      <c r="BP54" s="342"/>
      <c r="BQ54" s="341"/>
      <c r="BR54" s="318"/>
      <c r="BS54" s="318"/>
      <c r="BT54" s="318"/>
      <c r="BU54" s="318"/>
      <c r="BV54" s="318"/>
      <c r="BW54" s="318"/>
      <c r="BX54" s="318"/>
      <c r="BY54" s="318"/>
      <c r="BZ54" s="318"/>
      <c r="CA54" s="318"/>
      <c r="CB54" s="318"/>
      <c r="CC54" s="318"/>
      <c r="CD54" s="318"/>
      <c r="CE54" s="318"/>
      <c r="CF54" s="318"/>
      <c r="CG54" s="318"/>
      <c r="CH54" s="318"/>
      <c r="CI54" s="318"/>
      <c r="CJ54" s="318"/>
      <c r="CK54" s="318"/>
      <c r="CL54" s="318"/>
      <c r="CM54" s="318"/>
      <c r="CN54" s="318"/>
      <c r="CO54" s="318"/>
      <c r="CP54" s="318"/>
      <c r="CQ54" s="318"/>
      <c r="CR54" s="318"/>
      <c r="CS54" s="318"/>
      <c r="CT54" s="318"/>
      <c r="CU54" s="318"/>
      <c r="CV54" s="318"/>
      <c r="CW54" s="283"/>
      <c r="CX54" s="283"/>
      <c r="CY54" s="283"/>
      <c r="CZ54" s="283"/>
      <c r="DA54" s="318"/>
      <c r="DB54" s="318"/>
      <c r="DC54" s="318"/>
      <c r="DD54" s="318"/>
      <c r="DE54" s="318"/>
      <c r="DF54" s="318"/>
      <c r="DG54" s="318"/>
      <c r="DH54" s="318"/>
      <c r="DI54" s="318"/>
      <c r="DJ54" s="318"/>
      <c r="DK54" s="318"/>
      <c r="DL54" s="342"/>
    </row>
    <row r="55" spans="1:116" ht="32.1" customHeight="1" x14ac:dyDescent="0.25">
      <c r="A55" s="366" t="s">
        <v>274</v>
      </c>
      <c r="B55" s="367" t="s">
        <v>227</v>
      </c>
      <c r="C55" s="365" t="s">
        <v>220</v>
      </c>
      <c r="D55" s="356">
        <v>1</v>
      </c>
      <c r="E55" s="356" t="s">
        <v>445</v>
      </c>
      <c r="F55" s="370">
        <v>46997</v>
      </c>
      <c r="G55" s="358">
        <v>47026</v>
      </c>
      <c r="H55" s="364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9"/>
      <c r="U55" s="341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8"/>
      <c r="AJ55" s="318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8"/>
      <c r="AZ55" s="318"/>
      <c r="BA55" s="318"/>
      <c r="BB55" s="318"/>
      <c r="BC55" s="318"/>
      <c r="BD55" s="318"/>
      <c r="BE55" s="318"/>
      <c r="BF55" s="318"/>
      <c r="BG55" s="318"/>
      <c r="BH55" s="318"/>
      <c r="BI55" s="318"/>
      <c r="BJ55" s="318"/>
      <c r="BK55" s="318"/>
      <c r="BL55" s="318"/>
      <c r="BM55" s="318"/>
      <c r="BN55" s="318"/>
      <c r="BO55" s="318"/>
      <c r="BP55" s="342"/>
      <c r="BQ55" s="341"/>
      <c r="BR55" s="318"/>
      <c r="BS55" s="318"/>
      <c r="BT55" s="318"/>
      <c r="BU55" s="318"/>
      <c r="BV55" s="318"/>
      <c r="BW55" s="318"/>
      <c r="BX55" s="318"/>
      <c r="BY55" s="318"/>
      <c r="BZ55" s="318"/>
      <c r="CA55" s="318"/>
      <c r="CB55" s="318"/>
      <c r="CC55" s="318"/>
      <c r="CD55" s="318"/>
      <c r="CE55" s="318"/>
      <c r="CF55" s="318"/>
      <c r="CG55" s="318"/>
      <c r="CH55" s="318"/>
      <c r="CI55" s="318"/>
      <c r="CJ55" s="318"/>
      <c r="CK55" s="318"/>
      <c r="CL55" s="318"/>
      <c r="CM55" s="318"/>
      <c r="CN55" s="318"/>
      <c r="CO55" s="318"/>
      <c r="CP55" s="318"/>
      <c r="CQ55" s="318"/>
      <c r="CR55" s="318"/>
      <c r="CS55" s="318"/>
      <c r="CT55" s="318"/>
      <c r="CU55" s="318"/>
      <c r="CV55" s="318"/>
      <c r="CW55" s="283"/>
      <c r="CX55" s="283"/>
      <c r="CY55" s="283"/>
      <c r="CZ55" s="283"/>
      <c r="DA55" s="318"/>
      <c r="DB55" s="318"/>
      <c r="DC55" s="318"/>
      <c r="DD55" s="318"/>
      <c r="DE55" s="318"/>
      <c r="DF55" s="318"/>
      <c r="DG55" s="318"/>
      <c r="DH55" s="318"/>
      <c r="DI55" s="318"/>
      <c r="DJ55" s="318"/>
      <c r="DK55" s="318"/>
      <c r="DL55" s="342"/>
    </row>
    <row r="56" spans="1:116" ht="32.1" customHeight="1" x14ac:dyDescent="0.25">
      <c r="A56" s="366" t="s">
        <v>30</v>
      </c>
      <c r="B56" s="374" t="s">
        <v>140</v>
      </c>
      <c r="C56" s="368" t="s">
        <v>141</v>
      </c>
      <c r="D56" s="352"/>
      <c r="E56" s="352"/>
      <c r="F56" s="369">
        <v>46966</v>
      </c>
      <c r="G56" s="373">
        <v>47056</v>
      </c>
      <c r="H56" s="364"/>
      <c r="I56" s="312"/>
      <c r="J56" s="312"/>
      <c r="K56" s="312"/>
      <c r="L56" s="312"/>
      <c r="M56" s="312"/>
      <c r="N56" s="312"/>
      <c r="O56" s="312"/>
      <c r="P56" s="312"/>
      <c r="Q56" s="312"/>
      <c r="R56" s="312"/>
      <c r="S56" s="312"/>
      <c r="T56" s="319"/>
      <c r="U56" s="341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  <c r="AJ56" s="318"/>
      <c r="AK56" s="318"/>
      <c r="AL56" s="318"/>
      <c r="AM56" s="318"/>
      <c r="AN56" s="318"/>
      <c r="AO56" s="318"/>
      <c r="AP56" s="318"/>
      <c r="AQ56" s="318"/>
      <c r="AR56" s="318"/>
      <c r="AS56" s="318"/>
      <c r="AT56" s="318"/>
      <c r="AU56" s="318"/>
      <c r="AV56" s="318"/>
      <c r="AW56" s="318"/>
      <c r="AX56" s="318"/>
      <c r="AY56" s="318"/>
      <c r="AZ56" s="318"/>
      <c r="BA56" s="318"/>
      <c r="BB56" s="318"/>
      <c r="BC56" s="318"/>
      <c r="BD56" s="318"/>
      <c r="BE56" s="318"/>
      <c r="BF56" s="318"/>
      <c r="BG56" s="318"/>
      <c r="BH56" s="318"/>
      <c r="BI56" s="318"/>
      <c r="BJ56" s="318"/>
      <c r="BK56" s="318"/>
      <c r="BL56" s="318"/>
      <c r="BM56" s="318"/>
      <c r="BN56" s="318"/>
      <c r="BO56" s="318"/>
      <c r="BP56" s="342"/>
      <c r="BQ56" s="341"/>
      <c r="BR56" s="318"/>
      <c r="BS56" s="318"/>
      <c r="BT56" s="318"/>
      <c r="BU56" s="318"/>
      <c r="BV56" s="318"/>
      <c r="BW56" s="318"/>
      <c r="BX56" s="318"/>
      <c r="BY56" s="318"/>
      <c r="BZ56" s="318"/>
      <c r="CA56" s="318"/>
      <c r="CB56" s="318"/>
      <c r="CC56" s="318"/>
      <c r="CD56" s="318"/>
      <c r="CE56" s="318"/>
      <c r="CF56" s="318"/>
      <c r="CG56" s="318"/>
      <c r="CH56" s="318"/>
      <c r="CI56" s="318"/>
      <c r="CJ56" s="318"/>
      <c r="CK56" s="318"/>
      <c r="CL56" s="318"/>
      <c r="CM56" s="318"/>
      <c r="CN56" s="318"/>
      <c r="CO56" s="318"/>
      <c r="CP56" s="318"/>
      <c r="CQ56" s="318"/>
      <c r="CR56" s="318"/>
      <c r="CS56" s="318"/>
      <c r="CT56" s="318"/>
      <c r="CU56" s="318"/>
      <c r="CV56" s="318"/>
      <c r="CW56" s="318"/>
      <c r="CX56" s="318"/>
      <c r="CY56" s="318"/>
      <c r="CZ56" s="318"/>
      <c r="DA56" s="318"/>
      <c r="DB56" s="318"/>
      <c r="DC56" s="318"/>
      <c r="DD56" s="318"/>
      <c r="DE56" s="318"/>
      <c r="DF56" s="318"/>
      <c r="DG56" s="318"/>
      <c r="DH56" s="318"/>
      <c r="DI56" s="318"/>
      <c r="DJ56" s="318"/>
      <c r="DK56" s="318"/>
      <c r="DL56" s="342"/>
    </row>
    <row r="57" spans="1:116" ht="32.1" customHeight="1" x14ac:dyDescent="0.25">
      <c r="A57" s="366" t="s">
        <v>275</v>
      </c>
      <c r="B57" s="367" t="s">
        <v>228</v>
      </c>
      <c r="C57" s="365" t="s">
        <v>229</v>
      </c>
      <c r="D57" s="356">
        <v>1</v>
      </c>
      <c r="E57" s="356" t="s">
        <v>445</v>
      </c>
      <c r="F57" s="370">
        <v>46966</v>
      </c>
      <c r="G57" s="358">
        <v>46996</v>
      </c>
      <c r="H57" s="364"/>
      <c r="I57" s="312"/>
      <c r="J57" s="312"/>
      <c r="K57" s="312"/>
      <c r="L57" s="312"/>
      <c r="M57" s="312"/>
      <c r="N57" s="312"/>
      <c r="O57" s="312"/>
      <c r="P57" s="312"/>
      <c r="Q57" s="312"/>
      <c r="R57" s="312"/>
      <c r="S57" s="312"/>
      <c r="T57" s="319"/>
      <c r="U57" s="341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  <c r="AJ57" s="318"/>
      <c r="AK57" s="318"/>
      <c r="AL57" s="318"/>
      <c r="AM57" s="318"/>
      <c r="AN57" s="318"/>
      <c r="AO57" s="318"/>
      <c r="AP57" s="318"/>
      <c r="AQ57" s="318"/>
      <c r="AR57" s="318"/>
      <c r="AS57" s="318"/>
      <c r="AT57" s="318"/>
      <c r="AU57" s="318"/>
      <c r="AV57" s="318"/>
      <c r="AW57" s="318"/>
      <c r="AX57" s="318"/>
      <c r="AY57" s="318"/>
      <c r="AZ57" s="318"/>
      <c r="BA57" s="318"/>
      <c r="BB57" s="318"/>
      <c r="BC57" s="318"/>
      <c r="BD57" s="318"/>
      <c r="BE57" s="318"/>
      <c r="BF57" s="318"/>
      <c r="BG57" s="318"/>
      <c r="BH57" s="318"/>
      <c r="BI57" s="318"/>
      <c r="BJ57" s="318"/>
      <c r="BK57" s="318"/>
      <c r="BL57" s="318"/>
      <c r="BM57" s="318"/>
      <c r="BN57" s="318"/>
      <c r="BO57" s="318"/>
      <c r="BP57" s="342"/>
      <c r="BQ57" s="341"/>
      <c r="BR57" s="318"/>
      <c r="BS57" s="318"/>
      <c r="BT57" s="318"/>
      <c r="BU57" s="318"/>
      <c r="BV57" s="318"/>
      <c r="BW57" s="318"/>
      <c r="BX57" s="318"/>
      <c r="BY57" s="318"/>
      <c r="BZ57" s="318"/>
      <c r="CA57" s="318"/>
      <c r="CB57" s="318"/>
      <c r="CC57" s="318"/>
      <c r="CD57" s="318"/>
      <c r="CE57" s="318"/>
      <c r="CF57" s="318"/>
      <c r="CG57" s="318"/>
      <c r="CH57" s="318"/>
      <c r="CI57" s="318"/>
      <c r="CJ57" s="318"/>
      <c r="CK57" s="318"/>
      <c r="CL57" s="318"/>
      <c r="CM57" s="318"/>
      <c r="CN57" s="318"/>
      <c r="CO57" s="318"/>
      <c r="CP57" s="318"/>
      <c r="CQ57" s="318"/>
      <c r="CR57" s="318"/>
      <c r="CS57" s="283"/>
      <c r="CT57" s="283"/>
      <c r="CU57" s="283"/>
      <c r="CV57" s="283"/>
      <c r="CW57" s="318"/>
      <c r="CX57" s="318"/>
      <c r="CY57" s="318"/>
      <c r="CZ57" s="318"/>
      <c r="DA57" s="318"/>
      <c r="DB57" s="318"/>
      <c r="DC57" s="318"/>
      <c r="DD57" s="318"/>
      <c r="DE57" s="318"/>
      <c r="DF57" s="318"/>
      <c r="DG57" s="318"/>
      <c r="DH57" s="318"/>
      <c r="DI57" s="318"/>
      <c r="DJ57" s="318"/>
      <c r="DK57" s="318"/>
      <c r="DL57" s="342"/>
    </row>
    <row r="58" spans="1:116" ht="32.1" customHeight="1" x14ac:dyDescent="0.25">
      <c r="A58" s="366" t="s">
        <v>276</v>
      </c>
      <c r="B58" s="367" t="s">
        <v>230</v>
      </c>
      <c r="C58" s="365" t="s">
        <v>231</v>
      </c>
      <c r="D58" s="356">
        <v>1</v>
      </c>
      <c r="E58" s="356" t="s">
        <v>445</v>
      </c>
      <c r="F58" s="370">
        <v>46966</v>
      </c>
      <c r="G58" s="358">
        <v>46996</v>
      </c>
      <c r="H58" s="364"/>
      <c r="I58" s="312"/>
      <c r="J58" s="312"/>
      <c r="K58" s="312"/>
      <c r="L58" s="312"/>
      <c r="M58" s="312"/>
      <c r="N58" s="312"/>
      <c r="O58" s="312"/>
      <c r="P58" s="312"/>
      <c r="Q58" s="312"/>
      <c r="R58" s="312"/>
      <c r="S58" s="312"/>
      <c r="T58" s="319"/>
      <c r="U58" s="341"/>
      <c r="V58" s="318"/>
      <c r="W58" s="318"/>
      <c r="X58" s="318"/>
      <c r="Y58" s="318"/>
      <c r="Z58" s="318"/>
      <c r="AA58" s="318"/>
      <c r="AB58" s="318"/>
      <c r="AC58" s="318"/>
      <c r="AD58" s="318"/>
      <c r="AE58" s="318"/>
      <c r="AF58" s="318"/>
      <c r="AG58" s="318"/>
      <c r="AH58" s="318"/>
      <c r="AI58" s="318"/>
      <c r="AJ58" s="318"/>
      <c r="AK58" s="318"/>
      <c r="AL58" s="318"/>
      <c r="AM58" s="318"/>
      <c r="AN58" s="318"/>
      <c r="AO58" s="318"/>
      <c r="AP58" s="318"/>
      <c r="AQ58" s="318"/>
      <c r="AR58" s="318"/>
      <c r="AS58" s="318"/>
      <c r="AT58" s="318"/>
      <c r="AU58" s="318"/>
      <c r="AV58" s="318"/>
      <c r="AW58" s="318"/>
      <c r="AX58" s="318"/>
      <c r="AY58" s="318"/>
      <c r="AZ58" s="318"/>
      <c r="BA58" s="318"/>
      <c r="BB58" s="318"/>
      <c r="BC58" s="318"/>
      <c r="BD58" s="318"/>
      <c r="BE58" s="318"/>
      <c r="BF58" s="318"/>
      <c r="BG58" s="318"/>
      <c r="BH58" s="318"/>
      <c r="BI58" s="318"/>
      <c r="BJ58" s="318"/>
      <c r="BK58" s="318"/>
      <c r="BL58" s="318"/>
      <c r="BM58" s="318"/>
      <c r="BN58" s="318"/>
      <c r="BO58" s="318"/>
      <c r="BP58" s="342"/>
      <c r="BQ58" s="341"/>
      <c r="BR58" s="318"/>
      <c r="BS58" s="318"/>
      <c r="BT58" s="318"/>
      <c r="BU58" s="318"/>
      <c r="BV58" s="318"/>
      <c r="BW58" s="318"/>
      <c r="BX58" s="318"/>
      <c r="BY58" s="318"/>
      <c r="BZ58" s="318"/>
      <c r="CA58" s="318"/>
      <c r="CB58" s="318"/>
      <c r="CC58" s="318"/>
      <c r="CD58" s="318"/>
      <c r="CE58" s="318"/>
      <c r="CF58" s="318"/>
      <c r="CG58" s="318"/>
      <c r="CH58" s="318"/>
      <c r="CI58" s="318"/>
      <c r="CJ58" s="318"/>
      <c r="CK58" s="318"/>
      <c r="CL58" s="318"/>
      <c r="CM58" s="318"/>
      <c r="CN58" s="318"/>
      <c r="CO58" s="318"/>
      <c r="CP58" s="318"/>
      <c r="CQ58" s="318"/>
      <c r="CR58" s="318"/>
      <c r="CS58" s="283"/>
      <c r="CT58" s="283"/>
      <c r="CU58" s="283"/>
      <c r="CV58" s="283"/>
      <c r="CW58" s="318"/>
      <c r="CX58" s="318"/>
      <c r="CY58" s="318"/>
      <c r="CZ58" s="318"/>
      <c r="DA58" s="318"/>
      <c r="DB58" s="318"/>
      <c r="DC58" s="318"/>
      <c r="DD58" s="318"/>
      <c r="DE58" s="318"/>
      <c r="DF58" s="318"/>
      <c r="DG58" s="318"/>
      <c r="DH58" s="318"/>
      <c r="DI58" s="318"/>
      <c r="DJ58" s="318"/>
      <c r="DK58" s="318"/>
      <c r="DL58" s="342"/>
    </row>
    <row r="59" spans="1:116" ht="32.1" customHeight="1" x14ac:dyDescent="0.25">
      <c r="A59" s="366" t="s">
        <v>277</v>
      </c>
      <c r="B59" s="367" t="s">
        <v>232</v>
      </c>
      <c r="C59" s="365" t="s">
        <v>233</v>
      </c>
      <c r="D59" s="356">
        <v>1</v>
      </c>
      <c r="E59" s="356" t="s">
        <v>445</v>
      </c>
      <c r="F59" s="370">
        <v>46966</v>
      </c>
      <c r="G59" s="358">
        <v>46996</v>
      </c>
      <c r="H59" s="364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9"/>
      <c r="U59" s="341"/>
      <c r="V59" s="318"/>
      <c r="W59" s="318"/>
      <c r="X59" s="318"/>
      <c r="Y59" s="318"/>
      <c r="Z59" s="318"/>
      <c r="AA59" s="318"/>
      <c r="AB59" s="318"/>
      <c r="AC59" s="318"/>
      <c r="AD59" s="318"/>
      <c r="AE59" s="318"/>
      <c r="AF59" s="318"/>
      <c r="AG59" s="318"/>
      <c r="AH59" s="318"/>
      <c r="AI59" s="318"/>
      <c r="AJ59" s="318"/>
      <c r="AK59" s="318"/>
      <c r="AL59" s="318"/>
      <c r="AM59" s="318"/>
      <c r="AN59" s="318"/>
      <c r="AO59" s="318"/>
      <c r="AP59" s="318"/>
      <c r="AQ59" s="318"/>
      <c r="AR59" s="318"/>
      <c r="AS59" s="318"/>
      <c r="AT59" s="318"/>
      <c r="AU59" s="318"/>
      <c r="AV59" s="318"/>
      <c r="AW59" s="318"/>
      <c r="AX59" s="318"/>
      <c r="AY59" s="318"/>
      <c r="AZ59" s="318"/>
      <c r="BA59" s="318"/>
      <c r="BB59" s="318"/>
      <c r="BC59" s="318"/>
      <c r="BD59" s="318"/>
      <c r="BE59" s="318"/>
      <c r="BF59" s="318"/>
      <c r="BG59" s="318"/>
      <c r="BH59" s="318"/>
      <c r="BI59" s="318"/>
      <c r="BJ59" s="318"/>
      <c r="BK59" s="318"/>
      <c r="BL59" s="318"/>
      <c r="BM59" s="318"/>
      <c r="BN59" s="318"/>
      <c r="BO59" s="318"/>
      <c r="BP59" s="342"/>
      <c r="BQ59" s="341"/>
      <c r="BR59" s="318"/>
      <c r="BS59" s="318"/>
      <c r="BT59" s="318"/>
      <c r="BU59" s="318"/>
      <c r="BV59" s="318"/>
      <c r="BW59" s="318"/>
      <c r="BX59" s="318"/>
      <c r="BY59" s="318"/>
      <c r="BZ59" s="318"/>
      <c r="CA59" s="318"/>
      <c r="CB59" s="318"/>
      <c r="CC59" s="318"/>
      <c r="CD59" s="318"/>
      <c r="CE59" s="318"/>
      <c r="CF59" s="318"/>
      <c r="CG59" s="318"/>
      <c r="CH59" s="318"/>
      <c r="CI59" s="318"/>
      <c r="CJ59" s="318"/>
      <c r="CK59" s="318"/>
      <c r="CL59" s="318"/>
      <c r="CM59" s="318"/>
      <c r="CN59" s="318"/>
      <c r="CO59" s="318"/>
      <c r="CP59" s="318"/>
      <c r="CQ59" s="318"/>
      <c r="CR59" s="318"/>
      <c r="CS59" s="283"/>
      <c r="CT59" s="283"/>
      <c r="CU59" s="283"/>
      <c r="CV59" s="283"/>
      <c r="CW59" s="318"/>
      <c r="CX59" s="318"/>
      <c r="CY59" s="318"/>
      <c r="CZ59" s="318"/>
      <c r="DA59" s="318"/>
      <c r="DB59" s="318"/>
      <c r="DC59" s="318"/>
      <c r="DD59" s="318"/>
      <c r="DE59" s="318"/>
      <c r="DF59" s="318"/>
      <c r="DG59" s="318"/>
      <c r="DH59" s="318"/>
      <c r="DI59" s="318"/>
      <c r="DJ59" s="318"/>
      <c r="DK59" s="318"/>
      <c r="DL59" s="342"/>
    </row>
    <row r="60" spans="1:116" ht="32.1" customHeight="1" x14ac:dyDescent="0.25">
      <c r="A60" s="366" t="s">
        <v>252</v>
      </c>
      <c r="B60" s="367" t="s">
        <v>142</v>
      </c>
      <c r="C60" s="365" t="s">
        <v>143</v>
      </c>
      <c r="D60" s="356">
        <v>1</v>
      </c>
      <c r="E60" s="356" t="s">
        <v>445</v>
      </c>
      <c r="F60" s="370">
        <v>46997</v>
      </c>
      <c r="G60" s="358">
        <v>47056</v>
      </c>
      <c r="H60" s="364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9"/>
      <c r="U60" s="341"/>
      <c r="V60" s="318"/>
      <c r="W60" s="318"/>
      <c r="X60" s="318"/>
      <c r="Y60" s="318"/>
      <c r="Z60" s="318"/>
      <c r="AA60" s="318"/>
      <c r="AB60" s="318"/>
      <c r="AC60" s="318"/>
      <c r="AD60" s="318"/>
      <c r="AE60" s="318"/>
      <c r="AF60" s="318"/>
      <c r="AG60" s="318"/>
      <c r="AH60" s="318"/>
      <c r="AI60" s="318"/>
      <c r="AJ60" s="318"/>
      <c r="AK60" s="318"/>
      <c r="AL60" s="318"/>
      <c r="AM60" s="318"/>
      <c r="AN60" s="318"/>
      <c r="AO60" s="318"/>
      <c r="AP60" s="318"/>
      <c r="AQ60" s="318"/>
      <c r="AR60" s="318"/>
      <c r="AS60" s="318"/>
      <c r="AT60" s="318"/>
      <c r="AU60" s="318"/>
      <c r="AV60" s="318"/>
      <c r="AW60" s="318"/>
      <c r="AX60" s="318"/>
      <c r="AY60" s="318"/>
      <c r="AZ60" s="318"/>
      <c r="BA60" s="318"/>
      <c r="BB60" s="318"/>
      <c r="BC60" s="318"/>
      <c r="BD60" s="318"/>
      <c r="BE60" s="318"/>
      <c r="BF60" s="318"/>
      <c r="BG60" s="318"/>
      <c r="BH60" s="318"/>
      <c r="BI60" s="318"/>
      <c r="BJ60" s="318"/>
      <c r="BK60" s="318"/>
      <c r="BL60" s="318"/>
      <c r="BM60" s="318"/>
      <c r="BN60" s="318"/>
      <c r="BO60" s="318"/>
      <c r="BP60" s="342"/>
      <c r="BQ60" s="341"/>
      <c r="BR60" s="318"/>
      <c r="BS60" s="318"/>
      <c r="BT60" s="318"/>
      <c r="BU60" s="318"/>
      <c r="BV60" s="318"/>
      <c r="BW60" s="318"/>
      <c r="BX60" s="318"/>
      <c r="BY60" s="318"/>
      <c r="BZ60" s="318"/>
      <c r="CA60" s="318"/>
      <c r="CB60" s="318"/>
      <c r="CC60" s="318"/>
      <c r="CD60" s="318"/>
      <c r="CE60" s="318"/>
      <c r="CF60" s="318"/>
      <c r="CG60" s="318"/>
      <c r="CH60" s="318"/>
      <c r="CI60" s="318"/>
      <c r="CJ60" s="318"/>
      <c r="CK60" s="318"/>
      <c r="CL60" s="318"/>
      <c r="CM60" s="318"/>
      <c r="CN60" s="318"/>
      <c r="CO60" s="318"/>
      <c r="CP60" s="318"/>
      <c r="CQ60" s="318"/>
      <c r="CR60" s="318"/>
      <c r="CS60" s="318"/>
      <c r="CT60" s="318"/>
      <c r="CU60" s="318"/>
      <c r="CV60" s="318"/>
      <c r="CW60" s="283"/>
      <c r="CX60" s="283"/>
      <c r="CY60" s="283"/>
      <c r="CZ60" s="283"/>
      <c r="DA60" s="283"/>
      <c r="DB60" s="283"/>
      <c r="DC60" s="283"/>
      <c r="DD60" s="283"/>
      <c r="DE60" s="318"/>
      <c r="DF60" s="318"/>
      <c r="DG60" s="318"/>
      <c r="DH60" s="318"/>
      <c r="DI60" s="318"/>
      <c r="DJ60" s="318"/>
      <c r="DK60" s="318"/>
      <c r="DL60" s="342"/>
    </row>
    <row r="61" spans="1:116" ht="32.1" customHeight="1" x14ac:dyDescent="0.25">
      <c r="A61" s="375"/>
      <c r="B61" s="376"/>
      <c r="C61" s="377" t="s">
        <v>448</v>
      </c>
      <c r="D61" s="378"/>
      <c r="E61" s="378"/>
      <c r="F61" s="379">
        <v>47058</v>
      </c>
      <c r="G61" s="380">
        <v>47117</v>
      </c>
      <c r="H61" s="339"/>
      <c r="I61" s="312"/>
      <c r="J61" s="312"/>
      <c r="K61" s="312"/>
      <c r="L61" s="312"/>
      <c r="M61" s="312"/>
      <c r="N61" s="312"/>
      <c r="O61" s="312"/>
      <c r="P61" s="312"/>
      <c r="Q61" s="312"/>
      <c r="R61" s="312"/>
      <c r="S61" s="312"/>
      <c r="T61" s="319"/>
      <c r="U61" s="341"/>
      <c r="V61" s="318"/>
      <c r="W61" s="318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  <c r="AH61" s="318"/>
      <c r="AI61" s="318"/>
      <c r="AJ61" s="318"/>
      <c r="AK61" s="318"/>
      <c r="AL61" s="318"/>
      <c r="AM61" s="318"/>
      <c r="AN61" s="318"/>
      <c r="AO61" s="318"/>
      <c r="AP61" s="318"/>
      <c r="AQ61" s="318"/>
      <c r="AR61" s="318"/>
      <c r="AS61" s="318"/>
      <c r="AT61" s="318"/>
      <c r="AU61" s="318"/>
      <c r="AV61" s="318"/>
      <c r="AW61" s="318"/>
      <c r="AX61" s="318"/>
      <c r="AY61" s="318"/>
      <c r="AZ61" s="318"/>
      <c r="BA61" s="318"/>
      <c r="BB61" s="318"/>
      <c r="BC61" s="318"/>
      <c r="BD61" s="318"/>
      <c r="BE61" s="318"/>
      <c r="BF61" s="318"/>
      <c r="BG61" s="318"/>
      <c r="BH61" s="318"/>
      <c r="BI61" s="318"/>
      <c r="BJ61" s="318"/>
      <c r="BK61" s="318"/>
      <c r="BL61" s="318"/>
      <c r="BM61" s="318"/>
      <c r="BN61" s="318"/>
      <c r="BO61" s="318"/>
      <c r="BP61" s="342"/>
      <c r="BQ61" s="341"/>
      <c r="BR61" s="318"/>
      <c r="BS61" s="318"/>
      <c r="BT61" s="318"/>
      <c r="BU61" s="318"/>
      <c r="BV61" s="318"/>
      <c r="BW61" s="318"/>
      <c r="BX61" s="318"/>
      <c r="BY61" s="318"/>
      <c r="BZ61" s="318"/>
      <c r="CA61" s="318"/>
      <c r="CB61" s="318"/>
      <c r="CC61" s="318"/>
      <c r="CD61" s="318"/>
      <c r="CE61" s="318"/>
      <c r="CF61" s="318"/>
      <c r="CG61" s="318"/>
      <c r="CH61" s="318"/>
      <c r="CI61" s="318"/>
      <c r="CJ61" s="318"/>
      <c r="CK61" s="318"/>
      <c r="CL61" s="318"/>
      <c r="CM61" s="318"/>
      <c r="CN61" s="318"/>
      <c r="CO61" s="318"/>
      <c r="CP61" s="318"/>
      <c r="CQ61" s="318"/>
      <c r="CR61" s="318"/>
      <c r="CS61" s="318"/>
      <c r="CT61" s="318"/>
      <c r="CU61" s="318"/>
      <c r="CV61" s="318"/>
      <c r="CW61" s="318"/>
      <c r="CX61" s="318"/>
      <c r="CY61" s="318"/>
      <c r="CZ61" s="318"/>
      <c r="DA61" s="318"/>
      <c r="DB61" s="318"/>
      <c r="DC61" s="318"/>
      <c r="DD61" s="318"/>
      <c r="DE61" s="318"/>
      <c r="DF61" s="318"/>
      <c r="DG61" s="318"/>
      <c r="DH61" s="318"/>
      <c r="DI61" s="318"/>
      <c r="DJ61" s="318"/>
      <c r="DK61" s="318"/>
      <c r="DL61" s="342"/>
    </row>
    <row r="62" spans="1:116" ht="83.25" customHeight="1" x14ac:dyDescent="0.25">
      <c r="A62" s="381"/>
      <c r="B62" s="382"/>
      <c r="C62" s="383" t="s">
        <v>449</v>
      </c>
      <c r="D62" s="383"/>
      <c r="E62" s="383"/>
      <c r="F62" s="379">
        <v>47058</v>
      </c>
      <c r="G62" s="380">
        <v>47117</v>
      </c>
      <c r="H62" s="339"/>
      <c r="I62" s="312"/>
      <c r="J62" s="312"/>
      <c r="K62" s="312"/>
      <c r="L62" s="312"/>
      <c r="M62" s="312"/>
      <c r="N62" s="312"/>
      <c r="O62" s="312"/>
      <c r="P62" s="312"/>
      <c r="Q62" s="312"/>
      <c r="R62" s="312"/>
      <c r="S62" s="312"/>
      <c r="T62" s="319"/>
      <c r="U62" s="311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312"/>
      <c r="AK62" s="312"/>
      <c r="AL62" s="312"/>
      <c r="AM62" s="312"/>
      <c r="AN62" s="312"/>
      <c r="AO62" s="312"/>
      <c r="AP62" s="312"/>
      <c r="AQ62" s="312"/>
      <c r="AR62" s="312"/>
      <c r="AS62" s="312"/>
      <c r="AT62" s="312"/>
      <c r="AU62" s="312"/>
      <c r="AV62" s="312"/>
      <c r="AW62" s="312"/>
      <c r="AX62" s="312"/>
      <c r="AY62" s="312"/>
      <c r="AZ62" s="312"/>
      <c r="BA62" s="312"/>
      <c r="BB62" s="312"/>
      <c r="BC62" s="312"/>
      <c r="BD62" s="312"/>
      <c r="BE62" s="312"/>
      <c r="BF62" s="312"/>
      <c r="BG62" s="312"/>
      <c r="BH62" s="312"/>
      <c r="BI62" s="312"/>
      <c r="BJ62" s="312"/>
      <c r="BK62" s="312"/>
      <c r="BL62" s="312"/>
      <c r="BM62" s="312"/>
      <c r="BN62" s="312"/>
      <c r="BO62" s="312"/>
      <c r="BP62" s="313"/>
      <c r="BQ62" s="311"/>
      <c r="BR62" s="312"/>
      <c r="BS62" s="312"/>
      <c r="BT62" s="312"/>
      <c r="BU62" s="312"/>
      <c r="BV62" s="312"/>
      <c r="BW62" s="312"/>
      <c r="BX62" s="312"/>
      <c r="BY62" s="312"/>
      <c r="BZ62" s="312"/>
      <c r="CA62" s="312"/>
      <c r="CB62" s="312"/>
      <c r="CC62" s="312"/>
      <c r="CD62" s="312"/>
      <c r="CE62" s="312"/>
      <c r="CF62" s="312"/>
      <c r="CG62" s="312"/>
      <c r="CH62" s="312"/>
      <c r="CI62" s="312"/>
      <c r="CJ62" s="312"/>
      <c r="CK62" s="312"/>
      <c r="CL62" s="312"/>
      <c r="CM62" s="312"/>
      <c r="CN62" s="312"/>
      <c r="CO62" s="312"/>
      <c r="CP62" s="312"/>
      <c r="CQ62" s="312"/>
      <c r="CR62" s="312"/>
      <c r="CS62" s="312"/>
      <c r="CT62" s="312"/>
      <c r="CU62" s="312"/>
      <c r="CV62" s="312"/>
      <c r="CW62" s="312"/>
      <c r="CX62" s="312"/>
      <c r="CY62" s="312"/>
      <c r="CZ62" s="312"/>
      <c r="DA62" s="312"/>
      <c r="DB62" s="312"/>
      <c r="DC62" s="312"/>
      <c r="DD62" s="312"/>
      <c r="DE62" s="384"/>
      <c r="DF62" s="384"/>
      <c r="DG62" s="384"/>
      <c r="DH62" s="384"/>
      <c r="DI62" s="384"/>
      <c r="DJ62" s="384"/>
      <c r="DK62" s="384"/>
      <c r="DL62" s="385"/>
    </row>
    <row r="63" spans="1:116" ht="50.25" customHeight="1" x14ac:dyDescent="0.25">
      <c r="A63" s="386"/>
      <c r="B63" s="386"/>
      <c r="C63" s="387" t="s">
        <v>450</v>
      </c>
      <c r="D63" s="387"/>
      <c r="E63" s="387"/>
      <c r="F63" s="379">
        <v>47058</v>
      </c>
      <c r="G63" s="380">
        <v>47117</v>
      </c>
      <c r="H63" s="339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9"/>
      <c r="U63" s="311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2"/>
      <c r="AG63" s="312"/>
      <c r="AH63" s="312"/>
      <c r="AI63" s="312"/>
      <c r="AJ63" s="312"/>
      <c r="AK63" s="312"/>
      <c r="AL63" s="312"/>
      <c r="AM63" s="312"/>
      <c r="AN63" s="312"/>
      <c r="AO63" s="312"/>
      <c r="AP63" s="312"/>
      <c r="AQ63" s="31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/>
      <c r="BF63" s="312"/>
      <c r="BG63" s="312"/>
      <c r="BH63" s="312"/>
      <c r="BI63" s="312"/>
      <c r="BJ63" s="312"/>
      <c r="BK63" s="312"/>
      <c r="BL63" s="312"/>
      <c r="BM63" s="312"/>
      <c r="BN63" s="312"/>
      <c r="BO63" s="312"/>
      <c r="BP63" s="313"/>
      <c r="BQ63" s="311"/>
      <c r="BR63" s="312"/>
      <c r="BS63" s="312"/>
      <c r="BT63" s="312"/>
      <c r="BU63" s="312"/>
      <c r="BV63" s="312"/>
      <c r="BW63" s="312"/>
      <c r="BX63" s="312"/>
      <c r="BY63" s="312"/>
      <c r="BZ63" s="312"/>
      <c r="CA63" s="312"/>
      <c r="CB63" s="312"/>
      <c r="CC63" s="312"/>
      <c r="CD63" s="312"/>
      <c r="CE63" s="312"/>
      <c r="CF63" s="312"/>
      <c r="CG63" s="312"/>
      <c r="CH63" s="312"/>
      <c r="CI63" s="312"/>
      <c r="CJ63" s="312"/>
      <c r="CK63" s="312"/>
      <c r="CL63" s="312"/>
      <c r="CM63" s="312"/>
      <c r="CN63" s="312"/>
      <c r="CO63" s="312"/>
      <c r="CP63" s="312"/>
      <c r="CQ63" s="312"/>
      <c r="CR63" s="312"/>
      <c r="CS63" s="312"/>
      <c r="CT63" s="312"/>
      <c r="CU63" s="312"/>
      <c r="CV63" s="312"/>
      <c r="CW63" s="312"/>
      <c r="CX63" s="312"/>
      <c r="CY63" s="312"/>
      <c r="CZ63" s="312"/>
      <c r="DA63" s="312"/>
      <c r="DB63" s="312"/>
      <c r="DC63" s="312"/>
      <c r="DD63" s="312"/>
      <c r="DE63" s="384"/>
      <c r="DF63" s="384"/>
      <c r="DG63" s="384"/>
      <c r="DH63" s="384"/>
      <c r="DI63" s="384"/>
      <c r="DJ63" s="384"/>
      <c r="DK63" s="384"/>
      <c r="DL63" s="385"/>
    </row>
    <row r="65" spans="3:3" x14ac:dyDescent="0.25">
      <c r="C65" s="388" t="s">
        <v>458</v>
      </c>
    </row>
  </sheetData>
  <autoFilter ref="B2:G63"/>
  <mergeCells count="39">
    <mergeCell ref="DI3:DL3"/>
    <mergeCell ref="CK3:CN3"/>
    <mergeCell ref="CO3:CR3"/>
    <mergeCell ref="CS3:CV3"/>
    <mergeCell ref="CW3:CZ3"/>
    <mergeCell ref="DA3:DD3"/>
    <mergeCell ref="DE3:DH3"/>
    <mergeCell ref="Y3:AB3"/>
    <mergeCell ref="AC3:AF3"/>
    <mergeCell ref="AG3:AJ3"/>
    <mergeCell ref="AK3:AN3"/>
    <mergeCell ref="CG3:CJ3"/>
    <mergeCell ref="AO3:AR3"/>
    <mergeCell ref="AS3:AV3"/>
    <mergeCell ref="AW3:AZ3"/>
    <mergeCell ref="BA3:BD3"/>
    <mergeCell ref="BE3:BH3"/>
    <mergeCell ref="BI3:BL3"/>
    <mergeCell ref="BM3:BP3"/>
    <mergeCell ref="BQ3:BT3"/>
    <mergeCell ref="BU3:BX3"/>
    <mergeCell ref="BY3:CB3"/>
    <mergeCell ref="CC3:CF3"/>
    <mergeCell ref="B1:DL1"/>
    <mergeCell ref="A2:A4"/>
    <mergeCell ref="B2:B4"/>
    <mergeCell ref="C2:C4"/>
    <mergeCell ref="D2:D4"/>
    <mergeCell ref="E2:E4"/>
    <mergeCell ref="F2:F4"/>
    <mergeCell ref="G2:G4"/>
    <mergeCell ref="H2:H4"/>
    <mergeCell ref="I2:T2"/>
    <mergeCell ref="U2:BP2"/>
    <mergeCell ref="BQ2:DL2"/>
    <mergeCell ref="I3:L3"/>
    <mergeCell ref="M3:P3"/>
    <mergeCell ref="Q3:T3"/>
    <mergeCell ref="U3:X3"/>
  </mergeCells>
  <pageMargins left="0.70866141732283461" right="0.70866141732283461" top="0.74803149606299213" bottom="0.74803149606299213" header="0.31496062992125984" footer="0.31496062992125984"/>
  <pageSetup paperSize="8" scale="1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6"/>
  <sheetViews>
    <sheetView view="pageBreakPreview" topLeftCell="A72" zoomScale="90" zoomScaleNormal="100" zoomScaleSheetLayoutView="90" workbookViewId="0">
      <selection activeCell="R17" sqref="R17"/>
    </sheetView>
  </sheetViews>
  <sheetFormatPr defaultRowHeight="15" outlineLevelCol="1" x14ac:dyDescent="0.25"/>
  <cols>
    <col min="2" max="2" width="22" customWidth="1"/>
    <col min="3" max="3" width="55" customWidth="1"/>
    <col min="4" max="5" width="16.5703125" customWidth="1" outlineLevel="1"/>
    <col min="6" max="6" width="15.7109375" customWidth="1" outlineLevel="1"/>
    <col min="7" max="7" width="21.140625" customWidth="1" outlineLevel="1"/>
    <col min="8" max="11" width="17.5703125" customWidth="1" outlineLevel="1"/>
    <col min="12" max="12" width="17.42578125" customWidth="1"/>
    <col min="13" max="13" width="19.28515625" customWidth="1"/>
    <col min="14" max="14" width="19.42578125" customWidth="1"/>
    <col min="15" max="15" width="17" customWidth="1"/>
    <col min="16" max="16" width="20.140625" customWidth="1"/>
    <col min="17" max="17" width="22.5703125" customWidth="1"/>
    <col min="18" max="18" width="17.7109375" customWidth="1"/>
    <col min="19" max="19" width="21.7109375" customWidth="1"/>
  </cols>
  <sheetData>
    <row r="1" spans="1:19" ht="15.75" x14ac:dyDescent="0.25">
      <c r="A1" s="476" t="s">
        <v>34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</row>
    <row r="2" spans="1:19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15.75" x14ac:dyDescent="0.25">
      <c r="A3" s="477" t="s">
        <v>113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</row>
    <row r="4" spans="1:19" ht="15.75" x14ac:dyDescent="0.25">
      <c r="A4" s="477" t="s">
        <v>34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</row>
    <row r="5" spans="1:19" ht="36" customHeight="1" x14ac:dyDescent="0.25">
      <c r="A5" s="481" t="s">
        <v>288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  <c r="P5" s="481"/>
      <c r="Q5" s="481"/>
    </row>
    <row r="6" spans="1:19" ht="15.75" x14ac:dyDescent="0.25">
      <c r="A6" s="478" t="s">
        <v>165</v>
      </c>
      <c r="B6" s="478"/>
      <c r="C6" s="478"/>
      <c r="D6" s="478"/>
      <c r="E6" s="478"/>
      <c r="F6" s="478"/>
      <c r="G6" s="478"/>
      <c r="H6" s="478"/>
      <c r="I6" s="478"/>
      <c r="J6" s="478"/>
      <c r="K6" s="478"/>
      <c r="L6" s="478"/>
      <c r="M6" s="478"/>
      <c r="N6" s="478"/>
      <c r="O6" s="478"/>
      <c r="P6" s="478"/>
    </row>
    <row r="7" spans="1:19" ht="15.75" x14ac:dyDescent="0.25">
      <c r="A7" s="2" t="s">
        <v>0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9" ht="15.75" x14ac:dyDescent="0.25">
      <c r="A8" s="4" t="s">
        <v>166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9" ht="15.75" x14ac:dyDescent="0.25">
      <c r="A9" s="479" t="s">
        <v>167</v>
      </c>
      <c r="B9" s="479"/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</row>
    <row r="10" spans="1:19" ht="15.75" x14ac:dyDescent="0.25">
      <c r="A10" s="480" t="s">
        <v>168</v>
      </c>
      <c r="B10" s="480"/>
      <c r="C10" s="480"/>
      <c r="D10" s="480"/>
      <c r="E10" s="480"/>
      <c r="F10" s="480"/>
      <c r="G10" s="480"/>
      <c r="H10" s="480"/>
      <c r="I10" s="480"/>
      <c r="J10" s="480"/>
      <c r="K10" s="480"/>
      <c r="L10" s="480"/>
      <c r="M10" s="480"/>
      <c r="N10" s="480"/>
      <c r="O10" s="480"/>
      <c r="P10" s="480"/>
    </row>
    <row r="11" spans="1:19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6"/>
      <c r="P11" s="3"/>
    </row>
    <row r="12" spans="1:19" ht="141.75" x14ac:dyDescent="0.25">
      <c r="A12" s="7" t="s">
        <v>1</v>
      </c>
      <c r="B12" s="7"/>
      <c r="C12" s="8" t="s">
        <v>2</v>
      </c>
      <c r="D12" s="9" t="s">
        <v>39</v>
      </c>
      <c r="E12" s="9" t="s">
        <v>40</v>
      </c>
      <c r="F12" s="10" t="s">
        <v>3</v>
      </c>
      <c r="G12" s="9" t="s">
        <v>4</v>
      </c>
      <c r="H12" s="9" t="s">
        <v>5</v>
      </c>
      <c r="I12" s="69" t="s">
        <v>169</v>
      </c>
      <c r="J12" s="69" t="s">
        <v>108</v>
      </c>
      <c r="K12" s="69" t="s">
        <v>170</v>
      </c>
      <c r="L12" s="70" t="s">
        <v>109</v>
      </c>
      <c r="M12" s="11" t="s">
        <v>489</v>
      </c>
      <c r="N12" s="11" t="s">
        <v>6</v>
      </c>
      <c r="O12" s="11" t="s">
        <v>7</v>
      </c>
      <c r="P12" s="11" t="s">
        <v>8</v>
      </c>
      <c r="Q12" s="11" t="s">
        <v>9</v>
      </c>
    </row>
    <row r="13" spans="1:19" ht="15.75" x14ac:dyDescent="0.25">
      <c r="A13" s="7">
        <v>1</v>
      </c>
      <c r="B13" s="7"/>
      <c r="C13" s="7">
        <v>2</v>
      </c>
      <c r="D13" s="12"/>
      <c r="E13" s="12"/>
      <c r="F13" s="12"/>
      <c r="G13" s="12"/>
      <c r="H13" s="12"/>
      <c r="I13" s="65"/>
      <c r="J13" s="65"/>
      <c r="K13" s="65"/>
      <c r="L13" s="7">
        <v>3</v>
      </c>
      <c r="M13" s="13">
        <v>4</v>
      </c>
      <c r="N13" s="13">
        <v>5</v>
      </c>
      <c r="O13" s="13">
        <v>6</v>
      </c>
      <c r="P13" s="13">
        <v>7</v>
      </c>
      <c r="Q13" s="13"/>
    </row>
    <row r="14" spans="1:19" ht="30.75" customHeight="1" x14ac:dyDescent="0.25">
      <c r="A14" s="14" t="s">
        <v>10</v>
      </c>
      <c r="B14" s="15"/>
      <c r="C14" s="15" t="s">
        <v>11</v>
      </c>
      <c r="D14" s="16"/>
      <c r="E14" s="16"/>
      <c r="F14" s="16"/>
      <c r="G14" s="58"/>
      <c r="H14" s="58">
        <f>H15+H16</f>
        <v>37358072.359999999</v>
      </c>
      <c r="I14" s="66"/>
      <c r="J14" s="66"/>
      <c r="K14" s="66"/>
      <c r="L14" s="58">
        <f>L15+L16</f>
        <v>37358072.359999999</v>
      </c>
      <c r="M14" s="61"/>
      <c r="N14" s="17">
        <f>N15+N16</f>
        <v>40443849.140000001</v>
      </c>
      <c r="O14" s="63"/>
      <c r="P14" s="17">
        <f>P15+P16</f>
        <v>41353835.740000002</v>
      </c>
      <c r="Q14" s="17"/>
      <c r="R14" s="391">
        <f>P14*1.22</f>
        <v>50451679.600000001</v>
      </c>
      <c r="S14" t="s">
        <v>495</v>
      </c>
    </row>
    <row r="15" spans="1:19" ht="42.75" customHeight="1" x14ac:dyDescent="0.25">
      <c r="A15" s="18" t="s">
        <v>12</v>
      </c>
      <c r="B15" s="79" t="s">
        <v>35</v>
      </c>
      <c r="C15" s="79" t="s">
        <v>11</v>
      </c>
      <c r="D15" s="19"/>
      <c r="E15" s="19"/>
      <c r="F15" s="19"/>
      <c r="G15" s="20">
        <v>36625561.140000001</v>
      </c>
      <c r="H15" s="59">
        <f>G15</f>
        <v>36625561.140000001</v>
      </c>
      <c r="I15" s="67"/>
      <c r="J15" s="67"/>
      <c r="K15" s="67"/>
      <c r="L15" s="59">
        <f>H15</f>
        <v>36625561.140000001</v>
      </c>
      <c r="M15" s="23">
        <f>'Фактический индекс'!$F$121</f>
        <v>1.0826</v>
      </c>
      <c r="N15" s="20">
        <f>L15*M15</f>
        <v>39650832.490000002</v>
      </c>
      <c r="O15" s="60">
        <f>'Прогнозный индекс'!F17</f>
        <v>1.0225</v>
      </c>
      <c r="P15" s="20">
        <f>N15*O15</f>
        <v>40542976.219999999</v>
      </c>
      <c r="Q15" s="20"/>
    </row>
    <row r="16" spans="1:19" ht="45" customHeight="1" x14ac:dyDescent="0.25">
      <c r="A16" s="18" t="s">
        <v>13</v>
      </c>
      <c r="B16" s="33" t="s">
        <v>160</v>
      </c>
      <c r="C16" s="33" t="s">
        <v>36</v>
      </c>
      <c r="D16" s="19"/>
      <c r="E16" s="19"/>
      <c r="F16" s="19"/>
      <c r="G16" s="20">
        <f>G15*2%</f>
        <v>732511.22</v>
      </c>
      <c r="H16" s="59">
        <f>G16</f>
        <v>732511.22</v>
      </c>
      <c r="I16" s="67"/>
      <c r="J16" s="67"/>
      <c r="K16" s="67"/>
      <c r="L16" s="59">
        <f>H16</f>
        <v>732511.22</v>
      </c>
      <c r="M16" s="23"/>
      <c r="N16" s="20">
        <f>N15*2%</f>
        <v>793016.65</v>
      </c>
      <c r="O16" s="60"/>
      <c r="P16" s="20">
        <f>P15*2%</f>
        <v>810859.52000000002</v>
      </c>
      <c r="Q16" s="20"/>
    </row>
    <row r="17" spans="1:19" ht="30.75" customHeight="1" x14ac:dyDescent="0.25">
      <c r="A17" s="14" t="s">
        <v>14</v>
      </c>
      <c r="B17" s="15"/>
      <c r="C17" s="15" t="s">
        <v>15</v>
      </c>
      <c r="D17" s="17">
        <f t="shared" ref="D17:L17" si="0">D18+D19+D22+D40+D43+D44+D47+D48+D49+D50+D60+D64+D65+D66+D67+D68+D73+D74+D75</f>
        <v>607334017.92999995</v>
      </c>
      <c r="E17" s="17">
        <f t="shared" si="0"/>
        <v>38081273.950000003</v>
      </c>
      <c r="F17" s="17">
        <f t="shared" si="0"/>
        <v>192974652.56999999</v>
      </c>
      <c r="G17" s="17">
        <f t="shared" si="0"/>
        <v>26552096.440000001</v>
      </c>
      <c r="H17" s="17">
        <f t="shared" si="0"/>
        <v>864942040.88999999</v>
      </c>
      <c r="I17" s="17">
        <f t="shared" si="0"/>
        <v>14826887.74</v>
      </c>
      <c r="J17" s="17">
        <f t="shared" si="0"/>
        <v>-2224033.15</v>
      </c>
      <c r="K17" s="17">
        <f t="shared" si="0"/>
        <v>3297370.87</v>
      </c>
      <c r="L17" s="17">
        <f t="shared" si="0"/>
        <v>880842266.35000002</v>
      </c>
      <c r="M17" s="61"/>
      <c r="N17" s="17">
        <f>N18+N19+N22+N40+N43+N44+N47+N48+N49+N50+N60+N64+N65+N66+N67+N68+N73+N74+N75</f>
        <v>953307904.36000001</v>
      </c>
      <c r="O17" s="63"/>
      <c r="P17" s="17">
        <f>P18+P19+P22+P40+P43+P44+P47+P48+P49+P50+P60+P64+P65+P66+P67+P68+P73+P74+P75</f>
        <v>1007240559.5</v>
      </c>
      <c r="Q17" s="17">
        <f>Q18+Q19+Q22+Q40+Q43+Q44+Q47+Q48+Q49+Q50+Q60+Q64+Q65+Q66+Q67+Q68+Q73+Q74+Q75</f>
        <v>220780694.46000001</v>
      </c>
      <c r="R17" s="391">
        <f>P17*1.22</f>
        <v>1228833482.5899999</v>
      </c>
      <c r="S17" t="s">
        <v>495</v>
      </c>
    </row>
    <row r="18" spans="1:19" s="91" customFormat="1" ht="51" customHeight="1" x14ac:dyDescent="0.25">
      <c r="A18" s="88" t="s">
        <v>16</v>
      </c>
      <c r="B18" s="79" t="s">
        <v>37</v>
      </c>
      <c r="C18" s="79" t="s">
        <v>395</v>
      </c>
      <c r="D18" s="78"/>
      <c r="E18" s="78"/>
      <c r="F18" s="78"/>
      <c r="G18" s="117">
        <v>258737.24</v>
      </c>
      <c r="H18" s="103">
        <f>D18+E18+F18+G18</f>
        <v>258737.24</v>
      </c>
      <c r="I18" s="78"/>
      <c r="J18" s="78"/>
      <c r="K18" s="78"/>
      <c r="L18" s="103">
        <f>H18</f>
        <v>258737.24</v>
      </c>
      <c r="M18" s="23">
        <f>'Фактический индекс'!$F$121</f>
        <v>1.0826</v>
      </c>
      <c r="N18" s="103">
        <f>L18*M18</f>
        <v>280108.94</v>
      </c>
      <c r="O18" s="101">
        <f>'Прогнозный индекс'!$F$27</f>
        <v>1.0061</v>
      </c>
      <c r="P18" s="103">
        <f>N18*O18</f>
        <v>281817.59999999998</v>
      </c>
      <c r="Q18" s="103"/>
    </row>
    <row r="19" spans="1:19" s="91" customFormat="1" ht="51" customHeight="1" x14ac:dyDescent="0.25">
      <c r="A19" s="88" t="s">
        <v>17</v>
      </c>
      <c r="B19" s="79" t="s">
        <v>117</v>
      </c>
      <c r="C19" s="79" t="s">
        <v>118</v>
      </c>
      <c r="D19" s="103">
        <f>D20+D21</f>
        <v>755041.92</v>
      </c>
      <c r="E19" s="103"/>
      <c r="F19" s="103"/>
      <c r="G19" s="103"/>
      <c r="H19" s="103">
        <f>D19+E19+F19+G19</f>
        <v>755041.92</v>
      </c>
      <c r="I19" s="103">
        <f>I20+I21</f>
        <v>17365.97</v>
      </c>
      <c r="J19" s="103">
        <f>J20+J21</f>
        <v>-2604.9</v>
      </c>
      <c r="K19" s="103">
        <f>K20+K21</f>
        <v>3862.04</v>
      </c>
      <c r="L19" s="103">
        <f>L20+L21</f>
        <v>773665.03</v>
      </c>
      <c r="M19" s="82"/>
      <c r="N19" s="103">
        <f>N20+N21</f>
        <v>837569.76</v>
      </c>
      <c r="O19" s="101"/>
      <c r="P19" s="103">
        <f>P20+P21</f>
        <v>885143.72</v>
      </c>
      <c r="Q19" s="103"/>
    </row>
    <row r="20" spans="1:19" s="91" customFormat="1" ht="51" customHeight="1" x14ac:dyDescent="0.25">
      <c r="A20" s="89" t="s">
        <v>234</v>
      </c>
      <c r="B20" s="96" t="s">
        <v>38</v>
      </c>
      <c r="C20" s="95" t="s">
        <v>204</v>
      </c>
      <c r="D20" s="104">
        <v>36659.46</v>
      </c>
      <c r="E20" s="84"/>
      <c r="F20" s="84"/>
      <c r="G20" s="84"/>
      <c r="H20" s="104">
        <f>G20+F20+E20+D20</f>
        <v>36659.46</v>
      </c>
      <c r="I20" s="104">
        <f>(D20+E20)*2.3%</f>
        <v>843.17</v>
      </c>
      <c r="J20" s="104">
        <f>-I20*15%</f>
        <v>-126.48</v>
      </c>
      <c r="K20" s="104">
        <f>(D20+E20+I20)*0.5%</f>
        <v>187.51</v>
      </c>
      <c r="L20" s="104">
        <f>K20+J20+I20+H20</f>
        <v>37563.660000000003</v>
      </c>
      <c r="M20" s="23">
        <f>'Фактический индекс'!$F$121</f>
        <v>1.0826</v>
      </c>
      <c r="N20" s="104">
        <f>L20*M20</f>
        <v>40666.42</v>
      </c>
      <c r="O20" s="101">
        <f>'Прогнозный индекс'!$F$47</f>
        <v>1.0568</v>
      </c>
      <c r="P20" s="104">
        <f t="shared" ref="P20:P42" si="1">N20*O20</f>
        <v>42976.27</v>
      </c>
      <c r="Q20" s="104"/>
    </row>
    <row r="21" spans="1:19" s="91" customFormat="1" ht="51" customHeight="1" x14ac:dyDescent="0.25">
      <c r="A21" s="89" t="s">
        <v>235</v>
      </c>
      <c r="B21" s="96" t="s">
        <v>205</v>
      </c>
      <c r="C21" s="95" t="s">
        <v>206</v>
      </c>
      <c r="D21" s="104">
        <v>718382.46</v>
      </c>
      <c r="E21" s="84"/>
      <c r="F21" s="84"/>
      <c r="G21" s="84"/>
      <c r="H21" s="104">
        <f>G21+F21+E21+D21</f>
        <v>718382.46</v>
      </c>
      <c r="I21" s="104">
        <f>(D21+E21)*2.3%</f>
        <v>16522.8</v>
      </c>
      <c r="J21" s="104">
        <f>-I21*15%</f>
        <v>-2478.42</v>
      </c>
      <c r="K21" s="104">
        <f>(D21+E21+I21)*0.5%</f>
        <v>3674.53</v>
      </c>
      <c r="L21" s="104">
        <f>K21+J21+I21+H21</f>
        <v>736101.37</v>
      </c>
      <c r="M21" s="23">
        <f>'Фактический индекс'!$F$121</f>
        <v>1.0826</v>
      </c>
      <c r="N21" s="104">
        <f>L21*M21</f>
        <v>796903.34</v>
      </c>
      <c r="O21" s="101">
        <f>'Прогнозный индекс'!$F$47</f>
        <v>1.0568</v>
      </c>
      <c r="P21" s="104">
        <f t="shared" si="1"/>
        <v>842167.45</v>
      </c>
      <c r="Q21" s="104"/>
    </row>
    <row r="22" spans="1:19" s="91" customFormat="1" ht="51" customHeight="1" x14ac:dyDescent="0.25">
      <c r="A22" s="88" t="s">
        <v>18</v>
      </c>
      <c r="B22" s="79" t="s">
        <v>51</v>
      </c>
      <c r="C22" s="79" t="s">
        <v>119</v>
      </c>
      <c r="D22" s="103">
        <f>D23+D24+D25+D26+D27+D28+D29+D30+D31+D32+D33+D34+D35+D36+D37+D38+D39</f>
        <v>567683628.69000006</v>
      </c>
      <c r="E22" s="103">
        <f>E23+E24+E25+E26+E27+E28+E29+E30+E31+E32+E33+E34+E35+E36+E37+E38+E39</f>
        <v>36331117.399999999</v>
      </c>
      <c r="F22" s="103">
        <f>F23+F24+F25+F26+F27+F28+F29+F30+F31+F32+F33+F34+F35+F36+F37+F38+F39</f>
        <v>156678354.47</v>
      </c>
      <c r="G22" s="103"/>
      <c r="H22" s="103">
        <f>H23+H24+H25+H26+H27+H28+H29+H30+H31+H32+H33+H34+H35+H36+H37+H38+H39</f>
        <v>760693100.55999994</v>
      </c>
      <c r="I22" s="103">
        <f>I23+I24+I25+I26+I27+I28+I29+I30+I31+I32+I33+I34+I35+I36+I37+I38+I39</f>
        <v>13892339.189999999</v>
      </c>
      <c r="J22" s="103">
        <f>J23+J24+J25+J26+J27+J28+J29+J30+J31+J32+J33+J34+J35+J36+J37+J38+J39</f>
        <v>-2083850.87</v>
      </c>
      <c r="K22" s="103">
        <f>K23+K24+K25+K26+K27+K28+K29+K30+K31+K32+K33+K34+K35+K36+K37+K38+K39</f>
        <v>3089535.41</v>
      </c>
      <c r="L22" s="103">
        <f>L23+L24+L25+L26+L27+L28+L29+L30+L31+L32+L33+L34+L35+L36+L37+L38+L39</f>
        <v>775591124.28999996</v>
      </c>
      <c r="M22" s="82"/>
      <c r="N22" s="103">
        <f>N23+N24+N25+N26+N27+N28+N29+N30+N31+N32+N33+N34+N35+N36+N37+N38+N39</f>
        <v>839654951.14999998</v>
      </c>
      <c r="O22" s="101"/>
      <c r="P22" s="103">
        <f>P23+P24+P25+P26+P27+P28+P29+P30+P31+P32+P33+P34+P35+P36+P37+P38+P39</f>
        <v>887347352.38</v>
      </c>
      <c r="Q22" s="103">
        <f>Q23+Q24+Q25+Q26+Q27+Q28+Q29+Q30+Q31+Q32+Q33+Q34+Q35+Q36+Q37+Q38+Q39</f>
        <v>179254401.80000001</v>
      </c>
    </row>
    <row r="23" spans="1:19" s="91" customFormat="1" ht="51" customHeight="1" x14ac:dyDescent="0.25">
      <c r="A23" s="89" t="s">
        <v>19</v>
      </c>
      <c r="B23" s="96" t="s">
        <v>171</v>
      </c>
      <c r="C23" s="95" t="s">
        <v>172</v>
      </c>
      <c r="D23" s="104">
        <v>182339171.68000001</v>
      </c>
      <c r="E23" s="84"/>
      <c r="F23" s="84"/>
      <c r="G23" s="84"/>
      <c r="H23" s="104">
        <f t="shared" ref="H23:H39" si="2">G23+F23+E23+D23</f>
        <v>182339171.68000001</v>
      </c>
      <c r="I23" s="104">
        <f t="shared" ref="I23:I39" si="3">(D23+E23)*2.3%</f>
        <v>4193800.95</v>
      </c>
      <c r="J23" s="104">
        <f t="shared" ref="J23:J49" si="4">-I23*15%</f>
        <v>-629070.14</v>
      </c>
      <c r="K23" s="104">
        <f t="shared" ref="K23:K39" si="5">(D23+E23+I23)*0.5%</f>
        <v>932664.86</v>
      </c>
      <c r="L23" s="104">
        <f t="shared" ref="L23:L39" si="6">K23+J23+I23+H23</f>
        <v>186836567.34999999</v>
      </c>
      <c r="M23" s="23">
        <f>'Фактический индекс'!$F$121</f>
        <v>1.0826</v>
      </c>
      <c r="N23" s="104">
        <f>L23*M23</f>
        <v>202269267.81</v>
      </c>
      <c r="O23" s="101">
        <f>'Прогнозный индекс'!$F$47</f>
        <v>1.0568</v>
      </c>
      <c r="P23" s="104">
        <f t="shared" si="1"/>
        <v>213758162.22</v>
      </c>
      <c r="Q23" s="104"/>
    </row>
    <row r="24" spans="1:19" s="91" customFormat="1" ht="51" customHeight="1" x14ac:dyDescent="0.25">
      <c r="A24" s="89" t="s">
        <v>20</v>
      </c>
      <c r="B24" s="96" t="s">
        <v>173</v>
      </c>
      <c r="C24" s="95" t="s">
        <v>174</v>
      </c>
      <c r="D24" s="104">
        <v>298906862.87</v>
      </c>
      <c r="E24" s="84"/>
      <c r="F24" s="84"/>
      <c r="G24" s="84"/>
      <c r="H24" s="104">
        <f t="shared" si="2"/>
        <v>298906862.87</v>
      </c>
      <c r="I24" s="104">
        <f t="shared" si="3"/>
        <v>6874857.8499999996</v>
      </c>
      <c r="J24" s="104">
        <f t="shared" si="4"/>
        <v>-1031228.68</v>
      </c>
      <c r="K24" s="104">
        <f t="shared" si="5"/>
        <v>1528908.6</v>
      </c>
      <c r="L24" s="104">
        <f t="shared" si="6"/>
        <v>306279400.63999999</v>
      </c>
      <c r="M24" s="23">
        <f>'Фактический индекс'!$F$121</f>
        <v>1.0826</v>
      </c>
      <c r="N24" s="104">
        <f t="shared" ref="N24:N74" si="7">L24*M24</f>
        <v>331578079.13</v>
      </c>
      <c r="O24" s="101">
        <f>'Прогнозный индекс'!$F$47</f>
        <v>1.0568</v>
      </c>
      <c r="P24" s="104">
        <f t="shared" si="1"/>
        <v>350411714.01999998</v>
      </c>
      <c r="Q24" s="104"/>
    </row>
    <row r="25" spans="1:19" s="91" customFormat="1" ht="51" customHeight="1" x14ac:dyDescent="0.25">
      <c r="A25" s="89" t="s">
        <v>236</v>
      </c>
      <c r="B25" s="96" t="s">
        <v>175</v>
      </c>
      <c r="C25" s="95" t="s">
        <v>176</v>
      </c>
      <c r="D25" s="104">
        <v>27479086.030000001</v>
      </c>
      <c r="E25" s="104">
        <v>3277811.22</v>
      </c>
      <c r="F25" s="104">
        <v>1152129.74</v>
      </c>
      <c r="G25" s="104"/>
      <c r="H25" s="104">
        <f t="shared" si="2"/>
        <v>31909026.989999998</v>
      </c>
      <c r="I25" s="104">
        <f t="shared" si="3"/>
        <v>707408.64</v>
      </c>
      <c r="J25" s="104">
        <f t="shared" si="4"/>
        <v>-106111.3</v>
      </c>
      <c r="K25" s="104">
        <f t="shared" si="5"/>
        <v>157321.53</v>
      </c>
      <c r="L25" s="104">
        <f t="shared" si="6"/>
        <v>32667645.859999999</v>
      </c>
      <c r="M25" s="23">
        <f>'Фактический индекс'!$F$121</f>
        <v>1.0826</v>
      </c>
      <c r="N25" s="104">
        <f t="shared" si="7"/>
        <v>35365993.409999996</v>
      </c>
      <c r="O25" s="101">
        <f>'Прогнозный индекс'!$F$47</f>
        <v>1.0568</v>
      </c>
      <c r="P25" s="104">
        <f t="shared" si="1"/>
        <v>37374781.840000004</v>
      </c>
      <c r="Q25" s="104">
        <f>F25*M25*O25</f>
        <v>1318142.05</v>
      </c>
    </row>
    <row r="26" spans="1:19" s="91" customFormat="1" ht="51" customHeight="1" x14ac:dyDescent="0.25">
      <c r="A26" s="89" t="s">
        <v>237</v>
      </c>
      <c r="B26" s="96" t="s">
        <v>177</v>
      </c>
      <c r="C26" s="95" t="s">
        <v>178</v>
      </c>
      <c r="D26" s="104">
        <v>2697781.45</v>
      </c>
      <c r="E26" s="104">
        <v>36902.699999999997</v>
      </c>
      <c r="F26" s="104">
        <v>1152180.27</v>
      </c>
      <c r="G26" s="84"/>
      <c r="H26" s="104">
        <f t="shared" si="2"/>
        <v>3886864.42</v>
      </c>
      <c r="I26" s="104">
        <f t="shared" si="3"/>
        <v>62897.74</v>
      </c>
      <c r="J26" s="104">
        <f t="shared" si="4"/>
        <v>-9434.66</v>
      </c>
      <c r="K26" s="104">
        <f t="shared" si="5"/>
        <v>13987.91</v>
      </c>
      <c r="L26" s="104">
        <f t="shared" si="6"/>
        <v>3954315.41</v>
      </c>
      <c r="M26" s="23">
        <f>'Фактический индекс'!$F$121</f>
        <v>1.0826</v>
      </c>
      <c r="N26" s="104">
        <f t="shared" si="7"/>
        <v>4280941.8600000003</v>
      </c>
      <c r="O26" s="101">
        <f>'Прогнозный индекс'!$F$47</f>
        <v>1.0568</v>
      </c>
      <c r="P26" s="104">
        <f t="shared" si="1"/>
        <v>4524099.3600000003</v>
      </c>
      <c r="Q26" s="104">
        <f>F26*M26*O26</f>
        <v>1318199.8600000001</v>
      </c>
    </row>
    <row r="27" spans="1:19" s="91" customFormat="1" ht="51" customHeight="1" x14ac:dyDescent="0.25">
      <c r="A27" s="89" t="s">
        <v>238</v>
      </c>
      <c r="B27" s="96" t="s">
        <v>179</v>
      </c>
      <c r="C27" s="95" t="s">
        <v>260</v>
      </c>
      <c r="D27" s="104">
        <v>5180182.37</v>
      </c>
      <c r="E27" s="104">
        <v>347607.09</v>
      </c>
      <c r="F27" s="104">
        <v>2751211.98</v>
      </c>
      <c r="G27" s="104"/>
      <c r="H27" s="104">
        <f t="shared" si="2"/>
        <v>8279001.4400000004</v>
      </c>
      <c r="I27" s="104">
        <f t="shared" si="3"/>
        <v>127139.16</v>
      </c>
      <c r="J27" s="104">
        <f t="shared" si="4"/>
        <v>-19070.87</v>
      </c>
      <c r="K27" s="104">
        <f t="shared" si="5"/>
        <v>28274.639999999999</v>
      </c>
      <c r="L27" s="104">
        <f t="shared" si="6"/>
        <v>8415344.3699999992</v>
      </c>
      <c r="M27" s="23">
        <f>'Фактический индекс'!$F$121</f>
        <v>1.0826</v>
      </c>
      <c r="N27" s="104">
        <f t="shared" si="7"/>
        <v>9110451.8100000005</v>
      </c>
      <c r="O27" s="101">
        <f>'Прогнозный индекс'!$F$47</f>
        <v>1.0568</v>
      </c>
      <c r="P27" s="104">
        <f t="shared" si="1"/>
        <v>9627925.4700000007</v>
      </c>
      <c r="Q27" s="104">
        <f>F27*M27*O27</f>
        <v>3147638.74</v>
      </c>
    </row>
    <row r="28" spans="1:19" s="91" customFormat="1" ht="51" customHeight="1" x14ac:dyDescent="0.25">
      <c r="A28" s="89" t="s">
        <v>239</v>
      </c>
      <c r="B28" s="96" t="s">
        <v>180</v>
      </c>
      <c r="C28" s="95" t="s">
        <v>181</v>
      </c>
      <c r="D28" s="104">
        <v>1735186.33</v>
      </c>
      <c r="E28" s="104"/>
      <c r="F28" s="104">
        <v>178328.86</v>
      </c>
      <c r="G28" s="104"/>
      <c r="H28" s="104">
        <f t="shared" si="2"/>
        <v>1913515.19</v>
      </c>
      <c r="I28" s="104">
        <f t="shared" si="3"/>
        <v>39909.29</v>
      </c>
      <c r="J28" s="104">
        <f t="shared" si="4"/>
        <v>-5986.39</v>
      </c>
      <c r="K28" s="104">
        <f t="shared" si="5"/>
        <v>8875.48</v>
      </c>
      <c r="L28" s="104">
        <f t="shared" si="6"/>
        <v>1956313.57</v>
      </c>
      <c r="M28" s="23">
        <f>'Фактический индекс'!$F$121</f>
        <v>1.0826</v>
      </c>
      <c r="N28" s="104">
        <f t="shared" si="7"/>
        <v>2117905.0699999998</v>
      </c>
      <c r="O28" s="101">
        <f>'Прогнозный индекс'!$F$47</f>
        <v>1.0568</v>
      </c>
      <c r="P28" s="104">
        <f t="shared" si="1"/>
        <v>2238202.08</v>
      </c>
      <c r="Q28" s="104">
        <f>F28*M28*O28</f>
        <v>204024.57</v>
      </c>
    </row>
    <row r="29" spans="1:19" s="91" customFormat="1" ht="51" customHeight="1" x14ac:dyDescent="0.25">
      <c r="A29" s="89" t="s">
        <v>240</v>
      </c>
      <c r="B29" s="96" t="s">
        <v>182</v>
      </c>
      <c r="C29" s="95" t="s">
        <v>183</v>
      </c>
      <c r="D29" s="104">
        <v>42989346.789999999</v>
      </c>
      <c r="E29" s="104">
        <v>1030080.02</v>
      </c>
      <c r="F29" s="104">
        <v>53603782.329999998</v>
      </c>
      <c r="G29" s="104"/>
      <c r="H29" s="104">
        <f t="shared" si="2"/>
        <v>97623209.140000001</v>
      </c>
      <c r="I29" s="104">
        <f t="shared" si="3"/>
        <v>1012446.82</v>
      </c>
      <c r="J29" s="104">
        <f t="shared" si="4"/>
        <v>-151867.01999999999</v>
      </c>
      <c r="K29" s="104">
        <f t="shared" si="5"/>
        <v>225159.37</v>
      </c>
      <c r="L29" s="104">
        <f t="shared" si="6"/>
        <v>98708948.310000002</v>
      </c>
      <c r="M29" s="23">
        <f>'Фактический индекс'!$F$121</f>
        <v>1.0826</v>
      </c>
      <c r="N29" s="104">
        <f t="shared" si="7"/>
        <v>106862307.44</v>
      </c>
      <c r="O29" s="101">
        <f>'Прогнозный индекс'!$F$47</f>
        <v>1.0568</v>
      </c>
      <c r="P29" s="104">
        <f t="shared" si="1"/>
        <v>112932086.5</v>
      </c>
      <c r="Q29" s="104">
        <f>F29*M29*O29</f>
        <v>61327641.380000003</v>
      </c>
    </row>
    <row r="30" spans="1:19" s="91" customFormat="1" ht="51" customHeight="1" x14ac:dyDescent="0.25">
      <c r="A30" s="89" t="s">
        <v>241</v>
      </c>
      <c r="B30" s="96" t="s">
        <v>184</v>
      </c>
      <c r="C30" s="95" t="s">
        <v>185</v>
      </c>
      <c r="D30" s="104">
        <v>103840.51</v>
      </c>
      <c r="E30" s="104">
        <v>12249291.15</v>
      </c>
      <c r="F30" s="104">
        <v>11090434.869999999</v>
      </c>
      <c r="G30" s="104"/>
      <c r="H30" s="104">
        <f t="shared" si="2"/>
        <v>23443566.530000001</v>
      </c>
      <c r="I30" s="104">
        <f t="shared" si="3"/>
        <v>284122.03000000003</v>
      </c>
      <c r="J30" s="104">
        <f t="shared" si="4"/>
        <v>-42618.3</v>
      </c>
      <c r="K30" s="104">
        <f t="shared" si="5"/>
        <v>63186.27</v>
      </c>
      <c r="L30" s="104">
        <f t="shared" si="6"/>
        <v>23748256.530000001</v>
      </c>
      <c r="M30" s="23">
        <f>'Фактический индекс'!$F$121</f>
        <v>1.0826</v>
      </c>
      <c r="N30" s="104">
        <f t="shared" si="7"/>
        <v>25709862.52</v>
      </c>
      <c r="O30" s="101">
        <f>'Прогнозный индекс'!$F$47</f>
        <v>1.0568</v>
      </c>
      <c r="P30" s="104">
        <f t="shared" si="1"/>
        <v>27170182.710000001</v>
      </c>
      <c r="Q30" s="104">
        <f t="shared" ref="Q30:Q39" si="8">F30*M30*O30</f>
        <v>12688474.26</v>
      </c>
    </row>
    <row r="31" spans="1:19" s="91" customFormat="1" ht="51" customHeight="1" x14ac:dyDescent="0.25">
      <c r="A31" s="89" t="s">
        <v>242</v>
      </c>
      <c r="B31" s="96" t="s">
        <v>186</v>
      </c>
      <c r="C31" s="95" t="s">
        <v>187</v>
      </c>
      <c r="D31" s="104"/>
      <c r="E31" s="104">
        <v>387427.57</v>
      </c>
      <c r="F31" s="104">
        <v>456751.34</v>
      </c>
      <c r="G31" s="104"/>
      <c r="H31" s="104">
        <f t="shared" si="2"/>
        <v>844178.91</v>
      </c>
      <c r="I31" s="104">
        <f t="shared" si="3"/>
        <v>8910.83</v>
      </c>
      <c r="J31" s="104">
        <f t="shared" si="4"/>
        <v>-1336.62</v>
      </c>
      <c r="K31" s="104">
        <f t="shared" si="5"/>
        <v>1981.69</v>
      </c>
      <c r="L31" s="104">
        <f t="shared" si="6"/>
        <v>853734.81</v>
      </c>
      <c r="M31" s="23">
        <f>'Фактический индекс'!$F$121</f>
        <v>1.0826</v>
      </c>
      <c r="N31" s="104">
        <f t="shared" si="7"/>
        <v>924253.31</v>
      </c>
      <c r="O31" s="101">
        <f>'Прогнозный индекс'!$F$47</f>
        <v>1.0568</v>
      </c>
      <c r="P31" s="104">
        <f t="shared" si="1"/>
        <v>976750.9</v>
      </c>
      <c r="Q31" s="104">
        <f t="shared" si="8"/>
        <v>522565.41</v>
      </c>
    </row>
    <row r="32" spans="1:19" s="91" customFormat="1" ht="51" customHeight="1" x14ac:dyDescent="0.25">
      <c r="A32" s="28" t="s">
        <v>243</v>
      </c>
      <c r="B32" s="96" t="s">
        <v>188</v>
      </c>
      <c r="C32" s="95" t="s">
        <v>189</v>
      </c>
      <c r="D32" s="29">
        <v>121753.9</v>
      </c>
      <c r="E32" s="29">
        <v>5629068.6500000004</v>
      </c>
      <c r="F32" s="29">
        <v>18333397.949999999</v>
      </c>
      <c r="G32" s="85"/>
      <c r="H32" s="104">
        <f t="shared" si="2"/>
        <v>24084220.5</v>
      </c>
      <c r="I32" s="104">
        <f t="shared" si="3"/>
        <v>132268.92000000001</v>
      </c>
      <c r="J32" s="104">
        <f t="shared" si="4"/>
        <v>-19840.34</v>
      </c>
      <c r="K32" s="104">
        <f t="shared" si="5"/>
        <v>29415.46</v>
      </c>
      <c r="L32" s="104">
        <f t="shared" si="6"/>
        <v>24226064.539999999</v>
      </c>
      <c r="M32" s="23">
        <f>'Фактический индекс'!$F$121</f>
        <v>1.0826</v>
      </c>
      <c r="N32" s="104">
        <f t="shared" si="7"/>
        <v>26227137.469999999</v>
      </c>
      <c r="O32" s="101">
        <f>'Прогнозный индекс'!$F$47</f>
        <v>1.0568</v>
      </c>
      <c r="P32" s="104">
        <f t="shared" si="1"/>
        <v>27716838.879999999</v>
      </c>
      <c r="Q32" s="104">
        <f t="shared" si="8"/>
        <v>20975088.059999999</v>
      </c>
    </row>
    <row r="33" spans="1:17" s="91" customFormat="1" ht="51" customHeight="1" x14ac:dyDescent="0.25">
      <c r="A33" s="28" t="s">
        <v>244</v>
      </c>
      <c r="B33" s="96" t="s">
        <v>190</v>
      </c>
      <c r="C33" s="95" t="s">
        <v>191</v>
      </c>
      <c r="D33" s="29">
        <v>247017.52</v>
      </c>
      <c r="E33" s="29">
        <v>12776.09</v>
      </c>
      <c r="F33" s="29">
        <v>529797.37</v>
      </c>
      <c r="G33" s="29"/>
      <c r="H33" s="29">
        <f t="shared" si="2"/>
        <v>789590.98</v>
      </c>
      <c r="I33" s="104">
        <f t="shared" si="3"/>
        <v>5975.25</v>
      </c>
      <c r="J33" s="104">
        <f t="shared" si="4"/>
        <v>-896.29</v>
      </c>
      <c r="K33" s="104">
        <f t="shared" si="5"/>
        <v>1328.84</v>
      </c>
      <c r="L33" s="104">
        <f t="shared" si="6"/>
        <v>795998.78</v>
      </c>
      <c r="M33" s="23">
        <f>'Фактический индекс'!$F$121</f>
        <v>1.0826</v>
      </c>
      <c r="N33" s="104">
        <f t="shared" si="7"/>
        <v>861748.28</v>
      </c>
      <c r="O33" s="101">
        <f>'Прогнозный индекс'!$F$47</f>
        <v>1.0568</v>
      </c>
      <c r="P33" s="104">
        <f t="shared" si="1"/>
        <v>910695.58</v>
      </c>
      <c r="Q33" s="104">
        <f t="shared" si="8"/>
        <v>606136.76</v>
      </c>
    </row>
    <row r="34" spans="1:17" s="415" customFormat="1" ht="51" customHeight="1" x14ac:dyDescent="0.25">
      <c r="A34" s="28" t="s">
        <v>245</v>
      </c>
      <c r="B34" s="414" t="s">
        <v>192</v>
      </c>
      <c r="C34" s="95" t="s">
        <v>193</v>
      </c>
      <c r="D34" s="29">
        <v>450410.17</v>
      </c>
      <c r="E34" s="29">
        <v>4818530.84</v>
      </c>
      <c r="F34" s="29">
        <v>31590203.100000001</v>
      </c>
      <c r="G34" s="29"/>
      <c r="H34" s="29">
        <f t="shared" si="2"/>
        <v>36859144.109999999</v>
      </c>
      <c r="I34" s="104">
        <f t="shared" si="3"/>
        <v>121185.64</v>
      </c>
      <c r="J34" s="104">
        <f t="shared" si="4"/>
        <v>-18177.849999999999</v>
      </c>
      <c r="K34" s="104">
        <f t="shared" si="5"/>
        <v>26950.63</v>
      </c>
      <c r="L34" s="104">
        <f t="shared" si="6"/>
        <v>36989102.530000001</v>
      </c>
      <c r="M34" s="23">
        <f>'Фактический индекс'!$F$121</f>
        <v>1.0826</v>
      </c>
      <c r="N34" s="104">
        <f t="shared" si="7"/>
        <v>40044402.399999999</v>
      </c>
      <c r="O34" s="101">
        <f>'Прогнозный индекс'!$F$47</f>
        <v>1.0568</v>
      </c>
      <c r="P34" s="104">
        <f t="shared" si="1"/>
        <v>42318924.460000001</v>
      </c>
      <c r="Q34" s="104">
        <f t="shared" si="8"/>
        <v>36142088.539999999</v>
      </c>
    </row>
    <row r="35" spans="1:17" s="91" customFormat="1" ht="51" customHeight="1" x14ac:dyDescent="0.25">
      <c r="A35" s="28" t="s">
        <v>246</v>
      </c>
      <c r="B35" s="414" t="s">
        <v>194</v>
      </c>
      <c r="C35" s="95" t="s">
        <v>195</v>
      </c>
      <c r="D35" s="29">
        <v>3692.48</v>
      </c>
      <c r="E35" s="29">
        <v>714307.38</v>
      </c>
      <c r="F35" s="29">
        <v>4661580.16</v>
      </c>
      <c r="G35" s="29"/>
      <c r="H35" s="29">
        <f t="shared" si="2"/>
        <v>5379580.0199999996</v>
      </c>
      <c r="I35" s="104">
        <f t="shared" si="3"/>
        <v>16514</v>
      </c>
      <c r="J35" s="104">
        <f t="shared" si="4"/>
        <v>-2477.1</v>
      </c>
      <c r="K35" s="104">
        <f t="shared" si="5"/>
        <v>3672.57</v>
      </c>
      <c r="L35" s="104">
        <f t="shared" si="6"/>
        <v>5397289.4900000002</v>
      </c>
      <c r="M35" s="23">
        <f>'Фактический индекс'!$F$121</f>
        <v>1.0826</v>
      </c>
      <c r="N35" s="104">
        <f t="shared" si="7"/>
        <v>5843105.5999999996</v>
      </c>
      <c r="O35" s="101">
        <f>'Прогнозный индекс'!$F$47</f>
        <v>1.0568</v>
      </c>
      <c r="P35" s="104">
        <f t="shared" si="1"/>
        <v>6174994</v>
      </c>
      <c r="Q35" s="104">
        <f t="shared" si="8"/>
        <v>5333275.08</v>
      </c>
    </row>
    <row r="36" spans="1:17" s="91" customFormat="1" ht="51" customHeight="1" x14ac:dyDescent="0.25">
      <c r="A36" s="392" t="s">
        <v>247</v>
      </c>
      <c r="B36" s="414" t="s">
        <v>196</v>
      </c>
      <c r="C36" s="95" t="s">
        <v>197</v>
      </c>
      <c r="D36" s="29">
        <v>1517006.49</v>
      </c>
      <c r="E36" s="29">
        <v>277686.92</v>
      </c>
      <c r="F36" s="29">
        <v>12232173.35</v>
      </c>
      <c r="G36" s="29"/>
      <c r="H36" s="29">
        <f t="shared" si="2"/>
        <v>14026866.76</v>
      </c>
      <c r="I36" s="104">
        <f t="shared" si="3"/>
        <v>41277.949999999997</v>
      </c>
      <c r="J36" s="104">
        <f t="shared" si="4"/>
        <v>-6191.69</v>
      </c>
      <c r="K36" s="104">
        <f t="shared" si="5"/>
        <v>9179.86</v>
      </c>
      <c r="L36" s="104">
        <f t="shared" si="6"/>
        <v>14071132.880000001</v>
      </c>
      <c r="M36" s="23">
        <f>'Фактический индекс'!$F$121</f>
        <v>1.0826</v>
      </c>
      <c r="N36" s="104">
        <f t="shared" si="7"/>
        <v>15233408.460000001</v>
      </c>
      <c r="O36" s="101">
        <f>'Прогнозный индекс'!$F$47</f>
        <v>1.0568</v>
      </c>
      <c r="P36" s="104">
        <f t="shared" si="1"/>
        <v>16098666.060000001</v>
      </c>
      <c r="Q36" s="104">
        <f t="shared" si="8"/>
        <v>13994727.76</v>
      </c>
    </row>
    <row r="37" spans="1:17" s="91" customFormat="1" ht="51" customHeight="1" x14ac:dyDescent="0.25">
      <c r="A37" s="28" t="s">
        <v>248</v>
      </c>
      <c r="B37" s="96" t="s">
        <v>198</v>
      </c>
      <c r="C37" s="95" t="s">
        <v>199</v>
      </c>
      <c r="D37" s="29">
        <v>1798.82</v>
      </c>
      <c r="E37" s="29">
        <v>6857374.9100000001</v>
      </c>
      <c r="F37" s="29">
        <v>5244702.13</v>
      </c>
      <c r="G37" s="29"/>
      <c r="H37" s="29">
        <f t="shared" si="2"/>
        <v>12103875.859999999</v>
      </c>
      <c r="I37" s="104">
        <f t="shared" si="3"/>
        <v>157761</v>
      </c>
      <c r="J37" s="104">
        <f t="shared" si="4"/>
        <v>-23664.15</v>
      </c>
      <c r="K37" s="104">
        <f t="shared" si="5"/>
        <v>35084.67</v>
      </c>
      <c r="L37" s="104">
        <f t="shared" si="6"/>
        <v>12273057.380000001</v>
      </c>
      <c r="M37" s="23">
        <f>'Фактический индекс'!$F$121</f>
        <v>1.0826</v>
      </c>
      <c r="N37" s="104">
        <f t="shared" si="7"/>
        <v>13286811.92</v>
      </c>
      <c r="O37" s="101">
        <f>'Прогнозный индекс'!$F$47</f>
        <v>1.0568</v>
      </c>
      <c r="P37" s="104">
        <f t="shared" si="1"/>
        <v>14041502.84</v>
      </c>
      <c r="Q37" s="104">
        <f t="shared" si="8"/>
        <v>6000420.0700000003</v>
      </c>
    </row>
    <row r="38" spans="1:17" s="91" customFormat="1" ht="51" customHeight="1" x14ac:dyDescent="0.25">
      <c r="A38" s="28" t="s">
        <v>250</v>
      </c>
      <c r="B38" s="96" t="s">
        <v>200</v>
      </c>
      <c r="C38" s="95" t="s">
        <v>201</v>
      </c>
      <c r="D38" s="29">
        <v>2200576.02</v>
      </c>
      <c r="E38" s="29">
        <v>64419.97</v>
      </c>
      <c r="F38" s="29">
        <v>116724.36</v>
      </c>
      <c r="G38" s="29"/>
      <c r="H38" s="29">
        <f t="shared" si="2"/>
        <v>2381720.35</v>
      </c>
      <c r="I38" s="104">
        <f t="shared" si="3"/>
        <v>52094.91</v>
      </c>
      <c r="J38" s="104">
        <f t="shared" si="4"/>
        <v>-7814.24</v>
      </c>
      <c r="K38" s="104">
        <f t="shared" si="5"/>
        <v>11585.45</v>
      </c>
      <c r="L38" s="104">
        <f t="shared" si="6"/>
        <v>2437586.4700000002</v>
      </c>
      <c r="M38" s="23">
        <f>'Фактический индекс'!$F$121</f>
        <v>1.0826</v>
      </c>
      <c r="N38" s="104">
        <f t="shared" si="7"/>
        <v>2638931.11</v>
      </c>
      <c r="O38" s="101">
        <f>'Прогнозный индекс'!$F$47</f>
        <v>1.0568</v>
      </c>
      <c r="P38" s="104">
        <f t="shared" si="1"/>
        <v>2788822.4</v>
      </c>
      <c r="Q38" s="104">
        <f t="shared" si="8"/>
        <v>133543.37</v>
      </c>
    </row>
    <row r="39" spans="1:17" s="91" customFormat="1" ht="51" customHeight="1" x14ac:dyDescent="0.25">
      <c r="A39" s="86" t="s">
        <v>249</v>
      </c>
      <c r="B39" s="96" t="s">
        <v>202</v>
      </c>
      <c r="C39" s="95" t="s">
        <v>203</v>
      </c>
      <c r="D39" s="29">
        <v>1709915.26</v>
      </c>
      <c r="E39" s="29">
        <v>627832.89</v>
      </c>
      <c r="F39" s="29">
        <v>13584956.66</v>
      </c>
      <c r="G39" s="87"/>
      <c r="H39" s="29">
        <f t="shared" si="2"/>
        <v>15922704.810000001</v>
      </c>
      <c r="I39" s="104">
        <f t="shared" si="3"/>
        <v>53768.21</v>
      </c>
      <c r="J39" s="104">
        <f t="shared" si="4"/>
        <v>-8065.23</v>
      </c>
      <c r="K39" s="104">
        <f t="shared" si="5"/>
        <v>11957.58</v>
      </c>
      <c r="L39" s="104">
        <f t="shared" si="6"/>
        <v>15980365.369999999</v>
      </c>
      <c r="M39" s="23">
        <f>'Фактический индекс'!$F$121</f>
        <v>1.0826</v>
      </c>
      <c r="N39" s="104">
        <f t="shared" si="7"/>
        <v>17300343.550000001</v>
      </c>
      <c r="O39" s="101">
        <f>'Прогнозный индекс'!$F$47</f>
        <v>1.0568</v>
      </c>
      <c r="P39" s="104">
        <f t="shared" si="1"/>
        <v>18283003.059999999</v>
      </c>
      <c r="Q39" s="104">
        <f t="shared" si="8"/>
        <v>15542435.890000001</v>
      </c>
    </row>
    <row r="40" spans="1:17" s="91" customFormat="1" ht="51" customHeight="1" x14ac:dyDescent="0.25">
      <c r="A40" s="105" t="s">
        <v>21</v>
      </c>
      <c r="B40" s="79" t="s">
        <v>120</v>
      </c>
      <c r="C40" s="79" t="s">
        <v>121</v>
      </c>
      <c r="D40" s="106">
        <f>D41+D42</f>
        <v>2452649.79</v>
      </c>
      <c r="E40" s="106">
        <f>E41+E42</f>
        <v>428022.55</v>
      </c>
      <c r="F40" s="106">
        <f>F41+F42</f>
        <v>32364832.309999999</v>
      </c>
      <c r="G40" s="107"/>
      <c r="H40" s="106">
        <f>H41+H42</f>
        <v>35245504.649999999</v>
      </c>
      <c r="I40" s="106">
        <f>I41+I42</f>
        <v>66255.460000000006</v>
      </c>
      <c r="J40" s="106">
        <f>J41+J42</f>
        <v>-9938.32</v>
      </c>
      <c r="K40" s="106">
        <f>K41+K42</f>
        <v>14734.64</v>
      </c>
      <c r="L40" s="106">
        <f>L41+L42</f>
        <v>35316556.43</v>
      </c>
      <c r="M40" s="108"/>
      <c r="N40" s="106">
        <f>N41+N42</f>
        <v>38233703.990000002</v>
      </c>
      <c r="O40" s="109"/>
      <c r="P40" s="106">
        <f>P41+P42</f>
        <v>40405378.380000003</v>
      </c>
      <c r="Q40" s="106">
        <f>Q41+Q42</f>
        <v>37028335.369999997</v>
      </c>
    </row>
    <row r="41" spans="1:17" s="91" customFormat="1" ht="51" customHeight="1" x14ac:dyDescent="0.25">
      <c r="A41" s="99" t="s">
        <v>265</v>
      </c>
      <c r="B41" s="98" t="s">
        <v>261</v>
      </c>
      <c r="C41" s="102" t="s">
        <v>262</v>
      </c>
      <c r="D41" s="97">
        <v>1830639.92</v>
      </c>
      <c r="E41" s="97">
        <v>243532.7</v>
      </c>
      <c r="F41" s="97"/>
      <c r="G41" s="100"/>
      <c r="H41" s="29">
        <f>G41+F41+E41+D41</f>
        <v>2074172.62</v>
      </c>
      <c r="I41" s="104">
        <f>(D41+E41)*2.3%</f>
        <v>47705.97</v>
      </c>
      <c r="J41" s="104">
        <f t="shared" si="4"/>
        <v>-7155.9</v>
      </c>
      <c r="K41" s="104">
        <f>(D41+E41+I41)*0.5%</f>
        <v>10609.39</v>
      </c>
      <c r="L41" s="104">
        <f>K41+J41+I41+H41</f>
        <v>2125332.08</v>
      </c>
      <c r="M41" s="23">
        <f>'Фактический индекс'!$F$121</f>
        <v>1.0826</v>
      </c>
      <c r="N41" s="104">
        <f t="shared" si="7"/>
        <v>2300884.5099999998</v>
      </c>
      <c r="O41" s="101">
        <f>'Прогнозный индекс'!$F$47</f>
        <v>1.0568</v>
      </c>
      <c r="P41" s="104">
        <f t="shared" si="1"/>
        <v>2431574.75</v>
      </c>
      <c r="Q41" s="97"/>
    </row>
    <row r="42" spans="1:17" s="91" customFormat="1" ht="51" customHeight="1" x14ac:dyDescent="0.25">
      <c r="A42" s="99" t="s">
        <v>266</v>
      </c>
      <c r="B42" s="98" t="s">
        <v>263</v>
      </c>
      <c r="C42" s="102" t="s">
        <v>264</v>
      </c>
      <c r="D42" s="97">
        <v>622009.87</v>
      </c>
      <c r="E42" s="97">
        <v>184489.85</v>
      </c>
      <c r="F42" s="97">
        <v>32364832.309999999</v>
      </c>
      <c r="G42" s="100"/>
      <c r="H42" s="29">
        <f>G42+F42+E42+D42</f>
        <v>33171332.030000001</v>
      </c>
      <c r="I42" s="104">
        <f>(D42+E42)*2.3%</f>
        <v>18549.490000000002</v>
      </c>
      <c r="J42" s="104">
        <f t="shared" si="4"/>
        <v>-2782.42</v>
      </c>
      <c r="K42" s="104">
        <f>(D42+E42+I42)*0.5%</f>
        <v>4125.25</v>
      </c>
      <c r="L42" s="104">
        <f>K42+J42+I42+H42</f>
        <v>33191224.350000001</v>
      </c>
      <c r="M42" s="23">
        <f>'Фактический индекс'!$F$121</f>
        <v>1.0826</v>
      </c>
      <c r="N42" s="104">
        <f t="shared" si="7"/>
        <v>35932819.479999997</v>
      </c>
      <c r="O42" s="101">
        <f>'Прогнозный индекс'!$F$47</f>
        <v>1.0568</v>
      </c>
      <c r="P42" s="104">
        <f t="shared" si="1"/>
        <v>37973803.630000003</v>
      </c>
      <c r="Q42" s="104">
        <f>F42*M42*O42</f>
        <v>37028335.369999997</v>
      </c>
    </row>
    <row r="43" spans="1:17" s="91" customFormat="1" ht="51" customHeight="1" x14ac:dyDescent="0.25">
      <c r="A43" s="30" t="s">
        <v>22</v>
      </c>
      <c r="B43" s="79" t="s">
        <v>41</v>
      </c>
      <c r="C43" s="79" t="s">
        <v>42</v>
      </c>
      <c r="D43" s="21">
        <v>908825.9</v>
      </c>
      <c r="E43" s="21">
        <v>398916.84</v>
      </c>
      <c r="F43" s="21">
        <v>26061.22</v>
      </c>
      <c r="G43" s="32"/>
      <c r="H43" s="31">
        <f>G43+F43+E43+D43</f>
        <v>1333803.96</v>
      </c>
      <c r="I43" s="103">
        <f>(D43+E43)*2.3%</f>
        <v>30078.080000000002</v>
      </c>
      <c r="J43" s="103">
        <f t="shared" si="4"/>
        <v>-4511.71</v>
      </c>
      <c r="K43" s="103">
        <f>(D43+E43+I43)*0.5%</f>
        <v>6689.1</v>
      </c>
      <c r="L43" s="103">
        <f>K43+J43+I43+H43</f>
        <v>1366059.43</v>
      </c>
      <c r="M43" s="23">
        <f>'Фактический индекс'!$F$121</f>
        <v>1.0826</v>
      </c>
      <c r="N43" s="103">
        <f t="shared" si="7"/>
        <v>1478895.94</v>
      </c>
      <c r="O43" s="101">
        <f>'Прогнозный индекс'!$F$47</f>
        <v>1.0568</v>
      </c>
      <c r="P43" s="103">
        <f>N43*O43</f>
        <v>1562897.23</v>
      </c>
      <c r="Q43" s="103">
        <f>F43*M43*O43</f>
        <v>29816.42</v>
      </c>
    </row>
    <row r="44" spans="1:17" s="91" customFormat="1" ht="51" customHeight="1" x14ac:dyDescent="0.25">
      <c r="A44" s="30" t="s">
        <v>23</v>
      </c>
      <c r="B44" s="79" t="s">
        <v>123</v>
      </c>
      <c r="C44" s="79" t="s">
        <v>124</v>
      </c>
      <c r="D44" s="21">
        <f>D45+D46</f>
        <v>6214840.2300000004</v>
      </c>
      <c r="E44" s="21">
        <f>E45+E46</f>
        <v>19992.52</v>
      </c>
      <c r="F44" s="21">
        <f>F45+F46</f>
        <v>121587.85</v>
      </c>
      <c r="G44" s="21"/>
      <c r="H44" s="21">
        <f>H45+H46</f>
        <v>6356420.5999999996</v>
      </c>
      <c r="I44" s="21">
        <f>I45+I46</f>
        <v>143401.15</v>
      </c>
      <c r="J44" s="21">
        <f>J45+J46</f>
        <v>-21510.17</v>
      </c>
      <c r="K44" s="21">
        <f>K45+K46</f>
        <v>31891.17</v>
      </c>
      <c r="L44" s="21">
        <f>L45+L46</f>
        <v>6510202.75</v>
      </c>
      <c r="M44" s="23"/>
      <c r="N44" s="21">
        <f>N45+N46</f>
        <v>7047945.5</v>
      </c>
      <c r="O44" s="27"/>
      <c r="P44" s="21">
        <f>P45+P46</f>
        <v>7448268.7999999998</v>
      </c>
      <c r="Q44" s="21">
        <f>Q45+Q46</f>
        <v>139107.65</v>
      </c>
    </row>
    <row r="45" spans="1:17" s="91" customFormat="1" ht="51" customHeight="1" x14ac:dyDescent="0.25">
      <c r="A45" s="90" t="s">
        <v>267</v>
      </c>
      <c r="B45" s="96" t="s">
        <v>207</v>
      </c>
      <c r="C45" s="95" t="s">
        <v>208</v>
      </c>
      <c r="D45" s="110">
        <v>802685.24</v>
      </c>
      <c r="E45" s="110"/>
      <c r="F45" s="110"/>
      <c r="G45" s="110"/>
      <c r="H45" s="29">
        <f>G45+F45+E45+D45</f>
        <v>802685.24</v>
      </c>
      <c r="I45" s="104">
        <f>(D45+E45)*2.3%</f>
        <v>18461.759999999998</v>
      </c>
      <c r="J45" s="104">
        <f t="shared" si="4"/>
        <v>-2769.26</v>
      </c>
      <c r="K45" s="104">
        <f>(D45+E45+I45)*0.5%</f>
        <v>4105.74</v>
      </c>
      <c r="L45" s="104">
        <f>K45+J45+I45+H45</f>
        <v>822483.48</v>
      </c>
      <c r="M45" s="23">
        <f>'Фактический индекс'!$F$121</f>
        <v>1.0826</v>
      </c>
      <c r="N45" s="104">
        <f t="shared" si="7"/>
        <v>890420.62</v>
      </c>
      <c r="O45" s="101">
        <f>'Прогнозный индекс'!$F$47</f>
        <v>1.0568</v>
      </c>
      <c r="P45" s="104">
        <f>N45*O45</f>
        <v>940996.51</v>
      </c>
      <c r="Q45" s="110"/>
    </row>
    <row r="46" spans="1:17" s="91" customFormat="1" ht="51" customHeight="1" x14ac:dyDescent="0.25">
      <c r="A46" s="90" t="s">
        <v>268</v>
      </c>
      <c r="B46" s="96" t="s">
        <v>209</v>
      </c>
      <c r="C46" s="95" t="s">
        <v>210</v>
      </c>
      <c r="D46" s="110">
        <v>5412154.9900000002</v>
      </c>
      <c r="E46" s="110">
        <v>19992.52</v>
      </c>
      <c r="F46" s="110">
        <v>121587.85</v>
      </c>
      <c r="G46" s="110"/>
      <c r="H46" s="29">
        <f>G46+F46+E46+D46</f>
        <v>5553735.3600000003</v>
      </c>
      <c r="I46" s="104">
        <f>(D46+E46)*2.3%</f>
        <v>124939.39</v>
      </c>
      <c r="J46" s="104">
        <f t="shared" si="4"/>
        <v>-18740.91</v>
      </c>
      <c r="K46" s="104">
        <f>(D46+E46+I46)*0.5%</f>
        <v>27785.43</v>
      </c>
      <c r="L46" s="104">
        <f>K46+J46+I46+H46</f>
        <v>5687719.2699999996</v>
      </c>
      <c r="M46" s="23">
        <f>'Фактический индекс'!$F$121</f>
        <v>1.0826</v>
      </c>
      <c r="N46" s="104">
        <f t="shared" si="7"/>
        <v>6157524.8799999999</v>
      </c>
      <c r="O46" s="101">
        <f>'Прогнозный индекс'!$F$47</f>
        <v>1.0568</v>
      </c>
      <c r="P46" s="104">
        <f>N46*O46</f>
        <v>6507272.29</v>
      </c>
      <c r="Q46" s="104">
        <f>F46*M46*O46</f>
        <v>139107.65</v>
      </c>
    </row>
    <row r="47" spans="1:17" s="91" customFormat="1" ht="51" customHeight="1" x14ac:dyDescent="0.25">
      <c r="A47" s="80" t="s">
        <v>24</v>
      </c>
      <c r="B47" s="79" t="s">
        <v>125</v>
      </c>
      <c r="C47" s="79" t="s">
        <v>126</v>
      </c>
      <c r="D47" s="81">
        <v>1591577.36</v>
      </c>
      <c r="E47" s="81">
        <v>45629.16</v>
      </c>
      <c r="F47" s="81"/>
      <c r="G47" s="81"/>
      <c r="H47" s="31">
        <f>G47+F47+E47+D47</f>
        <v>1637206.52</v>
      </c>
      <c r="I47" s="103">
        <f>(D47+E47)*2.3%</f>
        <v>37655.75</v>
      </c>
      <c r="J47" s="103">
        <f t="shared" si="4"/>
        <v>-5648.36</v>
      </c>
      <c r="K47" s="103">
        <f>(D47+E47+I47)*0.5%</f>
        <v>8374.31</v>
      </c>
      <c r="L47" s="103">
        <f>K47+J47+I47+H47</f>
        <v>1677588.22</v>
      </c>
      <c r="M47" s="23">
        <f>'Фактический индекс'!$F$121</f>
        <v>1.0826</v>
      </c>
      <c r="N47" s="103">
        <f t="shared" si="7"/>
        <v>1816157.01</v>
      </c>
      <c r="O47" s="101">
        <f>'Прогнозный индекс'!$F$47</f>
        <v>1.0568</v>
      </c>
      <c r="P47" s="103">
        <f>N47*O47</f>
        <v>1919314.73</v>
      </c>
      <c r="Q47" s="81"/>
    </row>
    <row r="48" spans="1:17" s="91" customFormat="1" ht="51" customHeight="1" x14ac:dyDescent="0.25">
      <c r="A48" s="80" t="s">
        <v>25</v>
      </c>
      <c r="B48" s="79" t="s">
        <v>128</v>
      </c>
      <c r="C48" s="79" t="s">
        <v>129</v>
      </c>
      <c r="D48" s="81">
        <v>14646865</v>
      </c>
      <c r="E48" s="81"/>
      <c r="F48" s="81"/>
      <c r="G48" s="81"/>
      <c r="H48" s="31">
        <f>G48+F48+E48+D48</f>
        <v>14646865</v>
      </c>
      <c r="I48" s="103">
        <f>(D48+E48)*2.3%</f>
        <v>336877.9</v>
      </c>
      <c r="J48" s="103">
        <f t="shared" si="4"/>
        <v>-50531.69</v>
      </c>
      <c r="K48" s="103">
        <f>(D48+E48+I48)*0.5%</f>
        <v>74918.710000000006</v>
      </c>
      <c r="L48" s="103">
        <f>K48+J48+I48+H48</f>
        <v>15008129.92</v>
      </c>
      <c r="M48" s="23">
        <f>'Фактический индекс'!$F$121</f>
        <v>1.0826</v>
      </c>
      <c r="N48" s="103">
        <f t="shared" si="7"/>
        <v>16247801.449999999</v>
      </c>
      <c r="O48" s="101">
        <f>'Прогнозный индекс'!$F$47</f>
        <v>1.0568</v>
      </c>
      <c r="P48" s="103">
        <f>N48*O48</f>
        <v>17170676.57</v>
      </c>
      <c r="Q48" s="81"/>
    </row>
    <row r="49" spans="1:17" s="91" customFormat="1" ht="51" customHeight="1" x14ac:dyDescent="0.25">
      <c r="A49" s="80" t="s">
        <v>26</v>
      </c>
      <c r="B49" s="79" t="s">
        <v>130</v>
      </c>
      <c r="C49" s="79" t="s">
        <v>131</v>
      </c>
      <c r="D49" s="81">
        <v>419137.63</v>
      </c>
      <c r="E49" s="81">
        <v>110903.83</v>
      </c>
      <c r="F49" s="81"/>
      <c r="G49" s="81"/>
      <c r="H49" s="31">
        <f>G49+F49+E49+D49</f>
        <v>530041.46</v>
      </c>
      <c r="I49" s="103">
        <f>(D49+E49)*2.3%</f>
        <v>12190.95</v>
      </c>
      <c r="J49" s="103">
        <f t="shared" si="4"/>
        <v>-1828.64</v>
      </c>
      <c r="K49" s="103">
        <f>(D49+E49+I49)*0.5%</f>
        <v>2711.16</v>
      </c>
      <c r="L49" s="103">
        <f>K49+J49+I49+H49</f>
        <v>543114.93000000005</v>
      </c>
      <c r="M49" s="23">
        <f>'Фактический индекс'!$F$121</f>
        <v>1.0826</v>
      </c>
      <c r="N49" s="103">
        <f t="shared" si="7"/>
        <v>587976.22</v>
      </c>
      <c r="O49" s="101">
        <f>'Прогнозный индекс'!$F$47</f>
        <v>1.0568</v>
      </c>
      <c r="P49" s="103">
        <f>N49*O49</f>
        <v>621373.27</v>
      </c>
      <c r="Q49" s="81"/>
    </row>
    <row r="50" spans="1:17" s="91" customFormat="1" ht="51" customHeight="1" x14ac:dyDescent="0.25">
      <c r="A50" s="80" t="s">
        <v>27</v>
      </c>
      <c r="B50" s="79" t="s">
        <v>52</v>
      </c>
      <c r="C50" s="79" t="s">
        <v>278</v>
      </c>
      <c r="D50" s="81"/>
      <c r="E50" s="81"/>
      <c r="F50" s="81"/>
      <c r="G50" s="81">
        <f t="shared" ref="G50:L50" si="9">G51+G52+G53+G54+G55+G56+G57+G58+G59</f>
        <v>16205323.470000001</v>
      </c>
      <c r="H50" s="81">
        <f t="shared" si="9"/>
        <v>16205323.470000001</v>
      </c>
      <c r="I50" s="81">
        <f t="shared" si="9"/>
        <v>0</v>
      </c>
      <c r="J50" s="81">
        <f t="shared" si="9"/>
        <v>0</v>
      </c>
      <c r="K50" s="81">
        <f t="shared" si="9"/>
        <v>0</v>
      </c>
      <c r="L50" s="81">
        <f t="shared" si="9"/>
        <v>16205323.470000001</v>
      </c>
      <c r="M50" s="82"/>
      <c r="N50" s="81">
        <f>N51+N52+N53+N54+N55+N56+N57+N58+N59</f>
        <v>17543883.190000001</v>
      </c>
      <c r="O50" s="83"/>
      <c r="P50" s="81">
        <f>P51+P52+P53+P54+P55+P56+P57+P58+P59</f>
        <v>18540375.75</v>
      </c>
      <c r="Q50" s="81"/>
    </row>
    <row r="51" spans="1:17" s="91" customFormat="1" ht="51" customHeight="1" x14ac:dyDescent="0.25">
      <c r="A51" s="90" t="s">
        <v>28</v>
      </c>
      <c r="B51" s="96" t="s">
        <v>211</v>
      </c>
      <c r="C51" s="95" t="s">
        <v>212</v>
      </c>
      <c r="D51" s="110"/>
      <c r="E51" s="110"/>
      <c r="F51" s="110"/>
      <c r="G51" s="110">
        <v>730072.46</v>
      </c>
      <c r="H51" s="110">
        <f t="shared" ref="H51:H59" si="10">G51</f>
        <v>730072.46</v>
      </c>
      <c r="I51" s="110"/>
      <c r="J51" s="110"/>
      <c r="K51" s="110"/>
      <c r="L51" s="110">
        <f>H51</f>
        <v>730072.46</v>
      </c>
      <c r="M51" s="23">
        <f>'Фактический индекс'!$F$121</f>
        <v>1.0826</v>
      </c>
      <c r="N51" s="104">
        <f t="shared" si="7"/>
        <v>790376.45</v>
      </c>
      <c r="O51" s="101">
        <f>'Прогнозный индекс'!$F$47</f>
        <v>1.0568</v>
      </c>
      <c r="P51" s="104">
        <f t="shared" ref="P51:P59" si="11">N51*O51</f>
        <v>835269.83</v>
      </c>
      <c r="Q51" s="110"/>
    </row>
    <row r="52" spans="1:17" s="91" customFormat="1" ht="51" customHeight="1" x14ac:dyDescent="0.25">
      <c r="A52" s="90" t="s">
        <v>29</v>
      </c>
      <c r="B52" s="96" t="s">
        <v>213</v>
      </c>
      <c r="C52" s="95" t="s">
        <v>214</v>
      </c>
      <c r="D52" s="110"/>
      <c r="E52" s="110"/>
      <c r="F52" s="110"/>
      <c r="G52" s="110">
        <v>3110707.29</v>
      </c>
      <c r="H52" s="110">
        <f t="shared" si="10"/>
        <v>3110707.29</v>
      </c>
      <c r="I52" s="110"/>
      <c r="J52" s="110"/>
      <c r="K52" s="110"/>
      <c r="L52" s="110">
        <f t="shared" ref="L52:L59" si="12">H52</f>
        <v>3110707.29</v>
      </c>
      <c r="M52" s="23">
        <f>'Фактический индекс'!$F$121</f>
        <v>1.0826</v>
      </c>
      <c r="N52" s="104">
        <f t="shared" si="7"/>
        <v>3367651.71</v>
      </c>
      <c r="O52" s="101">
        <f>'Прогнозный индекс'!$F$47</f>
        <v>1.0568</v>
      </c>
      <c r="P52" s="104">
        <f t="shared" si="11"/>
        <v>3558934.33</v>
      </c>
      <c r="Q52" s="110"/>
    </row>
    <row r="53" spans="1:17" s="91" customFormat="1" ht="51" customHeight="1" x14ac:dyDescent="0.25">
      <c r="A53" s="90" t="s">
        <v>251</v>
      </c>
      <c r="B53" s="96" t="s">
        <v>215</v>
      </c>
      <c r="C53" s="95" t="s">
        <v>216</v>
      </c>
      <c r="D53" s="110"/>
      <c r="E53" s="110"/>
      <c r="F53" s="110"/>
      <c r="G53" s="110">
        <v>33994.01</v>
      </c>
      <c r="H53" s="110">
        <f t="shared" si="10"/>
        <v>33994.01</v>
      </c>
      <c r="I53" s="110"/>
      <c r="J53" s="110"/>
      <c r="K53" s="110"/>
      <c r="L53" s="110">
        <f t="shared" si="12"/>
        <v>33994.01</v>
      </c>
      <c r="M53" s="23">
        <f>'Фактический индекс'!$F$121</f>
        <v>1.0826</v>
      </c>
      <c r="N53" s="104">
        <f t="shared" si="7"/>
        <v>36801.919999999998</v>
      </c>
      <c r="O53" s="101">
        <f>'Прогнозный индекс'!$F$47</f>
        <v>1.0568</v>
      </c>
      <c r="P53" s="104">
        <f t="shared" si="11"/>
        <v>38892.269999999997</v>
      </c>
      <c r="Q53" s="110"/>
    </row>
    <row r="54" spans="1:17" s="91" customFormat="1" ht="51" customHeight="1" x14ac:dyDescent="0.25">
      <c r="A54" s="90" t="s">
        <v>269</v>
      </c>
      <c r="B54" s="96" t="s">
        <v>217</v>
      </c>
      <c r="C54" s="95" t="s">
        <v>218</v>
      </c>
      <c r="D54" s="110"/>
      <c r="E54" s="110"/>
      <c r="F54" s="110"/>
      <c r="G54" s="110">
        <v>4079168.33</v>
      </c>
      <c r="H54" s="110">
        <f t="shared" si="10"/>
        <v>4079168.33</v>
      </c>
      <c r="I54" s="110"/>
      <c r="J54" s="110"/>
      <c r="K54" s="110"/>
      <c r="L54" s="110">
        <f t="shared" si="12"/>
        <v>4079168.33</v>
      </c>
      <c r="M54" s="23">
        <f>'Фактический индекс'!$F$121</f>
        <v>1.0826</v>
      </c>
      <c r="N54" s="104">
        <f t="shared" si="7"/>
        <v>4416107.63</v>
      </c>
      <c r="O54" s="101">
        <f>'Прогнозный индекс'!$F$47</f>
        <v>1.0568</v>
      </c>
      <c r="P54" s="104">
        <f t="shared" si="11"/>
        <v>4666942.54</v>
      </c>
      <c r="Q54" s="110"/>
    </row>
    <row r="55" spans="1:17" s="91" customFormat="1" ht="51" customHeight="1" x14ac:dyDescent="0.25">
      <c r="A55" s="90" t="s">
        <v>270</v>
      </c>
      <c r="B55" s="96" t="s">
        <v>219</v>
      </c>
      <c r="C55" s="95" t="s">
        <v>220</v>
      </c>
      <c r="D55" s="110"/>
      <c r="E55" s="110"/>
      <c r="F55" s="110"/>
      <c r="G55" s="110">
        <v>1192151.51</v>
      </c>
      <c r="H55" s="110">
        <f t="shared" si="10"/>
        <v>1192151.51</v>
      </c>
      <c r="I55" s="110"/>
      <c r="J55" s="110"/>
      <c r="K55" s="110"/>
      <c r="L55" s="110">
        <f t="shared" si="12"/>
        <v>1192151.51</v>
      </c>
      <c r="M55" s="23">
        <f>'Фактический индекс'!$F$121</f>
        <v>1.0826</v>
      </c>
      <c r="N55" s="104">
        <f t="shared" si="7"/>
        <v>1290623.22</v>
      </c>
      <c r="O55" s="101">
        <f>'Прогнозный индекс'!$F$47</f>
        <v>1.0568</v>
      </c>
      <c r="P55" s="104">
        <f t="shared" si="11"/>
        <v>1363930.62</v>
      </c>
      <c r="Q55" s="110"/>
    </row>
    <row r="56" spans="1:17" s="91" customFormat="1" ht="51" customHeight="1" x14ac:dyDescent="0.25">
      <c r="A56" s="90" t="s">
        <v>271</v>
      </c>
      <c r="B56" s="96" t="s">
        <v>221</v>
      </c>
      <c r="C56" s="95" t="s">
        <v>222</v>
      </c>
      <c r="D56" s="110"/>
      <c r="E56" s="110"/>
      <c r="F56" s="110"/>
      <c r="G56" s="110">
        <v>3175003.4</v>
      </c>
      <c r="H56" s="110">
        <f t="shared" si="10"/>
        <v>3175003.4</v>
      </c>
      <c r="I56" s="110"/>
      <c r="J56" s="110"/>
      <c r="K56" s="110"/>
      <c r="L56" s="110">
        <f t="shared" si="12"/>
        <v>3175003.4</v>
      </c>
      <c r="M56" s="23">
        <f>'Фактический индекс'!$F$121</f>
        <v>1.0826</v>
      </c>
      <c r="N56" s="104">
        <f t="shared" si="7"/>
        <v>3437258.68</v>
      </c>
      <c r="O56" s="101">
        <f>'Прогнозный индекс'!$F$47</f>
        <v>1.0568</v>
      </c>
      <c r="P56" s="104">
        <f t="shared" si="11"/>
        <v>3632494.97</v>
      </c>
      <c r="Q56" s="110"/>
    </row>
    <row r="57" spans="1:17" s="91" customFormat="1" ht="51" customHeight="1" x14ac:dyDescent="0.25">
      <c r="A57" s="90" t="s">
        <v>272</v>
      </c>
      <c r="B57" s="96" t="s">
        <v>223</v>
      </c>
      <c r="C57" s="95" t="s">
        <v>224</v>
      </c>
      <c r="D57" s="110"/>
      <c r="E57" s="110"/>
      <c r="F57" s="110"/>
      <c r="G57" s="110">
        <v>266585.12</v>
      </c>
      <c r="H57" s="110">
        <f t="shared" si="10"/>
        <v>266585.12</v>
      </c>
      <c r="I57" s="110"/>
      <c r="J57" s="110"/>
      <c r="K57" s="110"/>
      <c r="L57" s="110">
        <f t="shared" si="12"/>
        <v>266585.12</v>
      </c>
      <c r="M57" s="23">
        <f>'Фактический индекс'!$F$121</f>
        <v>1.0826</v>
      </c>
      <c r="N57" s="104">
        <f t="shared" si="7"/>
        <v>288605.05</v>
      </c>
      <c r="O57" s="101">
        <f>'Прогнозный индекс'!$F$47</f>
        <v>1.0568</v>
      </c>
      <c r="P57" s="104">
        <f t="shared" si="11"/>
        <v>304997.82</v>
      </c>
      <c r="Q57" s="110"/>
    </row>
    <row r="58" spans="1:17" s="91" customFormat="1" ht="51" customHeight="1" x14ac:dyDescent="0.25">
      <c r="A58" s="90" t="s">
        <v>273</v>
      </c>
      <c r="B58" s="96" t="s">
        <v>225</v>
      </c>
      <c r="C58" s="95" t="s">
        <v>226</v>
      </c>
      <c r="D58" s="110"/>
      <c r="E58" s="110"/>
      <c r="F58" s="110"/>
      <c r="G58" s="110">
        <v>2918974.77</v>
      </c>
      <c r="H58" s="110">
        <f t="shared" si="10"/>
        <v>2918974.77</v>
      </c>
      <c r="I58" s="110"/>
      <c r="J58" s="110"/>
      <c r="K58" s="110"/>
      <c r="L58" s="110">
        <f t="shared" si="12"/>
        <v>2918974.77</v>
      </c>
      <c r="M58" s="23">
        <f>'Фактический индекс'!$F$121</f>
        <v>1.0826</v>
      </c>
      <c r="N58" s="104">
        <f t="shared" si="7"/>
        <v>3160082.09</v>
      </c>
      <c r="O58" s="101">
        <f>'Прогнозный индекс'!$F$47</f>
        <v>1.0568</v>
      </c>
      <c r="P58" s="104">
        <f t="shared" si="11"/>
        <v>3339574.75</v>
      </c>
      <c r="Q58" s="110"/>
    </row>
    <row r="59" spans="1:17" s="91" customFormat="1" ht="51" customHeight="1" x14ac:dyDescent="0.25">
      <c r="A59" s="90" t="s">
        <v>274</v>
      </c>
      <c r="B59" s="96" t="s">
        <v>227</v>
      </c>
      <c r="C59" s="95" t="s">
        <v>220</v>
      </c>
      <c r="D59" s="110"/>
      <c r="E59" s="110"/>
      <c r="F59" s="110"/>
      <c r="G59" s="110">
        <v>698666.58</v>
      </c>
      <c r="H59" s="110">
        <f t="shared" si="10"/>
        <v>698666.58</v>
      </c>
      <c r="I59" s="110"/>
      <c r="J59" s="110"/>
      <c r="K59" s="110"/>
      <c r="L59" s="110">
        <f t="shared" si="12"/>
        <v>698666.58</v>
      </c>
      <c r="M59" s="23">
        <f>'Фактический индекс'!$F$121</f>
        <v>1.0826</v>
      </c>
      <c r="N59" s="104">
        <f t="shared" si="7"/>
        <v>756376.44</v>
      </c>
      <c r="O59" s="101">
        <f>'Прогнозный индекс'!$F$47</f>
        <v>1.0568</v>
      </c>
      <c r="P59" s="104">
        <f t="shared" si="11"/>
        <v>799338.62</v>
      </c>
      <c r="Q59" s="110"/>
    </row>
    <row r="60" spans="1:17" s="91" customFormat="1" ht="51" customHeight="1" x14ac:dyDescent="0.25">
      <c r="A60" s="80" t="s">
        <v>30</v>
      </c>
      <c r="B60" s="79" t="s">
        <v>140</v>
      </c>
      <c r="C60" s="79" t="s">
        <v>141</v>
      </c>
      <c r="D60" s="81"/>
      <c r="E60" s="81"/>
      <c r="F60" s="81"/>
      <c r="G60" s="81">
        <f>G61+G62+G63</f>
        <v>272027.43</v>
      </c>
      <c r="H60" s="81">
        <f>H61+H62+H63</f>
        <v>272027.43</v>
      </c>
      <c r="I60" s="81"/>
      <c r="J60" s="81"/>
      <c r="K60" s="81"/>
      <c r="L60" s="81">
        <f>L61+L62+L63</f>
        <v>272027.43</v>
      </c>
      <c r="M60" s="82"/>
      <c r="N60" s="81">
        <f>N61+N62+N63</f>
        <v>294496.90000000002</v>
      </c>
      <c r="O60" s="83"/>
      <c r="P60" s="81">
        <f>P61+P62+P63</f>
        <v>311224.33</v>
      </c>
      <c r="Q60" s="81"/>
    </row>
    <row r="61" spans="1:17" s="91" customFormat="1" ht="51" customHeight="1" x14ac:dyDescent="0.25">
      <c r="A61" s="90" t="s">
        <v>275</v>
      </c>
      <c r="B61" s="96" t="s">
        <v>228</v>
      </c>
      <c r="C61" s="95" t="s">
        <v>229</v>
      </c>
      <c r="D61" s="81"/>
      <c r="E61" s="81"/>
      <c r="F61" s="81"/>
      <c r="G61" s="110">
        <v>25514.639999999999</v>
      </c>
      <c r="H61" s="110">
        <f>G61</f>
        <v>25514.639999999999</v>
      </c>
      <c r="I61" s="110"/>
      <c r="J61" s="110"/>
      <c r="K61" s="110"/>
      <c r="L61" s="110">
        <f>H61</f>
        <v>25514.639999999999</v>
      </c>
      <c r="M61" s="23">
        <f>'Фактический индекс'!$F$121</f>
        <v>1.0826</v>
      </c>
      <c r="N61" s="104">
        <f t="shared" si="7"/>
        <v>27622.15</v>
      </c>
      <c r="O61" s="101">
        <f>'Прогнозный индекс'!$F$47</f>
        <v>1.0568</v>
      </c>
      <c r="P61" s="104">
        <f t="shared" ref="P61:P67" si="13">N61*O61</f>
        <v>29191.09</v>
      </c>
      <c r="Q61" s="110"/>
    </row>
    <row r="62" spans="1:17" s="91" customFormat="1" ht="51" customHeight="1" x14ac:dyDescent="0.25">
      <c r="A62" s="90" t="s">
        <v>276</v>
      </c>
      <c r="B62" s="96" t="s">
        <v>230</v>
      </c>
      <c r="C62" s="95" t="s">
        <v>231</v>
      </c>
      <c r="D62" s="81"/>
      <c r="E62" s="81"/>
      <c r="F62" s="81"/>
      <c r="G62" s="110">
        <v>216338.96</v>
      </c>
      <c r="H62" s="110">
        <f>G62</f>
        <v>216338.96</v>
      </c>
      <c r="I62" s="110"/>
      <c r="J62" s="110"/>
      <c r="K62" s="110"/>
      <c r="L62" s="110">
        <f>H62</f>
        <v>216338.96</v>
      </c>
      <c r="M62" s="23">
        <f>'Фактический индекс'!$F$121</f>
        <v>1.0826</v>
      </c>
      <c r="N62" s="104">
        <f t="shared" si="7"/>
        <v>234208.56</v>
      </c>
      <c r="O62" s="101">
        <f>'Прогнозный индекс'!$F$47</f>
        <v>1.0568</v>
      </c>
      <c r="P62" s="104">
        <f t="shared" si="13"/>
        <v>247511.61</v>
      </c>
      <c r="Q62" s="110"/>
    </row>
    <row r="63" spans="1:17" s="91" customFormat="1" ht="51" customHeight="1" x14ac:dyDescent="0.25">
      <c r="A63" s="90" t="s">
        <v>277</v>
      </c>
      <c r="B63" s="96" t="s">
        <v>232</v>
      </c>
      <c r="C63" s="95" t="s">
        <v>233</v>
      </c>
      <c r="D63" s="81"/>
      <c r="E63" s="81"/>
      <c r="F63" s="81"/>
      <c r="G63" s="110">
        <v>30173.83</v>
      </c>
      <c r="H63" s="110">
        <f>G63</f>
        <v>30173.83</v>
      </c>
      <c r="I63" s="110"/>
      <c r="J63" s="110"/>
      <c r="K63" s="110"/>
      <c r="L63" s="110">
        <f>H63</f>
        <v>30173.83</v>
      </c>
      <c r="M63" s="23">
        <f>'Фактический индекс'!$F$121</f>
        <v>1.0826</v>
      </c>
      <c r="N63" s="104">
        <f t="shared" si="7"/>
        <v>32666.19</v>
      </c>
      <c r="O63" s="101">
        <f>'Прогнозный индекс'!$F$47</f>
        <v>1.0568</v>
      </c>
      <c r="P63" s="104">
        <f t="shared" si="13"/>
        <v>34521.629999999997</v>
      </c>
      <c r="Q63" s="110"/>
    </row>
    <row r="64" spans="1:17" s="91" customFormat="1" ht="51" customHeight="1" x14ac:dyDescent="0.25">
      <c r="A64" s="80" t="s">
        <v>252</v>
      </c>
      <c r="B64" s="79" t="s">
        <v>142</v>
      </c>
      <c r="C64" s="79" t="s">
        <v>143</v>
      </c>
      <c r="D64" s="81">
        <v>752941.26</v>
      </c>
      <c r="E64" s="81"/>
      <c r="F64" s="81"/>
      <c r="G64" s="81"/>
      <c r="H64" s="81">
        <f>G64+F64+E64+D64</f>
        <v>752941.26</v>
      </c>
      <c r="I64" s="81"/>
      <c r="J64" s="81"/>
      <c r="K64" s="81"/>
      <c r="L64" s="81">
        <f>H64</f>
        <v>752941.26</v>
      </c>
      <c r="M64" s="23">
        <f>'Фактический индекс'!$F$121</f>
        <v>1.0826</v>
      </c>
      <c r="N64" s="103">
        <f t="shared" si="7"/>
        <v>815134.21</v>
      </c>
      <c r="O64" s="101">
        <f>'Прогнозный индекс'!$F$47</f>
        <v>1.0568</v>
      </c>
      <c r="P64" s="103">
        <f t="shared" si="13"/>
        <v>861433.83</v>
      </c>
      <c r="Q64" s="81"/>
    </row>
    <row r="65" spans="1:18" s="91" customFormat="1" ht="51" customHeight="1" x14ac:dyDescent="0.25">
      <c r="A65" s="80" t="s">
        <v>253</v>
      </c>
      <c r="B65" s="79" t="s">
        <v>43</v>
      </c>
      <c r="C65" s="79" t="s">
        <v>44</v>
      </c>
      <c r="D65" s="81"/>
      <c r="E65" s="81"/>
      <c r="F65" s="81"/>
      <c r="G65" s="81">
        <v>55.47</v>
      </c>
      <c r="H65" s="81">
        <f>G65</f>
        <v>55.47</v>
      </c>
      <c r="I65" s="81"/>
      <c r="J65" s="81"/>
      <c r="K65" s="81"/>
      <c r="L65" s="81">
        <f t="shared" ref="L65:L74" si="14">H65</f>
        <v>55.47</v>
      </c>
      <c r="M65" s="23">
        <f>'Фактический индекс'!$F$121</f>
        <v>1.0826</v>
      </c>
      <c r="N65" s="103">
        <f t="shared" si="7"/>
        <v>60.05</v>
      </c>
      <c r="O65" s="101">
        <f>'Прогнозный индекс'!$F$47</f>
        <v>1.0568</v>
      </c>
      <c r="P65" s="103">
        <f t="shared" si="13"/>
        <v>63.46</v>
      </c>
      <c r="Q65" s="81"/>
    </row>
    <row r="66" spans="1:18" s="91" customFormat="1" ht="51" customHeight="1" x14ac:dyDescent="0.25">
      <c r="A66" s="80" t="s">
        <v>254</v>
      </c>
      <c r="B66" s="79" t="s">
        <v>45</v>
      </c>
      <c r="C66" s="79" t="s">
        <v>46</v>
      </c>
      <c r="D66" s="81"/>
      <c r="E66" s="81"/>
      <c r="F66" s="81"/>
      <c r="G66" s="81">
        <v>369674.6</v>
      </c>
      <c r="H66" s="81">
        <f>G66</f>
        <v>369674.6</v>
      </c>
      <c r="I66" s="81"/>
      <c r="J66" s="81"/>
      <c r="K66" s="81"/>
      <c r="L66" s="81">
        <f t="shared" si="14"/>
        <v>369674.6</v>
      </c>
      <c r="M66" s="23">
        <f>'Фактический индекс'!$F$121</f>
        <v>1.0826</v>
      </c>
      <c r="N66" s="103">
        <f t="shared" si="7"/>
        <v>400209.72</v>
      </c>
      <c r="O66" s="101">
        <f>'Прогнозный индекс'!$F$47</f>
        <v>1.0568</v>
      </c>
      <c r="P66" s="103">
        <f t="shared" si="13"/>
        <v>422941.63</v>
      </c>
      <c r="Q66" s="81"/>
    </row>
    <row r="67" spans="1:18" s="91" customFormat="1" ht="51" customHeight="1" x14ac:dyDescent="0.25">
      <c r="A67" s="80" t="s">
        <v>255</v>
      </c>
      <c r="B67" s="79" t="s">
        <v>47</v>
      </c>
      <c r="C67" s="79" t="s">
        <v>279</v>
      </c>
      <c r="D67" s="81"/>
      <c r="E67" s="81"/>
      <c r="F67" s="81"/>
      <c r="G67" s="81">
        <v>6548</v>
      </c>
      <c r="H67" s="81">
        <f>G67</f>
        <v>6548</v>
      </c>
      <c r="I67" s="81"/>
      <c r="J67" s="81"/>
      <c r="K67" s="81"/>
      <c r="L67" s="81">
        <f t="shared" si="14"/>
        <v>6548</v>
      </c>
      <c r="M67" s="23">
        <f>'Фактический индекс'!$F$121</f>
        <v>1.0826</v>
      </c>
      <c r="N67" s="103">
        <f t="shared" si="7"/>
        <v>7088.86</v>
      </c>
      <c r="O67" s="101">
        <f>'Прогнозный индекс'!$F$47</f>
        <v>1.0568</v>
      </c>
      <c r="P67" s="103">
        <f t="shared" si="13"/>
        <v>7491.51</v>
      </c>
      <c r="Q67" s="81"/>
    </row>
    <row r="68" spans="1:18" s="91" customFormat="1" ht="51" customHeight="1" x14ac:dyDescent="0.25">
      <c r="A68" s="80" t="s">
        <v>256</v>
      </c>
      <c r="B68" s="79" t="s">
        <v>145</v>
      </c>
      <c r="C68" s="79" t="s">
        <v>146</v>
      </c>
      <c r="D68" s="81"/>
      <c r="E68" s="81"/>
      <c r="F68" s="81"/>
      <c r="G68" s="81">
        <f>G69+G70+G71+G72</f>
        <v>8351489.25</v>
      </c>
      <c r="H68" s="81">
        <f>H69+H70+H71+H72</f>
        <v>8351489.25</v>
      </c>
      <c r="I68" s="81"/>
      <c r="J68" s="81"/>
      <c r="K68" s="81"/>
      <c r="L68" s="81">
        <f>L69+L70+L71+L72</f>
        <v>8351489.25</v>
      </c>
      <c r="M68" s="82"/>
      <c r="N68" s="81">
        <f>N69+N70+N71+N72</f>
        <v>8755113.2599999998</v>
      </c>
      <c r="O68" s="83"/>
      <c r="P68" s="81">
        <f>P69+P70+P71+P72</f>
        <v>9055591.6899999995</v>
      </c>
      <c r="Q68" s="81"/>
    </row>
    <row r="69" spans="1:18" s="91" customFormat="1" ht="51" customHeight="1" x14ac:dyDescent="0.25">
      <c r="A69" s="99" t="s">
        <v>284</v>
      </c>
      <c r="B69" s="111"/>
      <c r="C69" s="111" t="s">
        <v>281</v>
      </c>
      <c r="D69" s="97"/>
      <c r="E69" s="97"/>
      <c r="F69" s="97"/>
      <c r="G69" s="116">
        <v>148052.25</v>
      </c>
      <c r="H69" s="97">
        <f t="shared" ref="H69:H74" si="15">G69</f>
        <v>148052.25</v>
      </c>
      <c r="I69" s="97"/>
      <c r="J69" s="97"/>
      <c r="K69" s="97"/>
      <c r="L69" s="110">
        <f t="shared" si="14"/>
        <v>148052.25</v>
      </c>
      <c r="M69" s="23">
        <f>'Фактический индекс'!$F$121</f>
        <v>1.0826</v>
      </c>
      <c r="N69" s="104">
        <f t="shared" si="7"/>
        <v>160281.37</v>
      </c>
      <c r="O69" s="101">
        <f>'Прогнозный индекс'!$F$47</f>
        <v>1.0568</v>
      </c>
      <c r="P69" s="104">
        <f t="shared" ref="P69:P74" si="16">N69*O69</f>
        <v>169385.35</v>
      </c>
      <c r="Q69" s="97"/>
    </row>
    <row r="70" spans="1:18" s="91" customFormat="1" ht="51" customHeight="1" x14ac:dyDescent="0.25">
      <c r="A70" s="99" t="s">
        <v>286</v>
      </c>
      <c r="B70" s="111"/>
      <c r="C70" s="111" t="s">
        <v>280</v>
      </c>
      <c r="D70" s="97"/>
      <c r="E70" s="97"/>
      <c r="F70" s="97"/>
      <c r="G70" s="115">
        <v>1438371</v>
      </c>
      <c r="H70" s="113">
        <f t="shared" si="15"/>
        <v>1438371</v>
      </c>
      <c r="I70" s="97"/>
      <c r="J70" s="97"/>
      <c r="K70" s="97"/>
      <c r="L70" s="110">
        <f t="shared" si="14"/>
        <v>1438371</v>
      </c>
      <c r="M70" s="23">
        <f>'Фактический индекс'!$F$121</f>
        <v>1.0826</v>
      </c>
      <c r="N70" s="104">
        <f t="shared" si="7"/>
        <v>1557180.44</v>
      </c>
      <c r="O70" s="101">
        <f>'Прогнозный индекс'!$F$47</f>
        <v>1.0568</v>
      </c>
      <c r="P70" s="104">
        <f t="shared" si="16"/>
        <v>1645628.29</v>
      </c>
      <c r="Q70" s="97"/>
    </row>
    <row r="71" spans="1:18" s="91" customFormat="1" ht="75" customHeight="1" x14ac:dyDescent="0.25">
      <c r="A71" s="99" t="s">
        <v>285</v>
      </c>
      <c r="B71" s="111"/>
      <c r="C71" s="111" t="s">
        <v>282</v>
      </c>
      <c r="D71" s="97"/>
      <c r="E71" s="97"/>
      <c r="F71" s="97"/>
      <c r="G71" s="114">
        <v>3300066</v>
      </c>
      <c r="H71" s="110">
        <f t="shared" si="15"/>
        <v>3300066</v>
      </c>
      <c r="I71" s="97"/>
      <c r="J71" s="97"/>
      <c r="K71" s="97"/>
      <c r="L71" s="110">
        <f t="shared" si="14"/>
        <v>3300066</v>
      </c>
      <c r="M71" s="23">
        <f>'Фактический индекс'!$F$121</f>
        <v>1.0826</v>
      </c>
      <c r="N71" s="104">
        <f t="shared" si="7"/>
        <v>3572651.45</v>
      </c>
      <c r="O71" s="101">
        <f>'Прогнозный индекс'!$F$47</f>
        <v>1.0568</v>
      </c>
      <c r="P71" s="104">
        <f t="shared" si="16"/>
        <v>3775578.05</v>
      </c>
      <c r="Q71" s="97"/>
    </row>
    <row r="72" spans="1:18" s="91" customFormat="1" ht="75" customHeight="1" x14ac:dyDescent="0.25">
      <c r="A72" s="90" t="s">
        <v>287</v>
      </c>
      <c r="B72" s="120"/>
      <c r="C72" s="111" t="s">
        <v>283</v>
      </c>
      <c r="D72" s="110"/>
      <c r="E72" s="110"/>
      <c r="F72" s="110"/>
      <c r="G72" s="118">
        <v>3465000</v>
      </c>
      <c r="H72" s="110">
        <f t="shared" si="15"/>
        <v>3465000</v>
      </c>
      <c r="I72" s="110"/>
      <c r="J72" s="110"/>
      <c r="K72" s="110"/>
      <c r="L72" s="110">
        <f t="shared" si="14"/>
        <v>3465000</v>
      </c>
      <c r="M72" s="127">
        <v>1</v>
      </c>
      <c r="N72" s="104">
        <f t="shared" si="7"/>
        <v>3465000</v>
      </c>
      <c r="O72" s="127">
        <v>1</v>
      </c>
      <c r="P72" s="104">
        <f t="shared" si="16"/>
        <v>3465000</v>
      </c>
      <c r="Q72" s="110"/>
    </row>
    <row r="73" spans="1:18" s="91" customFormat="1" ht="51" customHeight="1" x14ac:dyDescent="0.25">
      <c r="A73" s="80" t="s">
        <v>257</v>
      </c>
      <c r="B73" s="79" t="s">
        <v>90</v>
      </c>
      <c r="C73" s="79" t="s">
        <v>147</v>
      </c>
      <c r="D73" s="81"/>
      <c r="E73" s="81"/>
      <c r="F73" s="81"/>
      <c r="G73" s="119">
        <v>547215</v>
      </c>
      <c r="H73" s="81">
        <f t="shared" si="15"/>
        <v>547215</v>
      </c>
      <c r="I73" s="81"/>
      <c r="J73" s="81"/>
      <c r="K73" s="81"/>
      <c r="L73" s="81">
        <f t="shared" si="14"/>
        <v>547215</v>
      </c>
      <c r="M73" s="23">
        <f>'Фактический индекс'!$F$121</f>
        <v>1.0826</v>
      </c>
      <c r="N73" s="103">
        <f t="shared" si="7"/>
        <v>592414.96</v>
      </c>
      <c r="O73" s="101">
        <f>'Прогнозный индекс'!$F$47</f>
        <v>1.0568</v>
      </c>
      <c r="P73" s="103">
        <f t="shared" si="16"/>
        <v>626064.13</v>
      </c>
      <c r="Q73" s="81"/>
    </row>
    <row r="74" spans="1:18" s="91" customFormat="1" ht="51" customHeight="1" x14ac:dyDescent="0.25">
      <c r="A74" s="80" t="s">
        <v>258</v>
      </c>
      <c r="B74" s="79" t="s">
        <v>148</v>
      </c>
      <c r="C74" s="79" t="s">
        <v>149</v>
      </c>
      <c r="D74" s="81"/>
      <c r="E74" s="81"/>
      <c r="F74" s="81"/>
      <c r="G74" s="112">
        <v>20396.64</v>
      </c>
      <c r="H74" s="81">
        <f t="shared" si="15"/>
        <v>20396.64</v>
      </c>
      <c r="I74" s="81"/>
      <c r="J74" s="81"/>
      <c r="K74" s="81"/>
      <c r="L74" s="81">
        <f t="shared" si="14"/>
        <v>20396.64</v>
      </c>
      <c r="M74" s="23">
        <f>'Фактический индекс'!$F$121</f>
        <v>1.0826</v>
      </c>
      <c r="N74" s="103">
        <f t="shared" si="7"/>
        <v>22081.4</v>
      </c>
      <c r="O74" s="101">
        <f>'Прогнозный индекс'!$F$47</f>
        <v>1.0568</v>
      </c>
      <c r="P74" s="103">
        <f t="shared" si="16"/>
        <v>23335.62</v>
      </c>
      <c r="Q74" s="81"/>
    </row>
    <row r="75" spans="1:18" s="91" customFormat="1" ht="51" customHeight="1" x14ac:dyDescent="0.25">
      <c r="A75" s="22" t="s">
        <v>259</v>
      </c>
      <c r="B75" s="33" t="s">
        <v>160</v>
      </c>
      <c r="C75" s="33" t="s">
        <v>50</v>
      </c>
      <c r="D75" s="21">
        <f>(D18+D19+D22+D40+D43+D44+D47+D48+D49+D50+D60+D64+D65+D66+D67+D68+D73+D74)*2%-0.01</f>
        <v>11908510.15</v>
      </c>
      <c r="E75" s="21">
        <f t="shared" ref="E75:L75" si="17">(E18+E19+E22+E40+E43+E44+E47+E48+E49+E50+E60+E64+E65+E66+E67+E68+E73+E74)*2%</f>
        <v>746691.65</v>
      </c>
      <c r="F75" s="21">
        <f t="shared" si="17"/>
        <v>3783816.72</v>
      </c>
      <c r="G75" s="21">
        <f t="shared" si="17"/>
        <v>520629.34</v>
      </c>
      <c r="H75" s="21">
        <f t="shared" si="17"/>
        <v>16959647.859999999</v>
      </c>
      <c r="I75" s="21">
        <f t="shared" si="17"/>
        <v>290723.28999999998</v>
      </c>
      <c r="J75" s="21">
        <f t="shared" si="17"/>
        <v>-43608.49</v>
      </c>
      <c r="K75" s="21">
        <f t="shared" si="17"/>
        <v>64654.33</v>
      </c>
      <c r="L75" s="21">
        <f t="shared" si="17"/>
        <v>17271416.989999998</v>
      </c>
      <c r="M75" s="23"/>
      <c r="N75" s="21">
        <f>(N18+N19+N22+N40+N43+N44+N47+N48+N49+N50+N60+N64+N65+N66+N67+N68+N73+N74)*2%</f>
        <v>18692311.850000001</v>
      </c>
      <c r="O75" s="27"/>
      <c r="P75" s="21">
        <f>(P18+P19+P22+P40+P43+P44+P47+P48+P49+P50+P60+P64+P65+P66+P67+P68+P73+P74)*2%-0.02</f>
        <v>19749814.870000001</v>
      </c>
      <c r="Q75" s="21">
        <f>(Q18+Q19+Q22+Q40+Q43+Q44+Q47+Q48+Q49+Q50+Q60+Q64+Q65+Q66+Q67+Q68+Q73+Q74)*2%</f>
        <v>4329033.22</v>
      </c>
      <c r="R75" s="91" t="s">
        <v>496</v>
      </c>
    </row>
    <row r="76" spans="1:18" s="91" customFormat="1" ht="51" customHeight="1" x14ac:dyDescent="0.25">
      <c r="A76" s="92"/>
      <c r="B76" s="93"/>
      <c r="C76" s="94" t="s">
        <v>32</v>
      </c>
      <c r="D76" s="24"/>
      <c r="E76" s="24"/>
      <c r="F76" s="24"/>
      <c r="G76" s="24"/>
      <c r="H76" s="24">
        <f>H14+H17</f>
        <v>902300113.25</v>
      </c>
      <c r="I76" s="68"/>
      <c r="J76" s="68"/>
      <c r="K76" s="68"/>
      <c r="L76" s="24">
        <f>L14+L17</f>
        <v>918200338.71000004</v>
      </c>
      <c r="M76" s="62"/>
      <c r="N76" s="24">
        <f>N14+N17</f>
        <v>993751753.5</v>
      </c>
      <c r="O76" s="64"/>
      <c r="P76" s="24">
        <f>P14+P17</f>
        <v>1048594395.24</v>
      </c>
      <c r="Q76" s="24">
        <f>Q14+Q17</f>
        <v>220780694.46000001</v>
      </c>
    </row>
    <row r="77" spans="1:18" s="91" customFormat="1" ht="51" customHeight="1" x14ac:dyDescent="0.25">
      <c r="A77" s="92"/>
      <c r="B77" s="93"/>
      <c r="C77" s="94" t="s">
        <v>484</v>
      </c>
      <c r="D77" s="24"/>
      <c r="E77" s="24"/>
      <c r="F77" s="24"/>
      <c r="G77" s="24"/>
      <c r="H77" s="24">
        <f>H76*0.22</f>
        <v>198506024.91999999</v>
      </c>
      <c r="I77" s="68"/>
      <c r="J77" s="68"/>
      <c r="K77" s="68"/>
      <c r="L77" s="24">
        <f>L76*0.22</f>
        <v>202004074.52000001</v>
      </c>
      <c r="M77" s="62"/>
      <c r="N77" s="24">
        <f>N76*0.22</f>
        <v>218625385.77000001</v>
      </c>
      <c r="O77" s="64"/>
      <c r="P77" s="24">
        <f>P76*0.22</f>
        <v>230690766.94999999</v>
      </c>
      <c r="Q77" s="24">
        <f>Q76*0.22</f>
        <v>48571752.780000001</v>
      </c>
    </row>
    <row r="78" spans="1:18" s="91" customFormat="1" ht="51" customHeight="1" x14ac:dyDescent="0.25">
      <c r="A78" s="92"/>
      <c r="B78" s="93"/>
      <c r="C78" s="94" t="s">
        <v>33</v>
      </c>
      <c r="D78" s="24"/>
      <c r="E78" s="24"/>
      <c r="F78" s="24"/>
      <c r="G78" s="24"/>
      <c r="H78" s="24">
        <f>H76+H77</f>
        <v>1100806138.1700001</v>
      </c>
      <c r="I78" s="68"/>
      <c r="J78" s="68"/>
      <c r="K78" s="68"/>
      <c r="L78" s="24">
        <f>L76+L77</f>
        <v>1120204413.23</v>
      </c>
      <c r="M78" s="62"/>
      <c r="N78" s="24">
        <f>N76+N77</f>
        <v>1212377139.27</v>
      </c>
      <c r="O78" s="64"/>
      <c r="P78" s="24">
        <f>P76+P77</f>
        <v>1279285162.1900001</v>
      </c>
      <c r="Q78" s="24">
        <f>Q76+Q77</f>
        <v>269352447.24000001</v>
      </c>
    </row>
    <row r="80" spans="1:18" ht="45.75" customHeight="1" x14ac:dyDescent="0.25">
      <c r="A80" s="475" t="str">
        <f>ПЗ!A19</f>
        <v>Заместитель директора департамента
по ценообразованию и сметному регулированию
Департамента развития инфраструктуры</v>
      </c>
      <c r="B80" s="475"/>
      <c r="C80" s="475"/>
      <c r="D80" s="25"/>
      <c r="E80" s="25"/>
      <c r="L80" s="26" t="str">
        <f>ПЗ!C19</f>
        <v>Е.А. Татаринова</v>
      </c>
      <c r="P80" s="152"/>
    </row>
    <row r="82" spans="8:13" x14ac:dyDescent="0.25">
      <c r="K82" t="s">
        <v>419</v>
      </c>
      <c r="L82" s="235">
        <f>L78-J17*1.22-ССРСС!H107*1000</f>
        <v>-36.33</v>
      </c>
      <c r="M82" t="s">
        <v>420</v>
      </c>
    </row>
    <row r="85" spans="8:13" x14ac:dyDescent="0.25">
      <c r="L85" s="152"/>
    </row>
    <row r="86" spans="8:13" x14ac:dyDescent="0.25">
      <c r="H86" s="152"/>
    </row>
  </sheetData>
  <mergeCells count="8">
    <mergeCell ref="A80:C80"/>
    <mergeCell ref="A1:P1"/>
    <mergeCell ref="A3:P3"/>
    <mergeCell ref="A6:P6"/>
    <mergeCell ref="A9:P9"/>
    <mergeCell ref="A10:P10"/>
    <mergeCell ref="A4:Q4"/>
    <mergeCell ref="A5:Q5"/>
  </mergeCells>
  <pageMargins left="0.7" right="0.7" top="0.75" bottom="0.75" header="0.3" footer="0.3"/>
  <pageSetup paperSize="9" scale="38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2"/>
  <sheetViews>
    <sheetView topLeftCell="A92" workbookViewId="0">
      <selection activeCell="H123" sqref="H123"/>
    </sheetView>
  </sheetViews>
  <sheetFormatPr defaultRowHeight="12.75" x14ac:dyDescent="0.2"/>
  <cols>
    <col min="1" max="1" width="61.85546875" style="270" customWidth="1"/>
    <col min="2" max="2" width="18.7109375" style="270" customWidth="1"/>
    <col min="3" max="3" width="5.42578125" style="270" customWidth="1"/>
    <col min="4" max="4" width="9.42578125" style="270" customWidth="1"/>
    <col min="5" max="5" width="23" style="270" customWidth="1"/>
    <col min="6" max="6" width="11.5703125" style="270" bestFit="1" customWidth="1"/>
    <col min="7" max="256" width="9.140625" style="270"/>
    <col min="257" max="257" width="61.85546875" style="270" customWidth="1"/>
    <col min="258" max="258" width="18.7109375" style="270" customWidth="1"/>
    <col min="259" max="259" width="5.42578125" style="270" customWidth="1"/>
    <col min="260" max="260" width="9.42578125" style="270" customWidth="1"/>
    <col min="261" max="261" width="23" style="270" customWidth="1"/>
    <col min="262" max="512" width="9.140625" style="270"/>
    <col min="513" max="513" width="61.85546875" style="270" customWidth="1"/>
    <col min="514" max="514" width="18.7109375" style="270" customWidth="1"/>
    <col min="515" max="515" width="5.42578125" style="270" customWidth="1"/>
    <col min="516" max="516" width="9.42578125" style="270" customWidth="1"/>
    <col min="517" max="517" width="23" style="270" customWidth="1"/>
    <col min="518" max="768" width="9.140625" style="270"/>
    <col min="769" max="769" width="61.85546875" style="270" customWidth="1"/>
    <col min="770" max="770" width="18.7109375" style="270" customWidth="1"/>
    <col min="771" max="771" width="5.42578125" style="270" customWidth="1"/>
    <col min="772" max="772" width="9.42578125" style="270" customWidth="1"/>
    <col min="773" max="773" width="23" style="270" customWidth="1"/>
    <col min="774" max="1024" width="9.140625" style="270"/>
    <col min="1025" max="1025" width="61.85546875" style="270" customWidth="1"/>
    <col min="1026" max="1026" width="18.7109375" style="270" customWidth="1"/>
    <col min="1027" max="1027" width="5.42578125" style="270" customWidth="1"/>
    <col min="1028" max="1028" width="9.42578125" style="270" customWidth="1"/>
    <col min="1029" max="1029" width="23" style="270" customWidth="1"/>
    <col min="1030" max="1280" width="9.140625" style="270"/>
    <col min="1281" max="1281" width="61.85546875" style="270" customWidth="1"/>
    <col min="1282" max="1282" width="18.7109375" style="270" customWidth="1"/>
    <col min="1283" max="1283" width="5.42578125" style="270" customWidth="1"/>
    <col min="1284" max="1284" width="9.42578125" style="270" customWidth="1"/>
    <col min="1285" max="1285" width="23" style="270" customWidth="1"/>
    <col min="1286" max="1536" width="9.140625" style="270"/>
    <col min="1537" max="1537" width="61.85546875" style="270" customWidth="1"/>
    <col min="1538" max="1538" width="18.7109375" style="270" customWidth="1"/>
    <col min="1539" max="1539" width="5.42578125" style="270" customWidth="1"/>
    <col min="1540" max="1540" width="9.42578125" style="270" customWidth="1"/>
    <col min="1541" max="1541" width="23" style="270" customWidth="1"/>
    <col min="1542" max="1792" width="9.140625" style="270"/>
    <col min="1793" max="1793" width="61.85546875" style="270" customWidth="1"/>
    <col min="1794" max="1794" width="18.7109375" style="270" customWidth="1"/>
    <col min="1795" max="1795" width="5.42578125" style="270" customWidth="1"/>
    <col min="1796" max="1796" width="9.42578125" style="270" customWidth="1"/>
    <col min="1797" max="1797" width="23" style="270" customWidth="1"/>
    <col min="1798" max="2048" width="9.140625" style="270"/>
    <col min="2049" max="2049" width="61.85546875" style="270" customWidth="1"/>
    <col min="2050" max="2050" width="18.7109375" style="270" customWidth="1"/>
    <col min="2051" max="2051" width="5.42578125" style="270" customWidth="1"/>
    <col min="2052" max="2052" width="9.42578125" style="270" customWidth="1"/>
    <col min="2053" max="2053" width="23" style="270" customWidth="1"/>
    <col min="2054" max="2304" width="9.140625" style="270"/>
    <col min="2305" max="2305" width="61.85546875" style="270" customWidth="1"/>
    <col min="2306" max="2306" width="18.7109375" style="270" customWidth="1"/>
    <col min="2307" max="2307" width="5.42578125" style="270" customWidth="1"/>
    <col min="2308" max="2308" width="9.42578125" style="270" customWidth="1"/>
    <col min="2309" max="2309" width="23" style="270" customWidth="1"/>
    <col min="2310" max="2560" width="9.140625" style="270"/>
    <col min="2561" max="2561" width="61.85546875" style="270" customWidth="1"/>
    <col min="2562" max="2562" width="18.7109375" style="270" customWidth="1"/>
    <col min="2563" max="2563" width="5.42578125" style="270" customWidth="1"/>
    <col min="2564" max="2564" width="9.42578125" style="270" customWidth="1"/>
    <col min="2565" max="2565" width="23" style="270" customWidth="1"/>
    <col min="2566" max="2816" width="9.140625" style="270"/>
    <col min="2817" max="2817" width="61.85546875" style="270" customWidth="1"/>
    <col min="2818" max="2818" width="18.7109375" style="270" customWidth="1"/>
    <col min="2819" max="2819" width="5.42578125" style="270" customWidth="1"/>
    <col min="2820" max="2820" width="9.42578125" style="270" customWidth="1"/>
    <col min="2821" max="2821" width="23" style="270" customWidth="1"/>
    <col min="2822" max="3072" width="9.140625" style="270"/>
    <col min="3073" max="3073" width="61.85546875" style="270" customWidth="1"/>
    <col min="3074" max="3074" width="18.7109375" style="270" customWidth="1"/>
    <col min="3075" max="3075" width="5.42578125" style="270" customWidth="1"/>
    <col min="3076" max="3076" width="9.42578125" style="270" customWidth="1"/>
    <col min="3077" max="3077" width="23" style="270" customWidth="1"/>
    <col min="3078" max="3328" width="9.140625" style="270"/>
    <col min="3329" max="3329" width="61.85546875" style="270" customWidth="1"/>
    <col min="3330" max="3330" width="18.7109375" style="270" customWidth="1"/>
    <col min="3331" max="3331" width="5.42578125" style="270" customWidth="1"/>
    <col min="3332" max="3332" width="9.42578125" style="270" customWidth="1"/>
    <col min="3333" max="3333" width="23" style="270" customWidth="1"/>
    <col min="3334" max="3584" width="9.140625" style="270"/>
    <col min="3585" max="3585" width="61.85546875" style="270" customWidth="1"/>
    <col min="3586" max="3586" width="18.7109375" style="270" customWidth="1"/>
    <col min="3587" max="3587" width="5.42578125" style="270" customWidth="1"/>
    <col min="3588" max="3588" width="9.42578125" style="270" customWidth="1"/>
    <col min="3589" max="3589" width="23" style="270" customWidth="1"/>
    <col min="3590" max="3840" width="9.140625" style="270"/>
    <col min="3841" max="3841" width="61.85546875" style="270" customWidth="1"/>
    <col min="3842" max="3842" width="18.7109375" style="270" customWidth="1"/>
    <col min="3843" max="3843" width="5.42578125" style="270" customWidth="1"/>
    <col min="3844" max="3844" width="9.42578125" style="270" customWidth="1"/>
    <col min="3845" max="3845" width="23" style="270" customWidth="1"/>
    <col min="3846" max="4096" width="9.140625" style="270"/>
    <col min="4097" max="4097" width="61.85546875" style="270" customWidth="1"/>
    <col min="4098" max="4098" width="18.7109375" style="270" customWidth="1"/>
    <col min="4099" max="4099" width="5.42578125" style="270" customWidth="1"/>
    <col min="4100" max="4100" width="9.42578125" style="270" customWidth="1"/>
    <col min="4101" max="4101" width="23" style="270" customWidth="1"/>
    <col min="4102" max="4352" width="9.140625" style="270"/>
    <col min="4353" max="4353" width="61.85546875" style="270" customWidth="1"/>
    <col min="4354" max="4354" width="18.7109375" style="270" customWidth="1"/>
    <col min="4355" max="4355" width="5.42578125" style="270" customWidth="1"/>
    <col min="4356" max="4356" width="9.42578125" style="270" customWidth="1"/>
    <col min="4357" max="4357" width="23" style="270" customWidth="1"/>
    <col min="4358" max="4608" width="9.140625" style="270"/>
    <col min="4609" max="4609" width="61.85546875" style="270" customWidth="1"/>
    <col min="4610" max="4610" width="18.7109375" style="270" customWidth="1"/>
    <col min="4611" max="4611" width="5.42578125" style="270" customWidth="1"/>
    <col min="4612" max="4612" width="9.42578125" style="270" customWidth="1"/>
    <col min="4613" max="4613" width="23" style="270" customWidth="1"/>
    <col min="4614" max="4864" width="9.140625" style="270"/>
    <col min="4865" max="4865" width="61.85546875" style="270" customWidth="1"/>
    <col min="4866" max="4866" width="18.7109375" style="270" customWidth="1"/>
    <col min="4867" max="4867" width="5.42578125" style="270" customWidth="1"/>
    <col min="4868" max="4868" width="9.42578125" style="270" customWidth="1"/>
    <col min="4869" max="4869" width="23" style="270" customWidth="1"/>
    <col min="4870" max="5120" width="9.140625" style="270"/>
    <col min="5121" max="5121" width="61.85546875" style="270" customWidth="1"/>
    <col min="5122" max="5122" width="18.7109375" style="270" customWidth="1"/>
    <col min="5123" max="5123" width="5.42578125" style="270" customWidth="1"/>
    <col min="5124" max="5124" width="9.42578125" style="270" customWidth="1"/>
    <col min="5125" max="5125" width="23" style="270" customWidth="1"/>
    <col min="5126" max="5376" width="9.140625" style="270"/>
    <col min="5377" max="5377" width="61.85546875" style="270" customWidth="1"/>
    <col min="5378" max="5378" width="18.7109375" style="270" customWidth="1"/>
    <col min="5379" max="5379" width="5.42578125" style="270" customWidth="1"/>
    <col min="5380" max="5380" width="9.42578125" style="270" customWidth="1"/>
    <col min="5381" max="5381" width="23" style="270" customWidth="1"/>
    <col min="5382" max="5632" width="9.140625" style="270"/>
    <col min="5633" max="5633" width="61.85546875" style="270" customWidth="1"/>
    <col min="5634" max="5634" width="18.7109375" style="270" customWidth="1"/>
    <col min="5635" max="5635" width="5.42578125" style="270" customWidth="1"/>
    <col min="5636" max="5636" width="9.42578125" style="270" customWidth="1"/>
    <col min="5637" max="5637" width="23" style="270" customWidth="1"/>
    <col min="5638" max="5888" width="9.140625" style="270"/>
    <col min="5889" max="5889" width="61.85546875" style="270" customWidth="1"/>
    <col min="5890" max="5890" width="18.7109375" style="270" customWidth="1"/>
    <col min="5891" max="5891" width="5.42578125" style="270" customWidth="1"/>
    <col min="5892" max="5892" width="9.42578125" style="270" customWidth="1"/>
    <col min="5893" max="5893" width="23" style="270" customWidth="1"/>
    <col min="5894" max="6144" width="9.140625" style="270"/>
    <col min="6145" max="6145" width="61.85546875" style="270" customWidth="1"/>
    <col min="6146" max="6146" width="18.7109375" style="270" customWidth="1"/>
    <col min="6147" max="6147" width="5.42578125" style="270" customWidth="1"/>
    <col min="6148" max="6148" width="9.42578125" style="270" customWidth="1"/>
    <col min="6149" max="6149" width="23" style="270" customWidth="1"/>
    <col min="6150" max="6400" width="9.140625" style="270"/>
    <col min="6401" max="6401" width="61.85546875" style="270" customWidth="1"/>
    <col min="6402" max="6402" width="18.7109375" style="270" customWidth="1"/>
    <col min="6403" max="6403" width="5.42578125" style="270" customWidth="1"/>
    <col min="6404" max="6404" width="9.42578125" style="270" customWidth="1"/>
    <col min="6405" max="6405" width="23" style="270" customWidth="1"/>
    <col min="6406" max="6656" width="9.140625" style="270"/>
    <col min="6657" max="6657" width="61.85546875" style="270" customWidth="1"/>
    <col min="6658" max="6658" width="18.7109375" style="270" customWidth="1"/>
    <col min="6659" max="6659" width="5.42578125" style="270" customWidth="1"/>
    <col min="6660" max="6660" width="9.42578125" style="270" customWidth="1"/>
    <col min="6661" max="6661" width="23" style="270" customWidth="1"/>
    <col min="6662" max="6912" width="9.140625" style="270"/>
    <col min="6913" max="6913" width="61.85546875" style="270" customWidth="1"/>
    <col min="6914" max="6914" width="18.7109375" style="270" customWidth="1"/>
    <col min="6915" max="6915" width="5.42578125" style="270" customWidth="1"/>
    <col min="6916" max="6916" width="9.42578125" style="270" customWidth="1"/>
    <col min="6917" max="6917" width="23" style="270" customWidth="1"/>
    <col min="6918" max="7168" width="9.140625" style="270"/>
    <col min="7169" max="7169" width="61.85546875" style="270" customWidth="1"/>
    <col min="7170" max="7170" width="18.7109375" style="270" customWidth="1"/>
    <col min="7171" max="7171" width="5.42578125" style="270" customWidth="1"/>
    <col min="7172" max="7172" width="9.42578125" style="270" customWidth="1"/>
    <col min="7173" max="7173" width="23" style="270" customWidth="1"/>
    <col min="7174" max="7424" width="9.140625" style="270"/>
    <col min="7425" max="7425" width="61.85546875" style="270" customWidth="1"/>
    <col min="7426" max="7426" width="18.7109375" style="270" customWidth="1"/>
    <col min="7427" max="7427" width="5.42578125" style="270" customWidth="1"/>
    <col min="7428" max="7428" width="9.42578125" style="270" customWidth="1"/>
    <col min="7429" max="7429" width="23" style="270" customWidth="1"/>
    <col min="7430" max="7680" width="9.140625" style="270"/>
    <col min="7681" max="7681" width="61.85546875" style="270" customWidth="1"/>
    <col min="7682" max="7682" width="18.7109375" style="270" customWidth="1"/>
    <col min="7683" max="7683" width="5.42578125" style="270" customWidth="1"/>
    <col min="7684" max="7684" width="9.42578125" style="270" customWidth="1"/>
    <col min="7685" max="7685" width="23" style="270" customWidth="1"/>
    <col min="7686" max="7936" width="9.140625" style="270"/>
    <col min="7937" max="7937" width="61.85546875" style="270" customWidth="1"/>
    <col min="7938" max="7938" width="18.7109375" style="270" customWidth="1"/>
    <col min="7939" max="7939" width="5.42578125" style="270" customWidth="1"/>
    <col min="7940" max="7940" width="9.42578125" style="270" customWidth="1"/>
    <col min="7941" max="7941" width="23" style="270" customWidth="1"/>
    <col min="7942" max="8192" width="9.140625" style="270"/>
    <col min="8193" max="8193" width="61.85546875" style="270" customWidth="1"/>
    <col min="8194" max="8194" width="18.7109375" style="270" customWidth="1"/>
    <col min="8195" max="8195" width="5.42578125" style="270" customWidth="1"/>
    <col min="8196" max="8196" width="9.42578125" style="270" customWidth="1"/>
    <col min="8197" max="8197" width="23" style="270" customWidth="1"/>
    <col min="8198" max="8448" width="9.140625" style="270"/>
    <col min="8449" max="8449" width="61.85546875" style="270" customWidth="1"/>
    <col min="8450" max="8450" width="18.7109375" style="270" customWidth="1"/>
    <col min="8451" max="8451" width="5.42578125" style="270" customWidth="1"/>
    <col min="8452" max="8452" width="9.42578125" style="270" customWidth="1"/>
    <col min="8453" max="8453" width="23" style="270" customWidth="1"/>
    <col min="8454" max="8704" width="9.140625" style="270"/>
    <col min="8705" max="8705" width="61.85546875" style="270" customWidth="1"/>
    <col min="8706" max="8706" width="18.7109375" style="270" customWidth="1"/>
    <col min="8707" max="8707" width="5.42578125" style="270" customWidth="1"/>
    <col min="8708" max="8708" width="9.42578125" style="270" customWidth="1"/>
    <col min="8709" max="8709" width="23" style="270" customWidth="1"/>
    <col min="8710" max="8960" width="9.140625" style="270"/>
    <col min="8961" max="8961" width="61.85546875" style="270" customWidth="1"/>
    <col min="8962" max="8962" width="18.7109375" style="270" customWidth="1"/>
    <col min="8963" max="8963" width="5.42578125" style="270" customWidth="1"/>
    <col min="8964" max="8964" width="9.42578125" style="270" customWidth="1"/>
    <col min="8965" max="8965" width="23" style="270" customWidth="1"/>
    <col min="8966" max="9216" width="9.140625" style="270"/>
    <col min="9217" max="9217" width="61.85546875" style="270" customWidth="1"/>
    <col min="9218" max="9218" width="18.7109375" style="270" customWidth="1"/>
    <col min="9219" max="9219" width="5.42578125" style="270" customWidth="1"/>
    <col min="9220" max="9220" width="9.42578125" style="270" customWidth="1"/>
    <col min="9221" max="9221" width="23" style="270" customWidth="1"/>
    <col min="9222" max="9472" width="9.140625" style="270"/>
    <col min="9473" max="9473" width="61.85546875" style="270" customWidth="1"/>
    <col min="9474" max="9474" width="18.7109375" style="270" customWidth="1"/>
    <col min="9475" max="9475" width="5.42578125" style="270" customWidth="1"/>
    <col min="9476" max="9476" width="9.42578125" style="270" customWidth="1"/>
    <col min="9477" max="9477" width="23" style="270" customWidth="1"/>
    <col min="9478" max="9728" width="9.140625" style="270"/>
    <col min="9729" max="9729" width="61.85546875" style="270" customWidth="1"/>
    <col min="9730" max="9730" width="18.7109375" style="270" customWidth="1"/>
    <col min="9731" max="9731" width="5.42578125" style="270" customWidth="1"/>
    <col min="9732" max="9732" width="9.42578125" style="270" customWidth="1"/>
    <col min="9733" max="9733" width="23" style="270" customWidth="1"/>
    <col min="9734" max="9984" width="9.140625" style="270"/>
    <col min="9985" max="9985" width="61.85546875" style="270" customWidth="1"/>
    <col min="9986" max="9986" width="18.7109375" style="270" customWidth="1"/>
    <col min="9987" max="9987" width="5.42578125" style="270" customWidth="1"/>
    <col min="9988" max="9988" width="9.42578125" style="270" customWidth="1"/>
    <col min="9989" max="9989" width="23" style="270" customWidth="1"/>
    <col min="9990" max="10240" width="9.140625" style="270"/>
    <col min="10241" max="10241" width="61.85546875" style="270" customWidth="1"/>
    <col min="10242" max="10242" width="18.7109375" style="270" customWidth="1"/>
    <col min="10243" max="10243" width="5.42578125" style="270" customWidth="1"/>
    <col min="10244" max="10244" width="9.42578125" style="270" customWidth="1"/>
    <col min="10245" max="10245" width="23" style="270" customWidth="1"/>
    <col min="10246" max="10496" width="9.140625" style="270"/>
    <col min="10497" max="10497" width="61.85546875" style="270" customWidth="1"/>
    <col min="10498" max="10498" width="18.7109375" style="270" customWidth="1"/>
    <col min="10499" max="10499" width="5.42578125" style="270" customWidth="1"/>
    <col min="10500" max="10500" width="9.42578125" style="270" customWidth="1"/>
    <col min="10501" max="10501" width="23" style="270" customWidth="1"/>
    <col min="10502" max="10752" width="9.140625" style="270"/>
    <col min="10753" max="10753" width="61.85546875" style="270" customWidth="1"/>
    <col min="10754" max="10754" width="18.7109375" style="270" customWidth="1"/>
    <col min="10755" max="10755" width="5.42578125" style="270" customWidth="1"/>
    <col min="10756" max="10756" width="9.42578125" style="270" customWidth="1"/>
    <col min="10757" max="10757" width="23" style="270" customWidth="1"/>
    <col min="10758" max="11008" width="9.140625" style="270"/>
    <col min="11009" max="11009" width="61.85546875" style="270" customWidth="1"/>
    <col min="11010" max="11010" width="18.7109375" style="270" customWidth="1"/>
    <col min="11011" max="11011" width="5.42578125" style="270" customWidth="1"/>
    <col min="11012" max="11012" width="9.42578125" style="270" customWidth="1"/>
    <col min="11013" max="11013" width="23" style="270" customWidth="1"/>
    <col min="11014" max="11264" width="9.140625" style="270"/>
    <col min="11265" max="11265" width="61.85546875" style="270" customWidth="1"/>
    <col min="11266" max="11266" width="18.7109375" style="270" customWidth="1"/>
    <col min="11267" max="11267" width="5.42578125" style="270" customWidth="1"/>
    <col min="11268" max="11268" width="9.42578125" style="270" customWidth="1"/>
    <col min="11269" max="11269" width="23" style="270" customWidth="1"/>
    <col min="11270" max="11520" width="9.140625" style="270"/>
    <col min="11521" max="11521" width="61.85546875" style="270" customWidth="1"/>
    <col min="11522" max="11522" width="18.7109375" style="270" customWidth="1"/>
    <col min="11523" max="11523" width="5.42578125" style="270" customWidth="1"/>
    <col min="11524" max="11524" width="9.42578125" style="270" customWidth="1"/>
    <col min="11525" max="11525" width="23" style="270" customWidth="1"/>
    <col min="11526" max="11776" width="9.140625" style="270"/>
    <col min="11777" max="11777" width="61.85546875" style="270" customWidth="1"/>
    <col min="11778" max="11778" width="18.7109375" style="270" customWidth="1"/>
    <col min="11779" max="11779" width="5.42578125" style="270" customWidth="1"/>
    <col min="11780" max="11780" width="9.42578125" style="270" customWidth="1"/>
    <col min="11781" max="11781" width="23" style="270" customWidth="1"/>
    <col min="11782" max="12032" width="9.140625" style="270"/>
    <col min="12033" max="12033" width="61.85546875" style="270" customWidth="1"/>
    <col min="12034" max="12034" width="18.7109375" style="270" customWidth="1"/>
    <col min="12035" max="12035" width="5.42578125" style="270" customWidth="1"/>
    <col min="12036" max="12036" width="9.42578125" style="270" customWidth="1"/>
    <col min="12037" max="12037" width="23" style="270" customWidth="1"/>
    <col min="12038" max="12288" width="9.140625" style="270"/>
    <col min="12289" max="12289" width="61.85546875" style="270" customWidth="1"/>
    <col min="12290" max="12290" width="18.7109375" style="270" customWidth="1"/>
    <col min="12291" max="12291" width="5.42578125" style="270" customWidth="1"/>
    <col min="12292" max="12292" width="9.42578125" style="270" customWidth="1"/>
    <col min="12293" max="12293" width="23" style="270" customWidth="1"/>
    <col min="12294" max="12544" width="9.140625" style="270"/>
    <col min="12545" max="12545" width="61.85546875" style="270" customWidth="1"/>
    <col min="12546" max="12546" width="18.7109375" style="270" customWidth="1"/>
    <col min="12547" max="12547" width="5.42578125" style="270" customWidth="1"/>
    <col min="12548" max="12548" width="9.42578125" style="270" customWidth="1"/>
    <col min="12549" max="12549" width="23" style="270" customWidth="1"/>
    <col min="12550" max="12800" width="9.140625" style="270"/>
    <col min="12801" max="12801" width="61.85546875" style="270" customWidth="1"/>
    <col min="12802" max="12802" width="18.7109375" style="270" customWidth="1"/>
    <col min="12803" max="12803" width="5.42578125" style="270" customWidth="1"/>
    <col min="12804" max="12804" width="9.42578125" style="270" customWidth="1"/>
    <col min="12805" max="12805" width="23" style="270" customWidth="1"/>
    <col min="12806" max="13056" width="9.140625" style="270"/>
    <col min="13057" max="13057" width="61.85546875" style="270" customWidth="1"/>
    <col min="13058" max="13058" width="18.7109375" style="270" customWidth="1"/>
    <col min="13059" max="13059" width="5.42578125" style="270" customWidth="1"/>
    <col min="13060" max="13060" width="9.42578125" style="270" customWidth="1"/>
    <col min="13061" max="13061" width="23" style="270" customWidth="1"/>
    <col min="13062" max="13312" width="9.140625" style="270"/>
    <col min="13313" max="13313" width="61.85546875" style="270" customWidth="1"/>
    <col min="13314" max="13314" width="18.7109375" style="270" customWidth="1"/>
    <col min="13315" max="13315" width="5.42578125" style="270" customWidth="1"/>
    <col min="13316" max="13316" width="9.42578125" style="270" customWidth="1"/>
    <col min="13317" max="13317" width="23" style="270" customWidth="1"/>
    <col min="13318" max="13568" width="9.140625" style="270"/>
    <col min="13569" max="13569" width="61.85546875" style="270" customWidth="1"/>
    <col min="13570" max="13570" width="18.7109375" style="270" customWidth="1"/>
    <col min="13571" max="13571" width="5.42578125" style="270" customWidth="1"/>
    <col min="13572" max="13572" width="9.42578125" style="270" customWidth="1"/>
    <col min="13573" max="13573" width="23" style="270" customWidth="1"/>
    <col min="13574" max="13824" width="9.140625" style="270"/>
    <col min="13825" max="13825" width="61.85546875" style="270" customWidth="1"/>
    <col min="13826" max="13826" width="18.7109375" style="270" customWidth="1"/>
    <col min="13827" max="13827" width="5.42578125" style="270" customWidth="1"/>
    <col min="13828" max="13828" width="9.42578125" style="270" customWidth="1"/>
    <col min="13829" max="13829" width="23" style="270" customWidth="1"/>
    <col min="13830" max="14080" width="9.140625" style="270"/>
    <col min="14081" max="14081" width="61.85546875" style="270" customWidth="1"/>
    <col min="14082" max="14082" width="18.7109375" style="270" customWidth="1"/>
    <col min="14083" max="14083" width="5.42578125" style="270" customWidth="1"/>
    <col min="14084" max="14084" width="9.42578125" style="270" customWidth="1"/>
    <col min="14085" max="14085" width="23" style="270" customWidth="1"/>
    <col min="14086" max="14336" width="9.140625" style="270"/>
    <col min="14337" max="14337" width="61.85546875" style="270" customWidth="1"/>
    <col min="14338" max="14338" width="18.7109375" style="270" customWidth="1"/>
    <col min="14339" max="14339" width="5.42578125" style="270" customWidth="1"/>
    <col min="14340" max="14340" width="9.42578125" style="270" customWidth="1"/>
    <col min="14341" max="14341" width="23" style="270" customWidth="1"/>
    <col min="14342" max="14592" width="9.140625" style="270"/>
    <col min="14593" max="14593" width="61.85546875" style="270" customWidth="1"/>
    <col min="14594" max="14594" width="18.7109375" style="270" customWidth="1"/>
    <col min="14595" max="14595" width="5.42578125" style="270" customWidth="1"/>
    <col min="14596" max="14596" width="9.42578125" style="270" customWidth="1"/>
    <col min="14597" max="14597" width="23" style="270" customWidth="1"/>
    <col min="14598" max="14848" width="9.140625" style="270"/>
    <col min="14849" max="14849" width="61.85546875" style="270" customWidth="1"/>
    <col min="14850" max="14850" width="18.7109375" style="270" customWidth="1"/>
    <col min="14851" max="14851" width="5.42578125" style="270" customWidth="1"/>
    <col min="14852" max="14852" width="9.42578125" style="270" customWidth="1"/>
    <col min="14853" max="14853" width="23" style="270" customWidth="1"/>
    <col min="14854" max="15104" width="9.140625" style="270"/>
    <col min="15105" max="15105" width="61.85546875" style="270" customWidth="1"/>
    <col min="15106" max="15106" width="18.7109375" style="270" customWidth="1"/>
    <col min="15107" max="15107" width="5.42578125" style="270" customWidth="1"/>
    <col min="15108" max="15108" width="9.42578125" style="270" customWidth="1"/>
    <col min="15109" max="15109" width="23" style="270" customWidth="1"/>
    <col min="15110" max="15360" width="9.140625" style="270"/>
    <col min="15361" max="15361" width="61.85546875" style="270" customWidth="1"/>
    <col min="15362" max="15362" width="18.7109375" style="270" customWidth="1"/>
    <col min="15363" max="15363" width="5.42578125" style="270" customWidth="1"/>
    <col min="15364" max="15364" width="9.42578125" style="270" customWidth="1"/>
    <col min="15365" max="15365" width="23" style="270" customWidth="1"/>
    <col min="15366" max="15616" width="9.140625" style="270"/>
    <col min="15617" max="15617" width="61.85546875" style="270" customWidth="1"/>
    <col min="15618" max="15618" width="18.7109375" style="270" customWidth="1"/>
    <col min="15619" max="15619" width="5.42578125" style="270" customWidth="1"/>
    <col min="15620" max="15620" width="9.42578125" style="270" customWidth="1"/>
    <col min="15621" max="15621" width="23" style="270" customWidth="1"/>
    <col min="15622" max="15872" width="9.140625" style="270"/>
    <col min="15873" max="15873" width="61.85546875" style="270" customWidth="1"/>
    <col min="15874" max="15874" width="18.7109375" style="270" customWidth="1"/>
    <col min="15875" max="15875" width="5.42578125" style="270" customWidth="1"/>
    <col min="15876" max="15876" width="9.42578125" style="270" customWidth="1"/>
    <col min="15877" max="15877" width="23" style="270" customWidth="1"/>
    <col min="15878" max="16128" width="9.140625" style="270"/>
    <col min="16129" max="16129" width="61.85546875" style="270" customWidth="1"/>
    <col min="16130" max="16130" width="18.7109375" style="270" customWidth="1"/>
    <col min="16131" max="16131" width="5.42578125" style="270" customWidth="1"/>
    <col min="16132" max="16132" width="9.42578125" style="270" customWidth="1"/>
    <col min="16133" max="16133" width="23" style="270" customWidth="1"/>
    <col min="16134" max="16384" width="9.140625" style="270"/>
  </cols>
  <sheetData>
    <row r="1" spans="1:26" ht="12.75" customHeight="1" x14ac:dyDescent="0.2">
      <c r="A1" s="482" t="s">
        <v>296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</row>
    <row r="2" spans="1:26" ht="12.75" customHeight="1" x14ac:dyDescent="0.2">
      <c r="A2" s="270" t="s">
        <v>31</v>
      </c>
    </row>
    <row r="3" spans="1:26" ht="12.75" customHeight="1" x14ac:dyDescent="0.2">
      <c r="A3" s="484" t="s">
        <v>31</v>
      </c>
      <c r="B3" s="484" t="s">
        <v>31</v>
      </c>
      <c r="C3" s="484" t="s">
        <v>31</v>
      </c>
      <c r="D3" s="484" t="s">
        <v>31</v>
      </c>
      <c r="E3" s="271" t="s">
        <v>299</v>
      </c>
      <c r="F3" s="270" t="s">
        <v>452</v>
      </c>
    </row>
    <row r="4" spans="1:26" ht="12.75" customHeight="1" x14ac:dyDescent="0.2">
      <c r="A4" s="484" t="s">
        <v>300</v>
      </c>
      <c r="B4" s="484" t="s">
        <v>301</v>
      </c>
      <c r="C4" s="484" t="s">
        <v>461</v>
      </c>
      <c r="D4" s="271" t="s">
        <v>302</v>
      </c>
      <c r="E4" s="272">
        <v>100.19</v>
      </c>
      <c r="F4" s="270">
        <f>E4/100</f>
        <v>1.0019</v>
      </c>
    </row>
    <row r="5" spans="1:26" ht="12.75" customHeight="1" x14ac:dyDescent="0.2">
      <c r="A5" s="484" t="s">
        <v>300</v>
      </c>
      <c r="B5" s="484" t="s">
        <v>301</v>
      </c>
      <c r="C5" s="484" t="s">
        <v>461</v>
      </c>
      <c r="D5" s="271" t="s">
        <v>303</v>
      </c>
      <c r="E5" s="272">
        <v>101.71</v>
      </c>
      <c r="F5" s="270">
        <f t="shared" ref="F5:F68" si="0">E5/100</f>
        <v>1.0170999999999999</v>
      </c>
    </row>
    <row r="6" spans="1:26" ht="12.75" customHeight="1" x14ac:dyDescent="0.2">
      <c r="A6" s="484" t="s">
        <v>300</v>
      </c>
      <c r="B6" s="484" t="s">
        <v>301</v>
      </c>
      <c r="C6" s="484" t="s">
        <v>461</v>
      </c>
      <c r="D6" s="271" t="s">
        <v>304</v>
      </c>
      <c r="E6" s="272">
        <v>97.46</v>
      </c>
      <c r="F6" s="270">
        <f t="shared" si="0"/>
        <v>0.97460000000000002</v>
      </c>
    </row>
    <row r="7" spans="1:26" ht="12.75" customHeight="1" x14ac:dyDescent="0.2">
      <c r="A7" s="484" t="s">
        <v>300</v>
      </c>
      <c r="B7" s="484" t="s">
        <v>301</v>
      </c>
      <c r="C7" s="484" t="s">
        <v>461</v>
      </c>
      <c r="D7" s="271" t="s">
        <v>305</v>
      </c>
      <c r="E7" s="272">
        <v>100.75</v>
      </c>
      <c r="F7" s="270">
        <f t="shared" si="0"/>
        <v>1.0075000000000001</v>
      </c>
    </row>
    <row r="8" spans="1:26" ht="12.75" customHeight="1" x14ac:dyDescent="0.2">
      <c r="A8" s="484" t="s">
        <v>300</v>
      </c>
      <c r="B8" s="484" t="s">
        <v>301</v>
      </c>
      <c r="C8" s="484" t="s">
        <v>461</v>
      </c>
      <c r="D8" s="271" t="s">
        <v>306</v>
      </c>
      <c r="E8" s="272">
        <v>101.23</v>
      </c>
      <c r="F8" s="270">
        <f t="shared" si="0"/>
        <v>1.0123</v>
      </c>
    </row>
    <row r="9" spans="1:26" ht="12.75" customHeight="1" x14ac:dyDescent="0.2">
      <c r="A9" s="484" t="s">
        <v>300</v>
      </c>
      <c r="B9" s="484" t="s">
        <v>301</v>
      </c>
      <c r="C9" s="484" t="s">
        <v>461</v>
      </c>
      <c r="D9" s="271" t="s">
        <v>307</v>
      </c>
      <c r="E9" s="272">
        <v>100.13</v>
      </c>
      <c r="F9" s="270">
        <f t="shared" si="0"/>
        <v>1.0013000000000001</v>
      </c>
    </row>
    <row r="10" spans="1:26" ht="12.75" customHeight="1" x14ac:dyDescent="0.2">
      <c r="A10" s="484" t="s">
        <v>300</v>
      </c>
      <c r="B10" s="484" t="s">
        <v>301</v>
      </c>
      <c r="C10" s="484" t="s">
        <v>461</v>
      </c>
      <c r="D10" s="271" t="s">
        <v>308</v>
      </c>
      <c r="E10" s="272">
        <v>100.84</v>
      </c>
      <c r="F10" s="270">
        <f t="shared" si="0"/>
        <v>1.0084</v>
      </c>
    </row>
    <row r="11" spans="1:26" ht="12.75" customHeight="1" x14ac:dyDescent="0.2">
      <c r="A11" s="484" t="s">
        <v>300</v>
      </c>
      <c r="B11" s="484" t="s">
        <v>301</v>
      </c>
      <c r="C11" s="484" t="s">
        <v>461</v>
      </c>
      <c r="D11" s="271" t="s">
        <v>309</v>
      </c>
      <c r="E11" s="272">
        <v>100.89</v>
      </c>
      <c r="F11" s="270">
        <f t="shared" si="0"/>
        <v>1.0088999999999999</v>
      </c>
    </row>
    <row r="12" spans="1:26" ht="12.75" customHeight="1" x14ac:dyDescent="0.2">
      <c r="A12" s="484" t="s">
        <v>300</v>
      </c>
      <c r="B12" s="484" t="s">
        <v>301</v>
      </c>
      <c r="C12" s="484" t="s">
        <v>461</v>
      </c>
      <c r="D12" s="271" t="s">
        <v>310</v>
      </c>
      <c r="E12" s="272">
        <v>100.08</v>
      </c>
      <c r="F12" s="270">
        <f t="shared" si="0"/>
        <v>1.0007999999999999</v>
      </c>
    </row>
    <row r="13" spans="1:26" ht="12.75" customHeight="1" x14ac:dyDescent="0.2">
      <c r="A13" s="484" t="s">
        <v>300</v>
      </c>
      <c r="B13" s="484" t="s">
        <v>301</v>
      </c>
      <c r="C13" s="484" t="s">
        <v>461</v>
      </c>
      <c r="D13" s="271" t="s">
        <v>311</v>
      </c>
      <c r="E13" s="272">
        <v>100.25</v>
      </c>
      <c r="F13" s="270">
        <f t="shared" si="0"/>
        <v>1.0024999999999999</v>
      </c>
    </row>
    <row r="14" spans="1:26" ht="12.75" customHeight="1" x14ac:dyDescent="0.2">
      <c r="A14" s="484" t="s">
        <v>300</v>
      </c>
      <c r="B14" s="484" t="s">
        <v>301</v>
      </c>
      <c r="C14" s="484" t="s">
        <v>461</v>
      </c>
      <c r="D14" s="271" t="s">
        <v>312</v>
      </c>
      <c r="E14" s="272">
        <v>99.6</v>
      </c>
      <c r="F14" s="270">
        <f t="shared" si="0"/>
        <v>0.996</v>
      </c>
    </row>
    <row r="15" spans="1:26" ht="12.75" customHeight="1" x14ac:dyDescent="0.2">
      <c r="A15" s="484" t="s">
        <v>300</v>
      </c>
      <c r="B15" s="484" t="s">
        <v>301</v>
      </c>
      <c r="C15" s="484" t="s">
        <v>461</v>
      </c>
      <c r="D15" s="271" t="s">
        <v>313</v>
      </c>
      <c r="E15" s="272">
        <v>100.32</v>
      </c>
      <c r="F15" s="270">
        <f t="shared" si="0"/>
        <v>1.0032000000000001</v>
      </c>
    </row>
    <row r="16" spans="1:26" ht="12.75" customHeight="1" x14ac:dyDescent="0.2">
      <c r="A16" s="484" t="s">
        <v>300</v>
      </c>
      <c r="B16" s="484" t="s">
        <v>301</v>
      </c>
      <c r="C16" s="484" t="s">
        <v>462</v>
      </c>
      <c r="D16" s="271" t="s">
        <v>302</v>
      </c>
      <c r="E16" s="272">
        <v>99.85</v>
      </c>
      <c r="F16" s="270">
        <f t="shared" si="0"/>
        <v>0.99850000000000005</v>
      </c>
    </row>
    <row r="17" spans="1:6" ht="12.75" customHeight="1" x14ac:dyDescent="0.2">
      <c r="A17" s="484" t="s">
        <v>300</v>
      </c>
      <c r="B17" s="484" t="s">
        <v>301</v>
      </c>
      <c r="C17" s="484" t="s">
        <v>462</v>
      </c>
      <c r="D17" s="271" t="s">
        <v>303</v>
      </c>
      <c r="E17" s="272">
        <v>100.1</v>
      </c>
      <c r="F17" s="270">
        <f t="shared" si="0"/>
        <v>1.0009999999999999</v>
      </c>
    </row>
    <row r="18" spans="1:6" ht="12.75" customHeight="1" x14ac:dyDescent="0.2">
      <c r="A18" s="484" t="s">
        <v>300</v>
      </c>
      <c r="B18" s="484" t="s">
        <v>301</v>
      </c>
      <c r="C18" s="484" t="s">
        <v>462</v>
      </c>
      <c r="D18" s="271" t="s">
        <v>304</v>
      </c>
      <c r="E18" s="272">
        <v>100.51</v>
      </c>
      <c r="F18" s="270">
        <f t="shared" si="0"/>
        <v>1.0051000000000001</v>
      </c>
    </row>
    <row r="19" spans="1:6" ht="12.75" customHeight="1" x14ac:dyDescent="0.2">
      <c r="A19" s="484" t="s">
        <v>300</v>
      </c>
      <c r="B19" s="484" t="s">
        <v>301</v>
      </c>
      <c r="C19" s="484" t="s">
        <v>462</v>
      </c>
      <c r="D19" s="271" t="s">
        <v>305</v>
      </c>
      <c r="E19" s="272">
        <v>100.71</v>
      </c>
      <c r="F19" s="270">
        <f t="shared" si="0"/>
        <v>1.0071000000000001</v>
      </c>
    </row>
    <row r="20" spans="1:6" ht="12.75" customHeight="1" x14ac:dyDescent="0.2">
      <c r="A20" s="484" t="s">
        <v>300</v>
      </c>
      <c r="B20" s="484" t="s">
        <v>301</v>
      </c>
      <c r="C20" s="484" t="s">
        <v>462</v>
      </c>
      <c r="D20" s="271" t="s">
        <v>306</v>
      </c>
      <c r="E20" s="272">
        <v>100.46</v>
      </c>
      <c r="F20" s="270">
        <f t="shared" si="0"/>
        <v>1.0045999999999999</v>
      </c>
    </row>
    <row r="21" spans="1:6" ht="12.75" customHeight="1" x14ac:dyDescent="0.2">
      <c r="A21" s="484" t="s">
        <v>300</v>
      </c>
      <c r="B21" s="484" t="s">
        <v>301</v>
      </c>
      <c r="C21" s="484" t="s">
        <v>462</v>
      </c>
      <c r="D21" s="271" t="s">
        <v>307</v>
      </c>
      <c r="E21" s="272">
        <v>100.44</v>
      </c>
      <c r="F21" s="270">
        <f t="shared" si="0"/>
        <v>1.0044</v>
      </c>
    </row>
    <row r="22" spans="1:6" ht="12.75" customHeight="1" x14ac:dyDescent="0.2">
      <c r="A22" s="484" t="s">
        <v>300</v>
      </c>
      <c r="B22" s="484" t="s">
        <v>301</v>
      </c>
      <c r="C22" s="484" t="s">
        <v>462</v>
      </c>
      <c r="D22" s="271" t="s">
        <v>308</v>
      </c>
      <c r="E22" s="272">
        <v>100.5</v>
      </c>
      <c r="F22" s="270">
        <f t="shared" si="0"/>
        <v>1.0049999999999999</v>
      </c>
    </row>
    <row r="23" spans="1:6" ht="12.75" customHeight="1" x14ac:dyDescent="0.2">
      <c r="A23" s="484" t="s">
        <v>300</v>
      </c>
      <c r="B23" s="484" t="s">
        <v>301</v>
      </c>
      <c r="C23" s="484" t="s">
        <v>462</v>
      </c>
      <c r="D23" s="271" t="s">
        <v>309</v>
      </c>
      <c r="E23" s="272">
        <v>100.77</v>
      </c>
      <c r="F23" s="270">
        <f t="shared" si="0"/>
        <v>1.0077</v>
      </c>
    </row>
    <row r="24" spans="1:6" ht="12.75" customHeight="1" x14ac:dyDescent="0.2">
      <c r="A24" s="484" t="s">
        <v>300</v>
      </c>
      <c r="B24" s="484" t="s">
        <v>301</v>
      </c>
      <c r="C24" s="484" t="s">
        <v>462</v>
      </c>
      <c r="D24" s="271" t="s">
        <v>310</v>
      </c>
      <c r="E24" s="272">
        <v>100.62</v>
      </c>
      <c r="F24" s="270">
        <f t="shared" si="0"/>
        <v>1.0062</v>
      </c>
    </row>
    <row r="25" spans="1:6" ht="12.75" customHeight="1" x14ac:dyDescent="0.2">
      <c r="A25" s="484" t="s">
        <v>300</v>
      </c>
      <c r="B25" s="484" t="s">
        <v>301</v>
      </c>
      <c r="C25" s="484" t="s">
        <v>462</v>
      </c>
      <c r="D25" s="271" t="s">
        <v>311</v>
      </c>
      <c r="E25" s="272">
        <v>100.28</v>
      </c>
      <c r="F25" s="270">
        <f t="shared" si="0"/>
        <v>1.0027999999999999</v>
      </c>
    </row>
    <row r="26" spans="1:6" ht="12.75" customHeight="1" x14ac:dyDescent="0.2">
      <c r="A26" s="484" t="s">
        <v>300</v>
      </c>
      <c r="B26" s="484" t="s">
        <v>301</v>
      </c>
      <c r="C26" s="484" t="s">
        <v>462</v>
      </c>
      <c r="D26" s="271" t="s">
        <v>312</v>
      </c>
      <c r="E26" s="272">
        <v>100.59</v>
      </c>
      <c r="F26" s="270">
        <f t="shared" si="0"/>
        <v>1.0059</v>
      </c>
    </row>
    <row r="27" spans="1:6" ht="12.75" customHeight="1" x14ac:dyDescent="0.2">
      <c r="A27" s="484" t="s">
        <v>300</v>
      </c>
      <c r="B27" s="484" t="s">
        <v>301</v>
      </c>
      <c r="C27" s="484" t="s">
        <v>462</v>
      </c>
      <c r="D27" s="271" t="s">
        <v>313</v>
      </c>
      <c r="E27" s="272">
        <v>100.65</v>
      </c>
      <c r="F27" s="270">
        <f t="shared" si="0"/>
        <v>1.0065</v>
      </c>
    </row>
    <row r="28" spans="1:6" ht="12.75" customHeight="1" x14ac:dyDescent="0.2">
      <c r="A28" s="484" t="s">
        <v>300</v>
      </c>
      <c r="B28" s="484" t="s">
        <v>301</v>
      </c>
      <c r="C28" s="484" t="s">
        <v>463</v>
      </c>
      <c r="D28" s="271" t="s">
        <v>302</v>
      </c>
      <c r="E28" s="272">
        <v>100.81</v>
      </c>
      <c r="F28" s="270">
        <f t="shared" si="0"/>
        <v>1.0081</v>
      </c>
    </row>
    <row r="29" spans="1:6" ht="12.75" customHeight="1" x14ac:dyDescent="0.2">
      <c r="A29" s="484" t="s">
        <v>300</v>
      </c>
      <c r="B29" s="484" t="s">
        <v>301</v>
      </c>
      <c r="C29" s="484" t="s">
        <v>463</v>
      </c>
      <c r="D29" s="271" t="s">
        <v>303</v>
      </c>
      <c r="E29" s="272">
        <v>100.27</v>
      </c>
      <c r="F29" s="270">
        <f t="shared" si="0"/>
        <v>1.0026999999999999</v>
      </c>
    </row>
    <row r="30" spans="1:6" ht="12.75" customHeight="1" x14ac:dyDescent="0.2">
      <c r="A30" s="484" t="s">
        <v>300</v>
      </c>
      <c r="B30" s="484" t="s">
        <v>301</v>
      </c>
      <c r="C30" s="484" t="s">
        <v>463</v>
      </c>
      <c r="D30" s="271" t="s">
        <v>304</v>
      </c>
      <c r="E30" s="272">
        <v>100.31</v>
      </c>
      <c r="F30" s="270">
        <f t="shared" si="0"/>
        <v>1.0031000000000001</v>
      </c>
    </row>
    <row r="31" spans="1:6" ht="12.75" customHeight="1" x14ac:dyDescent="0.2">
      <c r="A31" s="484" t="s">
        <v>300</v>
      </c>
      <c r="B31" s="484" t="s">
        <v>301</v>
      </c>
      <c r="C31" s="484" t="s">
        <v>463</v>
      </c>
      <c r="D31" s="271" t="s">
        <v>305</v>
      </c>
      <c r="E31" s="272">
        <v>100.32</v>
      </c>
      <c r="F31" s="270">
        <f t="shared" si="0"/>
        <v>1.0032000000000001</v>
      </c>
    </row>
    <row r="32" spans="1:6" ht="12.75" customHeight="1" x14ac:dyDescent="0.2">
      <c r="A32" s="484" t="s">
        <v>300</v>
      </c>
      <c r="B32" s="484" t="s">
        <v>301</v>
      </c>
      <c r="C32" s="484" t="s">
        <v>463</v>
      </c>
      <c r="D32" s="271" t="s">
        <v>306</v>
      </c>
      <c r="E32" s="272">
        <v>100.39</v>
      </c>
      <c r="F32" s="270">
        <f t="shared" si="0"/>
        <v>1.0039</v>
      </c>
    </row>
    <row r="33" spans="1:6" ht="12.75" customHeight="1" x14ac:dyDescent="0.2">
      <c r="A33" s="484" t="s">
        <v>300</v>
      </c>
      <c r="B33" s="484" t="s">
        <v>301</v>
      </c>
      <c r="C33" s="484" t="s">
        <v>463</v>
      </c>
      <c r="D33" s="271" t="s">
        <v>307</v>
      </c>
      <c r="E33" s="272">
        <v>100.33</v>
      </c>
      <c r="F33" s="270">
        <f t="shared" si="0"/>
        <v>1.0033000000000001</v>
      </c>
    </row>
    <row r="34" spans="1:6" ht="12.75" customHeight="1" x14ac:dyDescent="0.2">
      <c r="A34" s="484" t="s">
        <v>300</v>
      </c>
      <c r="B34" s="484" t="s">
        <v>301</v>
      </c>
      <c r="C34" s="484" t="s">
        <v>463</v>
      </c>
      <c r="D34" s="271" t="s">
        <v>308</v>
      </c>
      <c r="E34" s="272">
        <v>100.34</v>
      </c>
      <c r="F34" s="270">
        <f t="shared" si="0"/>
        <v>1.0034000000000001</v>
      </c>
    </row>
    <row r="35" spans="1:6" ht="12.75" customHeight="1" x14ac:dyDescent="0.2">
      <c r="A35" s="484" t="s">
        <v>300</v>
      </c>
      <c r="B35" s="484" t="s">
        <v>301</v>
      </c>
      <c r="C35" s="484" t="s">
        <v>463</v>
      </c>
      <c r="D35" s="271" t="s">
        <v>309</v>
      </c>
      <c r="E35" s="272">
        <v>100.64</v>
      </c>
      <c r="F35" s="270">
        <f t="shared" si="0"/>
        <v>1.0064</v>
      </c>
    </row>
    <row r="36" spans="1:6" ht="12.75" customHeight="1" x14ac:dyDescent="0.2">
      <c r="A36" s="484" t="s">
        <v>300</v>
      </c>
      <c r="B36" s="484" t="s">
        <v>301</v>
      </c>
      <c r="C36" s="484" t="s">
        <v>463</v>
      </c>
      <c r="D36" s="271" t="s">
        <v>310</v>
      </c>
      <c r="E36" s="272">
        <v>100.3</v>
      </c>
      <c r="F36" s="270">
        <f t="shared" si="0"/>
        <v>1.0029999999999999</v>
      </c>
    </row>
    <row r="37" spans="1:6" ht="12.75" customHeight="1" x14ac:dyDescent="0.2">
      <c r="A37" s="484" t="s">
        <v>300</v>
      </c>
      <c r="B37" s="484" t="s">
        <v>301</v>
      </c>
      <c r="C37" s="484" t="s">
        <v>463</v>
      </c>
      <c r="D37" s="271" t="s">
        <v>311</v>
      </c>
      <c r="E37" s="272">
        <v>100.22</v>
      </c>
      <c r="F37" s="270">
        <f t="shared" si="0"/>
        <v>1.0022</v>
      </c>
    </row>
    <row r="38" spans="1:6" ht="12.75" customHeight="1" x14ac:dyDescent="0.2">
      <c r="A38" s="484" t="s">
        <v>300</v>
      </c>
      <c r="B38" s="484" t="s">
        <v>301</v>
      </c>
      <c r="C38" s="484" t="s">
        <v>463</v>
      </c>
      <c r="D38" s="271" t="s">
        <v>312</v>
      </c>
      <c r="E38" s="272">
        <v>100.25</v>
      </c>
      <c r="F38" s="270">
        <f t="shared" si="0"/>
        <v>1.0024999999999999</v>
      </c>
    </row>
    <row r="39" spans="1:6" ht="12.75" customHeight="1" x14ac:dyDescent="0.2">
      <c r="A39" s="484" t="s">
        <v>300</v>
      </c>
      <c r="B39" s="484" t="s">
        <v>301</v>
      </c>
      <c r="C39" s="484" t="s">
        <v>463</v>
      </c>
      <c r="D39" s="271" t="s">
        <v>313</v>
      </c>
      <c r="E39" s="272">
        <v>100.08</v>
      </c>
      <c r="F39" s="270">
        <f t="shared" si="0"/>
        <v>1.0007999999999999</v>
      </c>
    </row>
    <row r="40" spans="1:6" ht="12.75" customHeight="1" x14ac:dyDescent="0.2">
      <c r="A40" s="484" t="s">
        <v>300</v>
      </c>
      <c r="B40" s="484" t="s">
        <v>301</v>
      </c>
      <c r="C40" s="484" t="s">
        <v>464</v>
      </c>
      <c r="D40" s="271" t="s">
        <v>302</v>
      </c>
      <c r="E40" s="273">
        <v>100</v>
      </c>
      <c r="F40" s="270">
        <f t="shared" si="0"/>
        <v>1</v>
      </c>
    </row>
    <row r="41" spans="1:6" ht="12.75" customHeight="1" x14ac:dyDescent="0.2">
      <c r="A41" s="484" t="s">
        <v>300</v>
      </c>
      <c r="B41" s="484" t="s">
        <v>301</v>
      </c>
      <c r="C41" s="484" t="s">
        <v>464</v>
      </c>
      <c r="D41" s="271" t="s">
        <v>303</v>
      </c>
      <c r="E41" s="272">
        <v>100.52</v>
      </c>
      <c r="F41" s="270">
        <f t="shared" si="0"/>
        <v>1.0052000000000001</v>
      </c>
    </row>
    <row r="42" spans="1:6" ht="12.75" customHeight="1" x14ac:dyDescent="0.2">
      <c r="A42" s="484" t="s">
        <v>300</v>
      </c>
      <c r="B42" s="484" t="s">
        <v>301</v>
      </c>
      <c r="C42" s="484" t="s">
        <v>464</v>
      </c>
      <c r="D42" s="271" t="s">
        <v>304</v>
      </c>
      <c r="E42" s="272">
        <v>101.68</v>
      </c>
      <c r="F42" s="270">
        <f t="shared" si="0"/>
        <v>1.0167999999999999</v>
      </c>
    </row>
    <row r="43" spans="1:6" ht="12.75" customHeight="1" x14ac:dyDescent="0.2">
      <c r="A43" s="484" t="s">
        <v>300</v>
      </c>
      <c r="B43" s="484" t="s">
        <v>301</v>
      </c>
      <c r="C43" s="484" t="s">
        <v>464</v>
      </c>
      <c r="D43" s="271" t="s">
        <v>305</v>
      </c>
      <c r="E43" s="272">
        <v>100.42</v>
      </c>
      <c r="F43" s="270">
        <f t="shared" si="0"/>
        <v>1.0042</v>
      </c>
    </row>
    <row r="44" spans="1:6" ht="12.75" customHeight="1" x14ac:dyDescent="0.2">
      <c r="A44" s="484" t="s">
        <v>300</v>
      </c>
      <c r="B44" s="484" t="s">
        <v>301</v>
      </c>
      <c r="C44" s="484" t="s">
        <v>464</v>
      </c>
      <c r="D44" s="271" t="s">
        <v>306</v>
      </c>
      <c r="E44" s="272">
        <v>99.97</v>
      </c>
      <c r="F44" s="270">
        <f t="shared" si="0"/>
        <v>0.99970000000000003</v>
      </c>
    </row>
    <row r="45" spans="1:6" ht="12.75" customHeight="1" x14ac:dyDescent="0.2">
      <c r="A45" s="484" t="s">
        <v>300</v>
      </c>
      <c r="B45" s="484" t="s">
        <v>301</v>
      </c>
      <c r="C45" s="484" t="s">
        <v>464</v>
      </c>
      <c r="D45" s="271" t="s">
        <v>307</v>
      </c>
      <c r="E45" s="272">
        <v>99.64</v>
      </c>
      <c r="F45" s="270">
        <f t="shared" si="0"/>
        <v>0.99639999999999995</v>
      </c>
    </row>
    <row r="46" spans="1:6" ht="12.75" customHeight="1" x14ac:dyDescent="0.2">
      <c r="A46" s="484" t="s">
        <v>300</v>
      </c>
      <c r="B46" s="484" t="s">
        <v>301</v>
      </c>
      <c r="C46" s="484" t="s">
        <v>464</v>
      </c>
      <c r="D46" s="271" t="s">
        <v>308</v>
      </c>
      <c r="E46" s="272">
        <v>100.47</v>
      </c>
      <c r="F46" s="270">
        <f t="shared" si="0"/>
        <v>1.0046999999999999</v>
      </c>
    </row>
    <row r="47" spans="1:6" ht="12.75" customHeight="1" x14ac:dyDescent="0.2">
      <c r="A47" s="484" t="s">
        <v>300</v>
      </c>
      <c r="B47" s="484" t="s">
        <v>301</v>
      </c>
      <c r="C47" s="484" t="s">
        <v>464</v>
      </c>
      <c r="D47" s="271" t="s">
        <v>309</v>
      </c>
      <c r="E47" s="272">
        <v>100.63</v>
      </c>
      <c r="F47" s="270">
        <f t="shared" si="0"/>
        <v>1.0063</v>
      </c>
    </row>
    <row r="48" spans="1:6" ht="12.75" customHeight="1" x14ac:dyDescent="0.2">
      <c r="A48" s="484" t="s">
        <v>300</v>
      </c>
      <c r="B48" s="484" t="s">
        <v>301</v>
      </c>
      <c r="C48" s="484" t="s">
        <v>464</v>
      </c>
      <c r="D48" s="271" t="s">
        <v>310</v>
      </c>
      <c r="E48" s="272">
        <v>100.52</v>
      </c>
      <c r="F48" s="270">
        <f t="shared" si="0"/>
        <v>1.0052000000000001</v>
      </c>
    </row>
    <row r="49" spans="1:6" ht="12.75" customHeight="1" x14ac:dyDescent="0.2">
      <c r="A49" s="484" t="s">
        <v>300</v>
      </c>
      <c r="B49" s="484" t="s">
        <v>301</v>
      </c>
      <c r="C49" s="484" t="s">
        <v>464</v>
      </c>
      <c r="D49" s="271" t="s">
        <v>311</v>
      </c>
      <c r="E49" s="272">
        <v>100.41</v>
      </c>
      <c r="F49" s="270">
        <f t="shared" si="0"/>
        <v>1.0041</v>
      </c>
    </row>
    <row r="50" spans="1:6" ht="12.75" customHeight="1" x14ac:dyDescent="0.2">
      <c r="A50" s="484" t="s">
        <v>300</v>
      </c>
      <c r="B50" s="484" t="s">
        <v>301</v>
      </c>
      <c r="C50" s="484" t="s">
        <v>464</v>
      </c>
      <c r="D50" s="271" t="s">
        <v>312</v>
      </c>
      <c r="E50" s="272">
        <v>100.09</v>
      </c>
      <c r="F50" s="270">
        <f t="shared" si="0"/>
        <v>1.0008999999999999</v>
      </c>
    </row>
    <row r="51" spans="1:6" ht="12.75" customHeight="1" x14ac:dyDescent="0.2">
      <c r="A51" s="484" t="s">
        <v>300</v>
      </c>
      <c r="B51" s="484" t="s">
        <v>301</v>
      </c>
      <c r="C51" s="484" t="s">
        <v>464</v>
      </c>
      <c r="D51" s="271" t="s">
        <v>313</v>
      </c>
      <c r="E51" s="272">
        <v>99.88</v>
      </c>
      <c r="F51" s="270">
        <f t="shared" si="0"/>
        <v>0.99880000000000002</v>
      </c>
    </row>
    <row r="52" spans="1:6" ht="12.75" customHeight="1" x14ac:dyDescent="0.2">
      <c r="A52" s="484" t="s">
        <v>300</v>
      </c>
      <c r="B52" s="484" t="s">
        <v>301</v>
      </c>
      <c r="C52" s="484" t="s">
        <v>465</v>
      </c>
      <c r="D52" s="271" t="s">
        <v>302</v>
      </c>
      <c r="E52" s="272">
        <v>100.43</v>
      </c>
      <c r="F52" s="270">
        <f t="shared" si="0"/>
        <v>1.0043</v>
      </c>
    </row>
    <row r="53" spans="1:6" ht="12.75" customHeight="1" x14ac:dyDescent="0.2">
      <c r="A53" s="484" t="s">
        <v>300</v>
      </c>
      <c r="B53" s="484" t="s">
        <v>301</v>
      </c>
      <c r="C53" s="484" t="s">
        <v>465</v>
      </c>
      <c r="D53" s="271" t="s">
        <v>303</v>
      </c>
      <c r="E53" s="272">
        <v>100.08</v>
      </c>
      <c r="F53" s="270">
        <f t="shared" si="0"/>
        <v>1.0007999999999999</v>
      </c>
    </row>
    <row r="54" spans="1:6" ht="12.75" customHeight="1" x14ac:dyDescent="0.2">
      <c r="A54" s="484" t="s">
        <v>300</v>
      </c>
      <c r="B54" s="484" t="s">
        <v>301</v>
      </c>
      <c r="C54" s="484" t="s">
        <v>465</v>
      </c>
      <c r="D54" s="271" t="s">
        <v>304</v>
      </c>
      <c r="E54" s="272">
        <v>101.06</v>
      </c>
      <c r="F54" s="270">
        <f t="shared" si="0"/>
        <v>1.0105999999999999</v>
      </c>
    </row>
    <row r="55" spans="1:6" ht="12.75" customHeight="1" x14ac:dyDescent="0.2">
      <c r="A55" s="484" t="s">
        <v>300</v>
      </c>
      <c r="B55" s="484" t="s">
        <v>301</v>
      </c>
      <c r="C55" s="484" t="s">
        <v>465</v>
      </c>
      <c r="D55" s="271" t="s">
        <v>305</v>
      </c>
      <c r="E55" s="272">
        <v>100.85</v>
      </c>
      <c r="F55" s="270">
        <f t="shared" si="0"/>
        <v>1.0085</v>
      </c>
    </row>
    <row r="56" spans="1:6" ht="12.75" customHeight="1" x14ac:dyDescent="0.2">
      <c r="A56" s="484" t="s">
        <v>300</v>
      </c>
      <c r="B56" s="484" t="s">
        <v>301</v>
      </c>
      <c r="C56" s="484" t="s">
        <v>465</v>
      </c>
      <c r="D56" s="271" t="s">
        <v>306</v>
      </c>
      <c r="E56" s="272">
        <v>101.61</v>
      </c>
      <c r="F56" s="270">
        <f t="shared" si="0"/>
        <v>1.0161</v>
      </c>
    </row>
    <row r="57" spans="1:6" ht="12.75" customHeight="1" x14ac:dyDescent="0.2">
      <c r="A57" s="484" t="s">
        <v>300</v>
      </c>
      <c r="B57" s="484" t="s">
        <v>301</v>
      </c>
      <c r="C57" s="484" t="s">
        <v>465</v>
      </c>
      <c r="D57" s="271" t="s">
        <v>307</v>
      </c>
      <c r="E57" s="272">
        <v>101.18</v>
      </c>
      <c r="F57" s="270">
        <f t="shared" si="0"/>
        <v>1.0118</v>
      </c>
    </row>
    <row r="58" spans="1:6" ht="12.75" customHeight="1" x14ac:dyDescent="0.2">
      <c r="A58" s="484" t="s">
        <v>300</v>
      </c>
      <c r="B58" s="484" t="s">
        <v>301</v>
      </c>
      <c r="C58" s="484" t="s">
        <v>465</v>
      </c>
      <c r="D58" s="271" t="s">
        <v>308</v>
      </c>
      <c r="E58" s="272">
        <v>101.23</v>
      </c>
      <c r="F58" s="270">
        <f t="shared" si="0"/>
        <v>1.0123</v>
      </c>
    </row>
    <row r="59" spans="1:6" ht="12.75" customHeight="1" x14ac:dyDescent="0.2">
      <c r="A59" s="484" t="s">
        <v>300</v>
      </c>
      <c r="B59" s="484" t="s">
        <v>301</v>
      </c>
      <c r="C59" s="484" t="s">
        <v>465</v>
      </c>
      <c r="D59" s="271" t="s">
        <v>309</v>
      </c>
      <c r="E59" s="272">
        <v>100.85</v>
      </c>
      <c r="F59" s="270">
        <f t="shared" si="0"/>
        <v>1.0085</v>
      </c>
    </row>
    <row r="60" spans="1:6" ht="12.75" customHeight="1" x14ac:dyDescent="0.2">
      <c r="A60" s="484" t="s">
        <v>300</v>
      </c>
      <c r="B60" s="484" t="s">
        <v>301</v>
      </c>
      <c r="C60" s="484" t="s">
        <v>465</v>
      </c>
      <c r="D60" s="271" t="s">
        <v>310</v>
      </c>
      <c r="E60" s="272">
        <v>100.58</v>
      </c>
      <c r="F60" s="270">
        <f t="shared" si="0"/>
        <v>1.0058</v>
      </c>
    </row>
    <row r="61" spans="1:6" ht="12.75" customHeight="1" x14ac:dyDescent="0.2">
      <c r="A61" s="484" t="s">
        <v>300</v>
      </c>
      <c r="B61" s="484" t="s">
        <v>301</v>
      </c>
      <c r="C61" s="484" t="s">
        <v>465</v>
      </c>
      <c r="D61" s="271" t="s">
        <v>311</v>
      </c>
      <c r="E61" s="272">
        <v>100.48</v>
      </c>
      <c r="F61" s="270">
        <f t="shared" si="0"/>
        <v>1.0047999999999999</v>
      </c>
    </row>
    <row r="62" spans="1:6" ht="12.75" customHeight="1" x14ac:dyDescent="0.2">
      <c r="A62" s="484" t="s">
        <v>300</v>
      </c>
      <c r="B62" s="484" t="s">
        <v>301</v>
      </c>
      <c r="C62" s="484" t="s">
        <v>465</v>
      </c>
      <c r="D62" s="271" t="s">
        <v>312</v>
      </c>
      <c r="E62" s="272">
        <v>100.65</v>
      </c>
      <c r="F62" s="270">
        <f t="shared" si="0"/>
        <v>1.0065</v>
      </c>
    </row>
    <row r="63" spans="1:6" ht="12.75" customHeight="1" x14ac:dyDescent="0.2">
      <c r="A63" s="484" t="s">
        <v>300</v>
      </c>
      <c r="B63" s="484" t="s">
        <v>301</v>
      </c>
      <c r="C63" s="484" t="s">
        <v>465</v>
      </c>
      <c r="D63" s="271" t="s">
        <v>313</v>
      </c>
      <c r="E63" s="272">
        <v>100.71</v>
      </c>
      <c r="F63" s="270">
        <f t="shared" si="0"/>
        <v>1.0071000000000001</v>
      </c>
    </row>
    <row r="64" spans="1:6" ht="12.75" customHeight="1" x14ac:dyDescent="0.2">
      <c r="A64" s="484" t="s">
        <v>300</v>
      </c>
      <c r="B64" s="484" t="s">
        <v>301</v>
      </c>
      <c r="C64" s="484" t="s">
        <v>466</v>
      </c>
      <c r="D64" s="271" t="s">
        <v>302</v>
      </c>
      <c r="E64" s="272">
        <v>100.73</v>
      </c>
      <c r="F64" s="270">
        <f t="shared" si="0"/>
        <v>1.0073000000000001</v>
      </c>
    </row>
    <row r="65" spans="1:6" ht="12.75" customHeight="1" x14ac:dyDescent="0.2">
      <c r="A65" s="484" t="s">
        <v>300</v>
      </c>
      <c r="B65" s="484" t="s">
        <v>301</v>
      </c>
      <c r="C65" s="484" t="s">
        <v>466</v>
      </c>
      <c r="D65" s="271" t="s">
        <v>303</v>
      </c>
      <c r="E65" s="272">
        <v>100.74</v>
      </c>
      <c r="F65" s="270">
        <f t="shared" si="0"/>
        <v>1.0074000000000001</v>
      </c>
    </row>
    <row r="66" spans="1:6" ht="12.75" customHeight="1" x14ac:dyDescent="0.2">
      <c r="A66" s="484" t="s">
        <v>300</v>
      </c>
      <c r="B66" s="484" t="s">
        <v>301</v>
      </c>
      <c r="C66" s="484" t="s">
        <v>466</v>
      </c>
      <c r="D66" s="271" t="s">
        <v>304</v>
      </c>
      <c r="E66" s="272">
        <v>104.44</v>
      </c>
      <c r="F66" s="270">
        <f t="shared" si="0"/>
        <v>1.0444</v>
      </c>
    </row>
    <row r="67" spans="1:6" ht="12.75" customHeight="1" x14ac:dyDescent="0.2">
      <c r="A67" s="484" t="s">
        <v>300</v>
      </c>
      <c r="B67" s="484" t="s">
        <v>301</v>
      </c>
      <c r="C67" s="484" t="s">
        <v>466</v>
      </c>
      <c r="D67" s="271" t="s">
        <v>305</v>
      </c>
      <c r="E67" s="272">
        <v>101.05</v>
      </c>
      <c r="F67" s="270">
        <f t="shared" si="0"/>
        <v>1.0105</v>
      </c>
    </row>
    <row r="68" spans="1:6" ht="12.75" customHeight="1" x14ac:dyDescent="0.2">
      <c r="A68" s="484" t="s">
        <v>300</v>
      </c>
      <c r="B68" s="484" t="s">
        <v>301</v>
      </c>
      <c r="C68" s="484" t="s">
        <v>466</v>
      </c>
      <c r="D68" s="271" t="s">
        <v>306</v>
      </c>
      <c r="E68" s="272">
        <v>100.71</v>
      </c>
      <c r="F68" s="270">
        <f t="shared" si="0"/>
        <v>1.0071000000000001</v>
      </c>
    </row>
    <row r="69" spans="1:6" ht="12.75" customHeight="1" x14ac:dyDescent="0.2">
      <c r="A69" s="484" t="s">
        <v>300</v>
      </c>
      <c r="B69" s="484" t="s">
        <v>301</v>
      </c>
      <c r="C69" s="484" t="s">
        <v>466</v>
      </c>
      <c r="D69" s="271" t="s">
        <v>307</v>
      </c>
      <c r="E69" s="272">
        <v>100.51</v>
      </c>
      <c r="F69" s="270">
        <f t="shared" ref="F69:F118" si="1">E69/100</f>
        <v>1.0051000000000001</v>
      </c>
    </row>
    <row r="70" spans="1:6" ht="12.75" customHeight="1" x14ac:dyDescent="0.2">
      <c r="A70" s="484" t="s">
        <v>300</v>
      </c>
      <c r="B70" s="484" t="s">
        <v>301</v>
      </c>
      <c r="C70" s="484" t="s">
        <v>466</v>
      </c>
      <c r="D70" s="271" t="s">
        <v>308</v>
      </c>
      <c r="E70" s="273">
        <v>100</v>
      </c>
      <c r="F70" s="270">
        <f t="shared" si="1"/>
        <v>1</v>
      </c>
    </row>
    <row r="71" spans="1:6" ht="12.75" customHeight="1" x14ac:dyDescent="0.2">
      <c r="A71" s="484" t="s">
        <v>300</v>
      </c>
      <c r="B71" s="484" t="s">
        <v>301</v>
      </c>
      <c r="C71" s="484" t="s">
        <v>466</v>
      </c>
      <c r="D71" s="271" t="s">
        <v>309</v>
      </c>
      <c r="E71" s="272">
        <v>100.37</v>
      </c>
      <c r="F71" s="270">
        <f t="shared" si="1"/>
        <v>1.0037</v>
      </c>
    </row>
    <row r="72" spans="1:6" ht="12.75" customHeight="1" x14ac:dyDescent="0.2">
      <c r="A72" s="484" t="s">
        <v>300</v>
      </c>
      <c r="B72" s="484" t="s">
        <v>301</v>
      </c>
      <c r="C72" s="484" t="s">
        <v>466</v>
      </c>
      <c r="D72" s="271" t="s">
        <v>310</v>
      </c>
      <c r="E72" s="272">
        <v>100.17</v>
      </c>
      <c r="F72" s="270">
        <f t="shared" si="1"/>
        <v>1.0017</v>
      </c>
    </row>
    <row r="73" spans="1:6" ht="12.75" customHeight="1" x14ac:dyDescent="0.2">
      <c r="A73" s="484" t="s">
        <v>300</v>
      </c>
      <c r="B73" s="484" t="s">
        <v>301</v>
      </c>
      <c r="C73" s="484" t="s">
        <v>466</v>
      </c>
      <c r="D73" s="271" t="s">
        <v>311</v>
      </c>
      <c r="E73" s="272">
        <v>100.32</v>
      </c>
      <c r="F73" s="270">
        <f t="shared" si="1"/>
        <v>1.0032000000000001</v>
      </c>
    </row>
    <row r="74" spans="1:6" ht="12.75" customHeight="1" x14ac:dyDescent="0.2">
      <c r="A74" s="484" t="s">
        <v>300</v>
      </c>
      <c r="B74" s="484" t="s">
        <v>301</v>
      </c>
      <c r="C74" s="484" t="s">
        <v>466</v>
      </c>
      <c r="D74" s="271" t="s">
        <v>312</v>
      </c>
      <c r="E74" s="272">
        <v>100.74</v>
      </c>
      <c r="F74" s="270">
        <f t="shared" si="1"/>
        <v>1.0074000000000001</v>
      </c>
    </row>
    <row r="75" spans="1:6" ht="12.75" customHeight="1" x14ac:dyDescent="0.2">
      <c r="A75" s="484" t="s">
        <v>300</v>
      </c>
      <c r="B75" s="484" t="s">
        <v>301</v>
      </c>
      <c r="C75" s="484" t="s">
        <v>466</v>
      </c>
      <c r="D75" s="271" t="s">
        <v>313</v>
      </c>
      <c r="E75" s="272">
        <v>100.13</v>
      </c>
      <c r="F75" s="270">
        <f t="shared" si="1"/>
        <v>1.0013000000000001</v>
      </c>
    </row>
    <row r="76" spans="1:6" ht="12.75" customHeight="1" x14ac:dyDescent="0.2">
      <c r="A76" s="484" t="s">
        <v>467</v>
      </c>
      <c r="B76" s="484" t="s">
        <v>301</v>
      </c>
      <c r="C76" s="484" t="s">
        <v>468</v>
      </c>
      <c r="D76" s="271" t="s">
        <v>302</v>
      </c>
      <c r="E76" s="272">
        <v>100.31</v>
      </c>
      <c r="F76" s="270">
        <f t="shared" si="1"/>
        <v>1.0031000000000001</v>
      </c>
    </row>
    <row r="77" spans="1:6" ht="12.75" customHeight="1" x14ac:dyDescent="0.2">
      <c r="A77" s="484" t="s">
        <v>467</v>
      </c>
      <c r="B77" s="484" t="s">
        <v>301</v>
      </c>
      <c r="C77" s="484" t="s">
        <v>468</v>
      </c>
      <c r="D77" s="271" t="s">
        <v>303</v>
      </c>
      <c r="E77" s="272">
        <v>100.9</v>
      </c>
      <c r="F77" s="270">
        <f t="shared" si="1"/>
        <v>1.0089999999999999</v>
      </c>
    </row>
    <row r="78" spans="1:6" ht="12.75" customHeight="1" x14ac:dyDescent="0.2">
      <c r="A78" s="484" t="s">
        <v>467</v>
      </c>
      <c r="B78" s="484" t="s">
        <v>301</v>
      </c>
      <c r="C78" s="484" t="s">
        <v>468</v>
      </c>
      <c r="D78" s="271" t="s">
        <v>304</v>
      </c>
      <c r="E78" s="272">
        <v>99.77</v>
      </c>
      <c r="F78" s="270">
        <f t="shared" si="1"/>
        <v>0.99770000000000003</v>
      </c>
    </row>
    <row r="79" spans="1:6" ht="12.75" customHeight="1" x14ac:dyDescent="0.2">
      <c r="A79" s="484" t="s">
        <v>467</v>
      </c>
      <c r="B79" s="484" t="s">
        <v>301</v>
      </c>
      <c r="C79" s="484" t="s">
        <v>468</v>
      </c>
      <c r="D79" s="271" t="s">
        <v>305</v>
      </c>
      <c r="E79" s="272">
        <v>100.8</v>
      </c>
      <c r="F79" s="270">
        <f t="shared" si="1"/>
        <v>1.008</v>
      </c>
    </row>
    <row r="80" spans="1:6" ht="12.75" customHeight="1" x14ac:dyDescent="0.2">
      <c r="A80" s="484" t="s">
        <v>467</v>
      </c>
      <c r="B80" s="484" t="s">
        <v>301</v>
      </c>
      <c r="C80" s="484" t="s">
        <v>468</v>
      </c>
      <c r="D80" s="271" t="s">
        <v>306</v>
      </c>
      <c r="E80" s="272">
        <v>100.13</v>
      </c>
      <c r="F80" s="270">
        <f t="shared" si="1"/>
        <v>1.0013000000000001</v>
      </c>
    </row>
    <row r="81" spans="1:6" ht="12.75" customHeight="1" x14ac:dyDescent="0.2">
      <c r="A81" s="484" t="s">
        <v>467</v>
      </c>
      <c r="B81" s="484" t="s">
        <v>301</v>
      </c>
      <c r="C81" s="484" t="s">
        <v>468</v>
      </c>
      <c r="D81" s="271" t="s">
        <v>307</v>
      </c>
      <c r="E81" s="272">
        <v>101.12</v>
      </c>
      <c r="F81" s="270">
        <f t="shared" si="1"/>
        <v>1.0112000000000001</v>
      </c>
    </row>
    <row r="82" spans="1:6" ht="12.75" customHeight="1" x14ac:dyDescent="0.2">
      <c r="A82" s="484" t="s">
        <v>467</v>
      </c>
      <c r="B82" s="484" t="s">
        <v>301</v>
      </c>
      <c r="C82" s="484" t="s">
        <v>468</v>
      </c>
      <c r="D82" s="271" t="s">
        <v>308</v>
      </c>
      <c r="E82" s="272">
        <v>101.03</v>
      </c>
      <c r="F82" s="270">
        <f t="shared" si="1"/>
        <v>1.0103</v>
      </c>
    </row>
    <row r="83" spans="1:6" ht="12.75" customHeight="1" x14ac:dyDescent="0.2">
      <c r="A83" s="484" t="s">
        <v>467</v>
      </c>
      <c r="B83" s="484" t="s">
        <v>301</v>
      </c>
      <c r="C83" s="484" t="s">
        <v>468</v>
      </c>
      <c r="D83" s="271" t="s">
        <v>309</v>
      </c>
      <c r="E83" s="272">
        <v>100.73</v>
      </c>
      <c r="F83" s="270">
        <f t="shared" si="1"/>
        <v>1.0073000000000001</v>
      </c>
    </row>
    <row r="84" spans="1:6" ht="12.75" customHeight="1" x14ac:dyDescent="0.2">
      <c r="A84" s="484" t="s">
        <v>467</v>
      </c>
      <c r="B84" s="484" t="s">
        <v>301</v>
      </c>
      <c r="C84" s="484" t="s">
        <v>468</v>
      </c>
      <c r="D84" s="271" t="s">
        <v>310</v>
      </c>
      <c r="E84" s="272">
        <v>100.48</v>
      </c>
      <c r="F84" s="270">
        <f t="shared" si="1"/>
        <v>1.0047999999999999</v>
      </c>
    </row>
    <row r="85" spans="1:6" ht="12.75" customHeight="1" x14ac:dyDescent="0.2">
      <c r="A85" s="484" t="s">
        <v>467</v>
      </c>
      <c r="B85" s="484" t="s">
        <v>301</v>
      </c>
      <c r="C85" s="484" t="s">
        <v>468</v>
      </c>
      <c r="D85" s="271" t="s">
        <v>311</v>
      </c>
      <c r="E85" s="272">
        <v>100.57</v>
      </c>
      <c r="F85" s="270">
        <f t="shared" si="1"/>
        <v>1.0057</v>
      </c>
    </row>
    <row r="86" spans="1:6" ht="12.75" customHeight="1" x14ac:dyDescent="0.2">
      <c r="A86" s="484" t="s">
        <v>467</v>
      </c>
      <c r="B86" s="484" t="s">
        <v>301</v>
      </c>
      <c r="C86" s="484" t="s">
        <v>468</v>
      </c>
      <c r="D86" s="271" t="s">
        <v>312</v>
      </c>
      <c r="E86" s="272">
        <v>99.97</v>
      </c>
      <c r="F86" s="270">
        <f t="shared" si="1"/>
        <v>0.99970000000000003</v>
      </c>
    </row>
    <row r="87" spans="1:6" ht="12.75" customHeight="1" x14ac:dyDescent="0.2">
      <c r="A87" s="484" t="s">
        <v>467</v>
      </c>
      <c r="B87" s="484" t="s">
        <v>301</v>
      </c>
      <c r="C87" s="484" t="s">
        <v>468</v>
      </c>
      <c r="D87" s="271" t="s">
        <v>313</v>
      </c>
      <c r="E87" s="272">
        <v>100.61</v>
      </c>
      <c r="F87" s="270">
        <f t="shared" si="1"/>
        <v>1.0061</v>
      </c>
    </row>
    <row r="88" spans="1:6" ht="12.75" customHeight="1" x14ac:dyDescent="0.2">
      <c r="A88" s="484" t="s">
        <v>467</v>
      </c>
      <c r="B88" s="484" t="s">
        <v>301</v>
      </c>
      <c r="C88" s="484" t="s">
        <v>297</v>
      </c>
      <c r="D88" s="271" t="s">
        <v>302</v>
      </c>
      <c r="E88" s="272">
        <v>100.16</v>
      </c>
      <c r="F88" s="270">
        <f t="shared" si="1"/>
        <v>1.0016</v>
      </c>
    </row>
    <row r="89" spans="1:6" ht="12.75" customHeight="1" x14ac:dyDescent="0.2">
      <c r="A89" s="484" t="s">
        <v>467</v>
      </c>
      <c r="B89" s="484" t="s">
        <v>301</v>
      </c>
      <c r="C89" s="484" t="s">
        <v>297</v>
      </c>
      <c r="D89" s="271" t="s">
        <v>303</v>
      </c>
      <c r="E89" s="272">
        <v>100.59</v>
      </c>
      <c r="F89" s="270">
        <f t="shared" si="1"/>
        <v>1.0059</v>
      </c>
    </row>
    <row r="90" spans="1:6" ht="12.75" customHeight="1" x14ac:dyDescent="0.2">
      <c r="A90" s="484" t="s">
        <v>467</v>
      </c>
      <c r="B90" s="484" t="s">
        <v>301</v>
      </c>
      <c r="C90" s="484" t="s">
        <v>297</v>
      </c>
      <c r="D90" s="271" t="s">
        <v>304</v>
      </c>
      <c r="E90" s="272">
        <v>100.14</v>
      </c>
      <c r="F90" s="270">
        <f t="shared" si="1"/>
        <v>1.0014000000000001</v>
      </c>
    </row>
    <row r="91" spans="1:6" ht="12.75" customHeight="1" x14ac:dyDescent="0.2">
      <c r="A91" s="484" t="s">
        <v>467</v>
      </c>
      <c r="B91" s="484" t="s">
        <v>301</v>
      </c>
      <c r="C91" s="484" t="s">
        <v>297</v>
      </c>
      <c r="D91" s="271" t="s">
        <v>305</v>
      </c>
      <c r="E91" s="272">
        <v>100.42</v>
      </c>
      <c r="F91" s="270">
        <f t="shared" si="1"/>
        <v>1.0042</v>
      </c>
    </row>
    <row r="92" spans="1:6" ht="12.75" customHeight="1" x14ac:dyDescent="0.2">
      <c r="A92" s="484" t="s">
        <v>467</v>
      </c>
      <c r="B92" s="484" t="s">
        <v>301</v>
      </c>
      <c r="C92" s="484" t="s">
        <v>297</v>
      </c>
      <c r="D92" s="271" t="s">
        <v>306</v>
      </c>
      <c r="E92" s="272">
        <v>100.47</v>
      </c>
      <c r="F92" s="270">
        <f t="shared" si="1"/>
        <v>1.0046999999999999</v>
      </c>
    </row>
    <row r="93" spans="1:6" ht="12.75" customHeight="1" x14ac:dyDescent="0.2">
      <c r="A93" s="484" t="s">
        <v>467</v>
      </c>
      <c r="B93" s="484" t="s">
        <v>301</v>
      </c>
      <c r="C93" s="484" t="s">
        <v>297</v>
      </c>
      <c r="D93" s="271" t="s">
        <v>307</v>
      </c>
      <c r="E93" s="272">
        <v>100.21</v>
      </c>
      <c r="F93" s="270">
        <f t="shared" si="1"/>
        <v>1.0021</v>
      </c>
    </row>
    <row r="94" spans="1:6" ht="12.75" customHeight="1" x14ac:dyDescent="0.2">
      <c r="A94" s="484" t="s">
        <v>467</v>
      </c>
      <c r="B94" s="484" t="s">
        <v>301</v>
      </c>
      <c r="C94" s="484" t="s">
        <v>297</v>
      </c>
      <c r="D94" s="271" t="s">
        <v>308</v>
      </c>
      <c r="E94" s="272">
        <v>100.45</v>
      </c>
      <c r="F94" s="270">
        <f t="shared" si="1"/>
        <v>1.0044999999999999</v>
      </c>
    </row>
    <row r="95" spans="1:6" ht="12.75" customHeight="1" x14ac:dyDescent="0.2">
      <c r="A95" s="484" t="s">
        <v>467</v>
      </c>
      <c r="B95" s="484" t="s">
        <v>301</v>
      </c>
      <c r="C95" s="484" t="s">
        <v>297</v>
      </c>
      <c r="D95" s="271" t="s">
        <v>309</v>
      </c>
      <c r="E95" s="272">
        <v>100.32</v>
      </c>
      <c r="F95" s="270">
        <f t="shared" si="1"/>
        <v>1.0032000000000001</v>
      </c>
    </row>
    <row r="96" spans="1:6" ht="12.75" customHeight="1" thickBot="1" x14ac:dyDescent="0.25">
      <c r="A96" s="484" t="s">
        <v>467</v>
      </c>
      <c r="B96" s="484" t="s">
        <v>301</v>
      </c>
      <c r="C96" s="484" t="s">
        <v>297</v>
      </c>
      <c r="D96" s="271" t="s">
        <v>310</v>
      </c>
      <c r="E96" s="272">
        <v>100.49</v>
      </c>
      <c r="F96" s="270">
        <f t="shared" si="1"/>
        <v>1.0048999999999999</v>
      </c>
    </row>
    <row r="97" spans="1:6" ht="12.75" customHeight="1" x14ac:dyDescent="0.2">
      <c r="A97" s="484" t="s">
        <v>467</v>
      </c>
      <c r="B97" s="484" t="s">
        <v>301</v>
      </c>
      <c r="C97" s="484" t="s">
        <v>297</v>
      </c>
      <c r="D97" s="277" t="s">
        <v>311</v>
      </c>
      <c r="E97" s="278">
        <v>100.64</v>
      </c>
      <c r="F97" s="274">
        <f t="shared" si="1"/>
        <v>1.0064</v>
      </c>
    </row>
    <row r="98" spans="1:6" ht="12.75" customHeight="1" x14ac:dyDescent="0.2">
      <c r="A98" s="484" t="s">
        <v>467</v>
      </c>
      <c r="B98" s="484" t="s">
        <v>301</v>
      </c>
      <c r="C98" s="484" t="s">
        <v>297</v>
      </c>
      <c r="D98" s="277" t="s">
        <v>312</v>
      </c>
      <c r="E98" s="278">
        <v>100.62</v>
      </c>
      <c r="F98" s="275">
        <f t="shared" si="1"/>
        <v>1.0062</v>
      </c>
    </row>
    <row r="99" spans="1:6" ht="12.75" customHeight="1" x14ac:dyDescent="0.2">
      <c r="A99" s="484" t="s">
        <v>467</v>
      </c>
      <c r="B99" s="484" t="s">
        <v>301</v>
      </c>
      <c r="C99" s="484" t="s">
        <v>297</v>
      </c>
      <c r="D99" s="277" t="s">
        <v>313</v>
      </c>
      <c r="E99" s="278">
        <v>100.48</v>
      </c>
      <c r="F99" s="275">
        <f t="shared" si="1"/>
        <v>1.0047999999999999</v>
      </c>
    </row>
    <row r="100" spans="1:6" ht="12.75" customHeight="1" x14ac:dyDescent="0.2">
      <c r="A100" s="484" t="s">
        <v>467</v>
      </c>
      <c r="B100" s="484" t="s">
        <v>301</v>
      </c>
      <c r="C100" s="484" t="s">
        <v>298</v>
      </c>
      <c r="D100" s="277" t="s">
        <v>302</v>
      </c>
      <c r="E100" s="278">
        <v>100.36</v>
      </c>
      <c r="F100" s="275">
        <f t="shared" si="1"/>
        <v>1.0036</v>
      </c>
    </row>
    <row r="101" spans="1:6" ht="12.75" customHeight="1" x14ac:dyDescent="0.2">
      <c r="A101" s="484" t="s">
        <v>467</v>
      </c>
      <c r="B101" s="484" t="s">
        <v>301</v>
      </c>
      <c r="C101" s="484" t="s">
        <v>298</v>
      </c>
      <c r="D101" s="277" t="s">
        <v>303</v>
      </c>
      <c r="E101" s="278">
        <v>99.08</v>
      </c>
      <c r="F101" s="275">
        <f t="shared" si="1"/>
        <v>0.99080000000000001</v>
      </c>
    </row>
    <row r="102" spans="1:6" ht="12.75" customHeight="1" x14ac:dyDescent="0.2">
      <c r="A102" s="484" t="s">
        <v>467</v>
      </c>
      <c r="B102" s="484" t="s">
        <v>301</v>
      </c>
      <c r="C102" s="484" t="s">
        <v>298</v>
      </c>
      <c r="D102" s="277" t="s">
        <v>304</v>
      </c>
      <c r="E102" s="278">
        <v>99.87</v>
      </c>
      <c r="F102" s="275">
        <f t="shared" si="1"/>
        <v>0.99870000000000003</v>
      </c>
    </row>
    <row r="103" spans="1:6" ht="12.75" customHeight="1" x14ac:dyDescent="0.2">
      <c r="A103" s="484" t="s">
        <v>467</v>
      </c>
      <c r="B103" s="484" t="s">
        <v>301</v>
      </c>
      <c r="C103" s="484" t="s">
        <v>298</v>
      </c>
      <c r="D103" s="277" t="s">
        <v>305</v>
      </c>
      <c r="E103" s="278">
        <v>98.37</v>
      </c>
      <c r="F103" s="275">
        <f t="shared" si="1"/>
        <v>0.98370000000000002</v>
      </c>
    </row>
    <row r="104" spans="1:6" ht="12.75" customHeight="1" x14ac:dyDescent="0.2">
      <c r="A104" s="484" t="s">
        <v>467</v>
      </c>
      <c r="B104" s="484" t="s">
        <v>301</v>
      </c>
      <c r="C104" s="484" t="s">
        <v>298</v>
      </c>
      <c r="D104" s="277" t="s">
        <v>306</v>
      </c>
      <c r="E104" s="278">
        <v>101.01</v>
      </c>
      <c r="F104" s="275">
        <f t="shared" si="1"/>
        <v>1.0101</v>
      </c>
    </row>
    <row r="105" spans="1:6" ht="12.75" customHeight="1" x14ac:dyDescent="0.2">
      <c r="A105" s="484" t="s">
        <v>467</v>
      </c>
      <c r="B105" s="484" t="s">
        <v>301</v>
      </c>
      <c r="C105" s="484" t="s">
        <v>298</v>
      </c>
      <c r="D105" s="277" t="s">
        <v>307</v>
      </c>
      <c r="E105" s="278">
        <v>102.25</v>
      </c>
      <c r="F105" s="275">
        <f t="shared" si="1"/>
        <v>1.0225</v>
      </c>
    </row>
    <row r="106" spans="1:6" ht="12.75" customHeight="1" x14ac:dyDescent="0.2">
      <c r="A106" s="484" t="s">
        <v>467</v>
      </c>
      <c r="B106" s="484" t="s">
        <v>301</v>
      </c>
      <c r="C106" s="484" t="s">
        <v>298</v>
      </c>
      <c r="D106" s="277" t="s">
        <v>308</v>
      </c>
      <c r="E106" s="278">
        <v>100.18</v>
      </c>
      <c r="F106" s="275">
        <f t="shared" si="1"/>
        <v>1.0018</v>
      </c>
    </row>
    <row r="107" spans="1:6" ht="12.75" customHeight="1" x14ac:dyDescent="0.2">
      <c r="A107" s="484" t="s">
        <v>467</v>
      </c>
      <c r="B107" s="484" t="s">
        <v>301</v>
      </c>
      <c r="C107" s="484" t="s">
        <v>298</v>
      </c>
      <c r="D107" s="277" t="s">
        <v>309</v>
      </c>
      <c r="E107" s="278">
        <v>99.81</v>
      </c>
      <c r="F107" s="275">
        <f t="shared" si="1"/>
        <v>0.99809999999999999</v>
      </c>
    </row>
    <row r="108" spans="1:6" ht="12.75" customHeight="1" x14ac:dyDescent="0.2">
      <c r="A108" s="484" t="s">
        <v>467</v>
      </c>
      <c r="B108" s="484" t="s">
        <v>301</v>
      </c>
      <c r="C108" s="484" t="s">
        <v>298</v>
      </c>
      <c r="D108" s="277" t="s">
        <v>310</v>
      </c>
      <c r="E108" s="278">
        <v>101.28</v>
      </c>
      <c r="F108" s="275">
        <f t="shared" si="1"/>
        <v>1.0127999999999999</v>
      </c>
    </row>
    <row r="109" spans="1:6" ht="12.75" customHeight="1" x14ac:dyDescent="0.2">
      <c r="A109" s="484" t="s">
        <v>467</v>
      </c>
      <c r="B109" s="484" t="s">
        <v>301</v>
      </c>
      <c r="C109" s="484" t="s">
        <v>298</v>
      </c>
      <c r="D109" s="277" t="s">
        <v>311</v>
      </c>
      <c r="E109" s="278">
        <v>100.18</v>
      </c>
      <c r="F109" s="275">
        <f t="shared" si="1"/>
        <v>1.0018</v>
      </c>
    </row>
    <row r="110" spans="1:6" ht="12.75" customHeight="1" x14ac:dyDescent="0.2">
      <c r="A110" s="484" t="s">
        <v>467</v>
      </c>
      <c r="B110" s="484" t="s">
        <v>301</v>
      </c>
      <c r="C110" s="484" t="s">
        <v>298</v>
      </c>
      <c r="D110" s="277" t="s">
        <v>312</v>
      </c>
      <c r="E110" s="278">
        <v>100.67</v>
      </c>
      <c r="F110" s="275">
        <f t="shared" si="1"/>
        <v>1.0066999999999999</v>
      </c>
    </row>
    <row r="111" spans="1:6" ht="12.75" customHeight="1" x14ac:dyDescent="0.2">
      <c r="A111" s="484" t="s">
        <v>467</v>
      </c>
      <c r="B111" s="484" t="s">
        <v>301</v>
      </c>
      <c r="C111" s="484" t="s">
        <v>298</v>
      </c>
      <c r="D111" s="277" t="s">
        <v>313</v>
      </c>
      <c r="E111" s="278">
        <v>100.1</v>
      </c>
      <c r="F111" s="275">
        <f t="shared" si="1"/>
        <v>1.0009999999999999</v>
      </c>
    </row>
    <row r="112" spans="1:6" ht="12.75" customHeight="1" x14ac:dyDescent="0.2">
      <c r="A112" s="484" t="s">
        <v>467</v>
      </c>
      <c r="B112" s="484" t="s">
        <v>301</v>
      </c>
      <c r="C112" s="484" t="s">
        <v>469</v>
      </c>
      <c r="D112" s="277" t="s">
        <v>302</v>
      </c>
      <c r="E112" s="278">
        <v>100.72</v>
      </c>
      <c r="F112" s="275">
        <f t="shared" si="1"/>
        <v>1.0072000000000001</v>
      </c>
    </row>
    <row r="113" spans="1:6" ht="12.75" customHeight="1" x14ac:dyDescent="0.2">
      <c r="A113" s="484" t="s">
        <v>467</v>
      </c>
      <c r="B113" s="484" t="s">
        <v>301</v>
      </c>
      <c r="C113" s="484" t="s">
        <v>469</v>
      </c>
      <c r="D113" s="277" t="s">
        <v>303</v>
      </c>
      <c r="E113" s="278">
        <v>100.08</v>
      </c>
      <c r="F113" s="275">
        <f t="shared" si="1"/>
        <v>1.0007999999999999</v>
      </c>
    </row>
    <row r="114" spans="1:6" ht="12.75" customHeight="1" x14ac:dyDescent="0.2">
      <c r="A114" s="484" t="s">
        <v>467</v>
      </c>
      <c r="B114" s="484" t="s">
        <v>301</v>
      </c>
      <c r="C114" s="484" t="s">
        <v>469</v>
      </c>
      <c r="D114" s="277" t="s">
        <v>304</v>
      </c>
      <c r="E114" s="278">
        <v>101.7</v>
      </c>
      <c r="F114" s="275">
        <f t="shared" si="1"/>
        <v>1.0169999999999999</v>
      </c>
    </row>
    <row r="115" spans="1:6" ht="12.75" customHeight="1" x14ac:dyDescent="0.2">
      <c r="A115" s="484" t="s">
        <v>467</v>
      </c>
      <c r="B115" s="484" t="s">
        <v>301</v>
      </c>
      <c r="C115" s="484" t="s">
        <v>469</v>
      </c>
      <c r="D115" s="277" t="s">
        <v>305</v>
      </c>
      <c r="E115" s="278">
        <v>98.74</v>
      </c>
      <c r="F115" s="275">
        <f t="shared" si="1"/>
        <v>0.98740000000000006</v>
      </c>
    </row>
    <row r="116" spans="1:6" ht="12.75" customHeight="1" x14ac:dyDescent="0.2">
      <c r="A116" s="484" t="s">
        <v>467</v>
      </c>
      <c r="B116" s="484" t="s">
        <v>301</v>
      </c>
      <c r="C116" s="484" t="s">
        <v>469</v>
      </c>
      <c r="D116" s="277" t="s">
        <v>306</v>
      </c>
      <c r="E116" s="278">
        <v>100.13</v>
      </c>
      <c r="F116" s="275">
        <f t="shared" si="1"/>
        <v>1.0013000000000001</v>
      </c>
    </row>
    <row r="117" spans="1:6" ht="12.75" customHeight="1" x14ac:dyDescent="0.2">
      <c r="A117" s="484" t="s">
        <v>467</v>
      </c>
      <c r="B117" s="484" t="s">
        <v>301</v>
      </c>
      <c r="C117" s="484" t="s">
        <v>469</v>
      </c>
      <c r="D117" s="277" t="s">
        <v>307</v>
      </c>
      <c r="E117" s="278">
        <v>100.88</v>
      </c>
      <c r="F117" s="275">
        <f t="shared" si="1"/>
        <v>1.0087999999999999</v>
      </c>
    </row>
    <row r="118" spans="1:6" ht="13.5" thickBot="1" x14ac:dyDescent="0.25">
      <c r="D118" s="277" t="s">
        <v>470</v>
      </c>
      <c r="E118" s="279">
        <f>E117</f>
        <v>100.88</v>
      </c>
      <c r="F118" s="276">
        <f t="shared" si="1"/>
        <v>1.0087999999999999</v>
      </c>
    </row>
    <row r="119" spans="1:6" ht="30" customHeight="1" x14ac:dyDescent="0.2">
      <c r="A119" s="485" t="s">
        <v>453</v>
      </c>
      <c r="B119" s="485"/>
      <c r="C119" s="485"/>
      <c r="D119" s="485"/>
      <c r="E119" s="485"/>
      <c r="F119" s="485"/>
    </row>
    <row r="121" spans="1:6" ht="40.5" customHeight="1" x14ac:dyDescent="0.2">
      <c r="A121" s="487" t="s">
        <v>471</v>
      </c>
      <c r="B121" s="487"/>
      <c r="C121" s="487"/>
      <c r="D121" s="487"/>
      <c r="E121" s="487"/>
      <c r="F121" s="488">
        <f>PRODUCT(F97:F118)</f>
        <v>1.0826</v>
      </c>
    </row>
    <row r="122" spans="1:6" x14ac:dyDescent="0.2">
      <c r="A122" s="486" t="s">
        <v>472</v>
      </c>
      <c r="B122" s="486"/>
      <c r="C122" s="486"/>
      <c r="D122" s="486"/>
      <c r="E122" s="486"/>
      <c r="F122" s="488"/>
    </row>
  </sheetData>
  <mergeCells count="20">
    <mergeCell ref="A119:F119"/>
    <mergeCell ref="A122:E122"/>
    <mergeCell ref="A121:E121"/>
    <mergeCell ref="F121:F122"/>
    <mergeCell ref="A76:A117"/>
    <mergeCell ref="B76:B117"/>
    <mergeCell ref="C76:C87"/>
    <mergeCell ref="C88:C99"/>
    <mergeCell ref="C100:C111"/>
    <mergeCell ref="C112:C117"/>
    <mergeCell ref="A1:Z1"/>
    <mergeCell ref="A3:D3"/>
    <mergeCell ref="A4:A75"/>
    <mergeCell ref="B4:B75"/>
    <mergeCell ref="C4:C15"/>
    <mergeCell ref="C16:C27"/>
    <mergeCell ref="C28:C39"/>
    <mergeCell ref="C40:C51"/>
    <mergeCell ref="C52:C63"/>
    <mergeCell ref="C64:C75"/>
  </mergeCells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opLeftCell="A36" workbookViewId="0">
      <selection activeCell="G33" sqref="G33"/>
    </sheetView>
  </sheetViews>
  <sheetFormatPr defaultColWidth="9.140625" defaultRowHeight="28.5" customHeight="1" outlineLevelRow="1" x14ac:dyDescent="0.2"/>
  <cols>
    <col min="1" max="1" width="25.7109375" style="128" customWidth="1"/>
    <col min="2" max="2" width="9.140625" style="128"/>
    <col min="3" max="3" width="14.140625" style="128" customWidth="1"/>
    <col min="4" max="4" width="13" style="128" customWidth="1"/>
    <col min="5" max="5" width="21" style="128" customWidth="1"/>
    <col min="6" max="7" width="13.42578125" style="128" customWidth="1"/>
    <col min="8" max="8" width="14" style="128" customWidth="1"/>
    <col min="9" max="9" width="10.140625" style="128" bestFit="1" customWidth="1"/>
    <col min="10" max="10" width="9.140625" style="128"/>
    <col min="11" max="11" width="10.140625" style="128" bestFit="1" customWidth="1"/>
    <col min="12" max="24" width="9.140625" style="128"/>
    <col min="25" max="25" width="12.42578125" style="128" customWidth="1"/>
    <col min="26" max="16384" width="9.140625" style="128"/>
  </cols>
  <sheetData>
    <row r="1" spans="1:8" ht="28.5" customHeight="1" x14ac:dyDescent="0.2">
      <c r="A1" s="497" t="s">
        <v>314</v>
      </c>
      <c r="B1" s="497"/>
      <c r="C1" s="497"/>
      <c r="D1" s="497"/>
      <c r="E1" s="497"/>
      <c r="F1" s="497"/>
    </row>
    <row r="3" spans="1:8" ht="28.5" customHeight="1" x14ac:dyDescent="0.2">
      <c r="A3" s="129" t="s">
        <v>315</v>
      </c>
    </row>
    <row r="4" spans="1:8" ht="12.75" x14ac:dyDescent="0.2"/>
    <row r="5" spans="1:8" s="138" customFormat="1" ht="15.75" outlineLevel="1" x14ac:dyDescent="0.25">
      <c r="A5" s="498" t="s">
        <v>316</v>
      </c>
      <c r="B5" s="498"/>
      <c r="C5" s="498"/>
      <c r="D5" s="498"/>
      <c r="E5" s="498"/>
      <c r="F5" s="246">
        <v>46235</v>
      </c>
    </row>
    <row r="6" spans="1:8" s="138" customFormat="1" ht="15.75" outlineLevel="1" x14ac:dyDescent="0.25">
      <c r="A6" s="499" t="s">
        <v>318</v>
      </c>
      <c r="B6" s="500"/>
      <c r="C6" s="500"/>
      <c r="D6" s="500"/>
      <c r="E6" s="501"/>
      <c r="F6" s="267">
        <f>'График 2026-2028'!$F$15</f>
        <v>46305</v>
      </c>
      <c r="G6" s="243">
        <v>46387</v>
      </c>
      <c r="H6" s="269" t="s">
        <v>459</v>
      </c>
    </row>
    <row r="7" spans="1:8" s="138" customFormat="1" ht="15.75" outlineLevel="1" x14ac:dyDescent="0.25">
      <c r="A7" s="499" t="s">
        <v>319</v>
      </c>
      <c r="B7" s="500"/>
      <c r="C7" s="500"/>
      <c r="D7" s="500"/>
      <c r="E7" s="501"/>
      <c r="F7" s="268">
        <f>'График 2026-2028'!$G$15</f>
        <v>46476</v>
      </c>
      <c r="G7" s="243">
        <v>46388</v>
      </c>
      <c r="H7" s="269" t="s">
        <v>460</v>
      </c>
    </row>
    <row r="8" spans="1:8" s="138" customFormat="1" ht="15.75" outlineLevel="1" x14ac:dyDescent="0.25">
      <c r="A8" s="499" t="s">
        <v>328</v>
      </c>
      <c r="B8" s="500"/>
      <c r="C8" s="500"/>
      <c r="D8" s="500"/>
      <c r="E8" s="501"/>
      <c r="F8" s="247">
        <f>ROUNDUP((F7-F6)/30.5,1)</f>
        <v>5.7</v>
      </c>
    </row>
    <row r="9" spans="1:8" s="138" customFormat="1" ht="18.75" outlineLevel="1" x14ac:dyDescent="0.25">
      <c r="A9" s="496" t="s">
        <v>473</v>
      </c>
      <c r="B9" s="496"/>
      <c r="C9" s="496"/>
      <c r="D9" s="496"/>
      <c r="E9" s="496"/>
      <c r="F9" s="248">
        <f>(G6-F6)/30.5/F8</f>
        <v>0.47</v>
      </c>
    </row>
    <row r="10" spans="1:8" s="138" customFormat="1" ht="18.75" outlineLevel="1" x14ac:dyDescent="0.25">
      <c r="A10" s="496" t="s">
        <v>474</v>
      </c>
      <c r="B10" s="496"/>
      <c r="C10" s="496"/>
      <c r="D10" s="496"/>
      <c r="E10" s="496"/>
      <c r="F10" s="248">
        <f>1-F9</f>
        <v>0.53</v>
      </c>
    </row>
    <row r="11" spans="1:8" s="138" customFormat="1" ht="35.25" customHeight="1" outlineLevel="1" x14ac:dyDescent="0.25">
      <c r="A11" s="490" t="s">
        <v>475</v>
      </c>
      <c r="B11" s="490"/>
      <c r="C11" s="490"/>
      <c r="D11" s="490"/>
      <c r="E11" s="490"/>
      <c r="F11" s="249">
        <v>1.0549999999999999</v>
      </c>
    </row>
    <row r="12" spans="1:8" s="138" customFormat="1" ht="15.75" outlineLevel="1" x14ac:dyDescent="0.25">
      <c r="A12" s="489" t="s">
        <v>335</v>
      </c>
      <c r="B12" s="489"/>
      <c r="C12" s="489"/>
      <c r="D12" s="250">
        <f>F11</f>
        <v>1.0549999999999999</v>
      </c>
      <c r="E12" s="143" t="s">
        <v>323</v>
      </c>
      <c r="F12" s="251">
        <f>F11^(1/12)</f>
        <v>1.0044999999999999</v>
      </c>
    </row>
    <row r="13" spans="1:8" s="138" customFormat="1" ht="33" customHeight="1" outlineLevel="1" x14ac:dyDescent="0.25">
      <c r="A13" s="490" t="s">
        <v>476</v>
      </c>
      <c r="B13" s="490"/>
      <c r="C13" s="490"/>
      <c r="D13" s="490"/>
      <c r="E13" s="490"/>
      <c r="F13" s="249">
        <v>1.0409999999999999</v>
      </c>
    </row>
    <row r="14" spans="1:8" s="138" customFormat="1" ht="15.75" outlineLevel="1" x14ac:dyDescent="0.25">
      <c r="A14" s="489" t="s">
        <v>457</v>
      </c>
      <c r="B14" s="489"/>
      <c r="C14" s="489"/>
      <c r="D14" s="250">
        <f>F13</f>
        <v>1.0409999999999999</v>
      </c>
      <c r="E14" s="143" t="s">
        <v>323</v>
      </c>
      <c r="F14" s="251">
        <f>F13^(1/12)</f>
        <v>1.0034000000000001</v>
      </c>
    </row>
    <row r="15" spans="1:8" s="138" customFormat="1" ht="15.75" customHeight="1" outlineLevel="1" x14ac:dyDescent="0.25">
      <c r="A15" s="252" t="s">
        <v>477</v>
      </c>
      <c r="B15" s="252"/>
      <c r="C15" s="510" t="str">
        <f>CONCATENATE("(",F12,"^",ROUNDUP((F6-F5)/30.5,1),"+",F12,"^",ROUNDUP((G6-F5)/30.5,1),")/2")</f>
        <v>(1,0045^2,3+1,0045^5)/2</v>
      </c>
      <c r="D15" s="511"/>
      <c r="E15" s="512"/>
      <c r="F15" s="253">
        <f>(F12^ROUNDUP((F6-F5)/30.5,1)+F12^ROUNDUP((G6-F5)/30.5,1))/2</f>
        <v>1.0165</v>
      </c>
      <c r="H15" s="254"/>
    </row>
    <row r="16" spans="1:8" s="138" customFormat="1" ht="40.5" customHeight="1" outlineLevel="1" x14ac:dyDescent="0.25">
      <c r="A16" s="252" t="s">
        <v>478</v>
      </c>
      <c r="B16" s="252"/>
      <c r="C16" s="510" t="str">
        <f>CONCATENATE(F12,"^",ROUNDUP((G6-F5)/30.5,1),"*","(1+",F14,"^",ROUNDUP((F7-G7+1)/30.5,1),")/2")</f>
        <v>1,0045^5*(1+1,0034^3)/2</v>
      </c>
      <c r="D16" s="511"/>
      <c r="E16" s="512"/>
      <c r="F16" s="253">
        <f>F12^ROUNDUP((G6-F5)/30.5,1)*(1+F14^ROUNDUP((F7-G7+1)/30.5,1))/2</f>
        <v>1.0279</v>
      </c>
      <c r="H16" s="254"/>
    </row>
    <row r="17" spans="1:25" s="138" customFormat="1" ht="34.5" customHeight="1" outlineLevel="1" x14ac:dyDescent="0.25">
      <c r="A17" s="513" t="s">
        <v>324</v>
      </c>
      <c r="B17" s="492"/>
      <c r="C17" s="510" t="str">
        <f>CONCATENATE(F9,"*",F15,"+",F10,"*",F16)</f>
        <v>0,47*1,0165+0,53*1,0279</v>
      </c>
      <c r="D17" s="511"/>
      <c r="E17" s="512"/>
      <c r="F17" s="144">
        <f>F9*F15+F10*F16</f>
        <v>1.0225</v>
      </c>
      <c r="H17" s="242"/>
    </row>
    <row r="18" spans="1:25" s="138" customFormat="1" ht="15.75" outlineLevel="1" x14ac:dyDescent="0.25">
      <c r="A18" s="255"/>
      <c r="B18" s="255"/>
      <c r="C18" s="256"/>
      <c r="D18" s="256"/>
      <c r="E18" s="256"/>
      <c r="F18" s="257"/>
      <c r="H18" s="242"/>
    </row>
    <row r="19" spans="1:25" ht="28.5" customHeight="1" x14ac:dyDescent="0.2">
      <c r="A19" s="129" t="s">
        <v>454</v>
      </c>
    </row>
    <row r="20" spans="1:25" ht="12.75" x14ac:dyDescent="0.2"/>
    <row r="21" spans="1:25" s="234" customFormat="1" ht="28.5" customHeight="1" x14ac:dyDescent="0.25">
      <c r="A21" s="505" t="s">
        <v>316</v>
      </c>
      <c r="B21" s="505"/>
      <c r="C21" s="505"/>
      <c r="D21" s="505"/>
      <c r="E21" s="505"/>
      <c r="F21" s="130">
        <f>F5</f>
        <v>46235</v>
      </c>
      <c r="G21" s="131"/>
      <c r="H21" s="132"/>
      <c r="I21" s="133"/>
      <c r="J21" s="133" t="s">
        <v>317</v>
      </c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5"/>
    </row>
    <row r="22" spans="1:25" s="234" customFormat="1" ht="28.5" customHeight="1" x14ac:dyDescent="0.25">
      <c r="A22" s="506" t="s">
        <v>318</v>
      </c>
      <c r="B22" s="507"/>
      <c r="C22" s="507"/>
      <c r="D22" s="507"/>
      <c r="E22" s="508"/>
      <c r="F22" s="130">
        <f>'График 2026-2028'!$F$16</f>
        <v>46305</v>
      </c>
      <c r="G22" s="136"/>
      <c r="H22" s="137"/>
      <c r="I22" s="138"/>
      <c r="J22" s="138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40"/>
    </row>
    <row r="23" spans="1:25" s="234" customFormat="1" ht="28.5" customHeight="1" x14ac:dyDescent="0.25">
      <c r="A23" s="506" t="s">
        <v>319</v>
      </c>
      <c r="B23" s="507"/>
      <c r="C23" s="507"/>
      <c r="D23" s="507"/>
      <c r="E23" s="508"/>
      <c r="F23" s="141">
        <f>'График 2026-2028'!$G$16</f>
        <v>46315</v>
      </c>
      <c r="G23" s="131"/>
      <c r="H23" s="502" t="s">
        <v>320</v>
      </c>
      <c r="I23" s="503"/>
      <c r="J23" s="503"/>
      <c r="K23" s="503"/>
      <c r="L23" s="503"/>
      <c r="M23" s="503"/>
      <c r="N23" s="503"/>
      <c r="O23" s="503"/>
      <c r="P23" s="503"/>
      <c r="Q23" s="503"/>
      <c r="R23" s="503"/>
      <c r="S23" s="503"/>
      <c r="T23" s="503"/>
      <c r="U23" s="503"/>
      <c r="V23" s="503"/>
      <c r="W23" s="503"/>
      <c r="X23" s="503"/>
      <c r="Y23" s="504"/>
    </row>
    <row r="24" spans="1:25" s="234" customFormat="1" ht="28.5" customHeight="1" x14ac:dyDescent="0.25">
      <c r="A24" s="506" t="s">
        <v>321</v>
      </c>
      <c r="B24" s="507"/>
      <c r="C24" s="507"/>
      <c r="D24" s="507"/>
      <c r="E24" s="508"/>
      <c r="F24" s="147">
        <f>ROUNDUP((F23-F21)/30.5,1)</f>
        <v>2.7</v>
      </c>
      <c r="G24" s="142"/>
      <c r="H24" s="502"/>
      <c r="I24" s="503"/>
      <c r="J24" s="503"/>
      <c r="K24" s="503"/>
      <c r="L24" s="503"/>
      <c r="M24" s="503"/>
      <c r="N24" s="503"/>
      <c r="O24" s="503"/>
      <c r="P24" s="503"/>
      <c r="Q24" s="503"/>
      <c r="R24" s="503"/>
      <c r="S24" s="503"/>
      <c r="T24" s="503"/>
      <c r="U24" s="503"/>
      <c r="V24" s="503"/>
      <c r="W24" s="503"/>
      <c r="X24" s="503"/>
      <c r="Y24" s="504"/>
    </row>
    <row r="25" spans="1:25" s="234" customFormat="1" ht="39.75" customHeight="1" x14ac:dyDescent="0.25">
      <c r="A25" s="490" t="s">
        <v>475</v>
      </c>
      <c r="B25" s="490"/>
      <c r="C25" s="490"/>
      <c r="D25" s="490"/>
      <c r="E25" s="490"/>
      <c r="F25" s="249">
        <v>1.0549999999999999</v>
      </c>
      <c r="G25" s="138"/>
      <c r="H25" s="245" t="s">
        <v>322</v>
      </c>
      <c r="I25" s="138"/>
      <c r="J25" s="138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40"/>
    </row>
    <row r="26" spans="1:25" s="234" customFormat="1" ht="28.5" customHeight="1" x14ac:dyDescent="0.25">
      <c r="A26" s="489" t="s">
        <v>335</v>
      </c>
      <c r="B26" s="489"/>
      <c r="C26" s="489"/>
      <c r="D26" s="250">
        <f>F25</f>
        <v>1.0549999999999999</v>
      </c>
      <c r="E26" s="143" t="s">
        <v>323</v>
      </c>
      <c r="F26" s="251">
        <f>F25^(1/12)</f>
        <v>1.0044999999999999</v>
      </c>
      <c r="G26" s="138"/>
      <c r="H26" s="514" t="s">
        <v>325</v>
      </c>
      <c r="I26" s="515"/>
      <c r="J26" s="515"/>
      <c r="K26" s="515"/>
      <c r="L26" s="515"/>
      <c r="M26" s="515"/>
      <c r="N26" s="515"/>
      <c r="O26" s="515"/>
      <c r="P26" s="515"/>
      <c r="Q26" s="515"/>
      <c r="R26" s="515"/>
      <c r="S26" s="515"/>
      <c r="T26" s="515"/>
      <c r="U26" s="515"/>
      <c r="V26" s="515"/>
      <c r="W26" s="515"/>
      <c r="X26" s="515"/>
      <c r="Y26" s="516"/>
    </row>
    <row r="27" spans="1:25" s="234" customFormat="1" ht="28.5" customHeight="1" x14ac:dyDescent="0.25">
      <c r="A27" s="491" t="s">
        <v>324</v>
      </c>
      <c r="B27" s="492"/>
      <c r="C27" s="493" t="str">
        <f>CONCATENATE("(",F26,"^",ROUNDUP((F23-F21)/30.5,1),"-1)/2+1")</f>
        <v>(1,0045^2,7-1)/2+1</v>
      </c>
      <c r="D27" s="494"/>
      <c r="E27" s="495"/>
      <c r="F27" s="144">
        <f>(ROUND(((F26^ROUNDUP((F23-F21)/30.5,1)-1)/2)+1,4))</f>
        <v>1.0061</v>
      </c>
      <c r="G27" s="145"/>
      <c r="H27" s="514" t="s">
        <v>326</v>
      </c>
      <c r="I27" s="515"/>
      <c r="J27" s="515"/>
      <c r="K27" s="515"/>
      <c r="L27" s="515"/>
      <c r="M27" s="515"/>
      <c r="N27" s="515"/>
      <c r="O27" s="515"/>
      <c r="P27" s="515"/>
      <c r="Q27" s="515"/>
      <c r="R27" s="515"/>
      <c r="S27" s="515"/>
      <c r="T27" s="515"/>
      <c r="U27" s="515"/>
      <c r="V27" s="515"/>
      <c r="W27" s="515"/>
      <c r="X27" s="515"/>
      <c r="Y27" s="516"/>
    </row>
    <row r="28" spans="1:25" ht="28.5" customHeight="1" x14ac:dyDescent="0.2">
      <c r="H28" s="517" t="s">
        <v>327</v>
      </c>
      <c r="I28" s="518"/>
      <c r="J28" s="518"/>
      <c r="K28" s="518"/>
      <c r="L28" s="518"/>
      <c r="M28" s="518"/>
      <c r="N28" s="518"/>
      <c r="O28" s="518"/>
      <c r="P28" s="518"/>
      <c r="Q28" s="518"/>
      <c r="R28" s="518"/>
      <c r="S28" s="518"/>
      <c r="T28" s="518"/>
      <c r="U28" s="518"/>
      <c r="V28" s="518"/>
      <c r="W28" s="518"/>
      <c r="X28" s="518"/>
      <c r="Y28" s="519"/>
    </row>
    <row r="29" spans="1:25" ht="28.5" customHeight="1" x14ac:dyDescent="0.2">
      <c r="A29" s="129" t="s">
        <v>455</v>
      </c>
    </row>
    <row r="30" spans="1:25" ht="15.75" x14ac:dyDescent="0.25"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</row>
    <row r="31" spans="1:25" s="260" customFormat="1" ht="15.75" outlineLevel="1" x14ac:dyDescent="0.25">
      <c r="A31" s="520" t="s">
        <v>316</v>
      </c>
      <c r="B31" s="520"/>
      <c r="C31" s="520"/>
      <c r="D31" s="520"/>
      <c r="E31" s="520"/>
      <c r="F31" s="258">
        <f>F5</f>
        <v>46235</v>
      </c>
      <c r="G31" s="259">
        <v>46387</v>
      </c>
      <c r="H31" s="521"/>
      <c r="I31" s="522"/>
      <c r="J31" s="522"/>
      <c r="K31" s="522"/>
      <c r="L31" s="522"/>
      <c r="M31" s="522"/>
      <c r="N31" s="522"/>
      <c r="O31" s="522"/>
      <c r="P31" s="522"/>
      <c r="Q31" s="522"/>
      <c r="R31" s="522"/>
      <c r="S31" s="522"/>
      <c r="T31" s="522"/>
      <c r="U31" s="522"/>
      <c r="V31" s="522"/>
      <c r="W31" s="522"/>
      <c r="X31" s="522"/>
      <c r="Y31" s="523"/>
    </row>
    <row r="32" spans="1:25" s="260" customFormat="1" ht="15.75" outlineLevel="1" x14ac:dyDescent="0.25">
      <c r="A32" s="524" t="s">
        <v>318</v>
      </c>
      <c r="B32" s="525"/>
      <c r="C32" s="525"/>
      <c r="D32" s="525"/>
      <c r="E32" s="526"/>
      <c r="F32" s="239">
        <f>'График 2026-2028'!$F$11</f>
        <v>46305</v>
      </c>
      <c r="G32" s="259">
        <v>46387</v>
      </c>
      <c r="H32" s="148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0"/>
      <c r="W32" s="240"/>
      <c r="X32" s="240"/>
      <c r="Y32" s="149"/>
    </row>
    <row r="33" spans="1:25" s="260" customFormat="1" ht="52.5" customHeight="1" outlineLevel="1" x14ac:dyDescent="0.25">
      <c r="A33" s="524" t="s">
        <v>319</v>
      </c>
      <c r="B33" s="525"/>
      <c r="C33" s="525"/>
      <c r="D33" s="525"/>
      <c r="E33" s="526"/>
      <c r="F33" s="239">
        <f>'График 2026-2028'!$G$18</f>
        <v>47058</v>
      </c>
      <c r="G33" s="259">
        <v>46753</v>
      </c>
      <c r="H33" s="502" t="s">
        <v>329</v>
      </c>
      <c r="I33" s="527"/>
      <c r="J33" s="527"/>
      <c r="K33" s="527"/>
      <c r="L33" s="527"/>
      <c r="M33" s="527"/>
      <c r="N33" s="527"/>
      <c r="O33" s="527"/>
      <c r="P33" s="527"/>
      <c r="Q33" s="527"/>
      <c r="R33" s="527"/>
      <c r="S33" s="527"/>
      <c r="T33" s="527"/>
      <c r="U33" s="527"/>
      <c r="V33" s="527"/>
      <c r="W33" s="527"/>
      <c r="X33" s="527"/>
      <c r="Y33" s="504"/>
    </row>
    <row r="34" spans="1:25" s="260" customFormat="1" ht="15.75" outlineLevel="1" x14ac:dyDescent="0.25">
      <c r="A34" s="524" t="s">
        <v>328</v>
      </c>
      <c r="B34" s="525"/>
      <c r="C34" s="525"/>
      <c r="D34" s="525"/>
      <c r="E34" s="526"/>
      <c r="F34" s="261">
        <f>ROUNDUP((F33-F32)/30.5,1)</f>
        <v>24.7</v>
      </c>
      <c r="H34" s="148"/>
      <c r="I34" s="240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44"/>
    </row>
    <row r="35" spans="1:25" s="260" customFormat="1" ht="18.75" outlineLevel="1" x14ac:dyDescent="0.25">
      <c r="A35" s="509" t="s">
        <v>473</v>
      </c>
      <c r="B35" s="509"/>
      <c r="C35" s="509"/>
      <c r="D35" s="509"/>
      <c r="E35" s="509"/>
      <c r="F35" s="263">
        <f>(G31-F32)/30.5/F34</f>
        <v>0.11</v>
      </c>
      <c r="H35" s="148"/>
      <c r="I35" s="240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44"/>
    </row>
    <row r="36" spans="1:25" s="260" customFormat="1" ht="18.75" outlineLevel="1" x14ac:dyDescent="0.25">
      <c r="A36" s="509" t="s">
        <v>479</v>
      </c>
      <c r="B36" s="509"/>
      <c r="C36" s="509"/>
      <c r="D36" s="509"/>
      <c r="E36" s="509"/>
      <c r="F36" s="263">
        <f>12/F34</f>
        <v>0.49</v>
      </c>
      <c r="H36" s="514" t="s">
        <v>330</v>
      </c>
      <c r="I36" s="515"/>
      <c r="J36" s="515"/>
      <c r="K36" s="515"/>
      <c r="L36" s="515"/>
      <c r="M36" s="515"/>
      <c r="N36" s="515"/>
      <c r="O36" s="515"/>
      <c r="P36" s="515"/>
      <c r="Q36" s="515"/>
      <c r="R36" s="515"/>
      <c r="S36" s="515"/>
      <c r="T36" s="515"/>
      <c r="U36" s="515"/>
      <c r="V36" s="515"/>
      <c r="W36" s="515"/>
      <c r="X36" s="515"/>
      <c r="Y36" s="516"/>
    </row>
    <row r="37" spans="1:25" s="260" customFormat="1" ht="18.75" outlineLevel="1" x14ac:dyDescent="0.25">
      <c r="A37" s="509" t="s">
        <v>480</v>
      </c>
      <c r="B37" s="509"/>
      <c r="C37" s="509"/>
      <c r="D37" s="509"/>
      <c r="E37" s="509"/>
      <c r="F37" s="263">
        <f>1-F35-F36</f>
        <v>0.4</v>
      </c>
      <c r="H37" s="148"/>
      <c r="I37" s="240"/>
      <c r="J37" s="241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149"/>
    </row>
    <row r="38" spans="1:25" s="260" customFormat="1" ht="35.25" customHeight="1" outlineLevel="1" x14ac:dyDescent="0.25">
      <c r="A38" s="490" t="s">
        <v>475</v>
      </c>
      <c r="B38" s="490"/>
      <c r="C38" s="490"/>
      <c r="D38" s="490"/>
      <c r="E38" s="490"/>
      <c r="F38" s="249">
        <v>1.0549999999999999</v>
      </c>
      <c r="H38" s="514" t="s">
        <v>331</v>
      </c>
      <c r="I38" s="515"/>
      <c r="J38" s="515"/>
      <c r="K38" s="515"/>
      <c r="L38" s="515"/>
      <c r="M38" s="515"/>
      <c r="N38" s="515"/>
      <c r="O38" s="515"/>
      <c r="P38" s="515"/>
      <c r="Q38" s="515"/>
      <c r="R38" s="515"/>
      <c r="S38" s="515"/>
      <c r="T38" s="515"/>
      <c r="U38" s="515"/>
      <c r="V38" s="515"/>
      <c r="W38" s="515"/>
      <c r="X38" s="515"/>
      <c r="Y38" s="516"/>
    </row>
    <row r="39" spans="1:25" s="260" customFormat="1" ht="40.5" customHeight="1" outlineLevel="1" x14ac:dyDescent="0.25">
      <c r="A39" s="489" t="s">
        <v>335</v>
      </c>
      <c r="B39" s="489"/>
      <c r="C39" s="489"/>
      <c r="D39" s="250">
        <f>F38</f>
        <v>1.0549999999999999</v>
      </c>
      <c r="E39" s="143" t="s">
        <v>323</v>
      </c>
      <c r="F39" s="251">
        <f>F38^(1/12)</f>
        <v>1.0044999999999999</v>
      </c>
      <c r="H39" s="502" t="s">
        <v>332</v>
      </c>
      <c r="I39" s="527"/>
      <c r="J39" s="527"/>
      <c r="K39" s="527"/>
      <c r="L39" s="527"/>
      <c r="M39" s="527"/>
      <c r="N39" s="527"/>
      <c r="O39" s="527"/>
      <c r="P39" s="527"/>
      <c r="Q39" s="527"/>
      <c r="R39" s="527"/>
      <c r="S39" s="527"/>
      <c r="T39" s="527"/>
      <c r="U39" s="527"/>
      <c r="V39" s="527"/>
      <c r="W39" s="527"/>
      <c r="X39" s="527"/>
      <c r="Y39" s="504"/>
    </row>
    <row r="40" spans="1:25" s="260" customFormat="1" ht="35.25" customHeight="1" outlineLevel="1" x14ac:dyDescent="0.25">
      <c r="A40" s="490" t="s">
        <v>476</v>
      </c>
      <c r="B40" s="490"/>
      <c r="C40" s="490"/>
      <c r="D40" s="490"/>
      <c r="E40" s="490"/>
      <c r="F40" s="249">
        <v>1.0409999999999999</v>
      </c>
      <c r="H40" s="514" t="s">
        <v>333</v>
      </c>
      <c r="I40" s="515"/>
      <c r="J40" s="515"/>
      <c r="K40" s="515"/>
      <c r="L40" s="515"/>
      <c r="M40" s="515"/>
      <c r="N40" s="515"/>
      <c r="O40" s="515"/>
      <c r="P40" s="515"/>
      <c r="Q40" s="515"/>
      <c r="R40" s="515"/>
      <c r="S40" s="515"/>
      <c r="T40" s="515"/>
      <c r="U40" s="515"/>
      <c r="V40" s="515"/>
      <c r="W40" s="515"/>
      <c r="X40" s="515"/>
      <c r="Y40" s="516"/>
    </row>
    <row r="41" spans="1:25" s="260" customFormat="1" ht="18.75" outlineLevel="1" x14ac:dyDescent="0.25">
      <c r="A41" s="489" t="s">
        <v>457</v>
      </c>
      <c r="B41" s="489"/>
      <c r="C41" s="489"/>
      <c r="D41" s="250">
        <f>F40</f>
        <v>1.0409999999999999</v>
      </c>
      <c r="E41" s="143" t="s">
        <v>323</v>
      </c>
      <c r="F41" s="251">
        <f>F40^(1/12)</f>
        <v>1.0034000000000001</v>
      </c>
      <c r="H41" s="514" t="s">
        <v>334</v>
      </c>
      <c r="I41" s="515"/>
      <c r="J41" s="515"/>
      <c r="K41" s="515"/>
      <c r="L41" s="515"/>
      <c r="M41" s="515"/>
      <c r="N41" s="515"/>
      <c r="O41" s="515"/>
      <c r="P41" s="515"/>
      <c r="Q41" s="515"/>
      <c r="R41" s="515"/>
      <c r="S41" s="515"/>
      <c r="T41" s="515"/>
      <c r="U41" s="515"/>
      <c r="V41" s="515"/>
      <c r="W41" s="515"/>
      <c r="X41" s="515"/>
      <c r="Y41" s="516"/>
    </row>
    <row r="42" spans="1:25" s="260" customFormat="1" ht="33" customHeight="1" outlineLevel="1" x14ac:dyDescent="0.25">
      <c r="A42" s="490" t="s">
        <v>481</v>
      </c>
      <c r="B42" s="490"/>
      <c r="C42" s="490"/>
      <c r="D42" s="490"/>
      <c r="E42" s="490"/>
      <c r="F42" s="249">
        <v>1.0409999999999999</v>
      </c>
      <c r="H42" s="514" t="s">
        <v>336</v>
      </c>
      <c r="I42" s="515"/>
      <c r="J42" s="515"/>
      <c r="K42" s="515"/>
      <c r="L42" s="515"/>
      <c r="M42" s="515"/>
      <c r="N42" s="515"/>
      <c r="O42" s="515"/>
      <c r="P42" s="515"/>
      <c r="Q42" s="515"/>
      <c r="R42" s="515"/>
      <c r="S42" s="515"/>
      <c r="T42" s="515"/>
      <c r="U42" s="515"/>
      <c r="V42" s="515"/>
      <c r="W42" s="515"/>
      <c r="X42" s="515"/>
      <c r="Y42" s="516"/>
    </row>
    <row r="43" spans="1:25" s="260" customFormat="1" ht="15.75" outlineLevel="1" x14ac:dyDescent="0.25">
      <c r="A43" s="489" t="s">
        <v>482</v>
      </c>
      <c r="B43" s="489"/>
      <c r="C43" s="489"/>
      <c r="D43" s="250">
        <f>F42</f>
        <v>1.0409999999999999</v>
      </c>
      <c r="E43" s="143" t="s">
        <v>323</v>
      </c>
      <c r="F43" s="251">
        <f>F42^(1/12)</f>
        <v>1.0034000000000001</v>
      </c>
      <c r="H43" s="514" t="s">
        <v>337</v>
      </c>
      <c r="I43" s="515"/>
      <c r="J43" s="515"/>
      <c r="K43" s="515"/>
      <c r="L43" s="515"/>
      <c r="M43" s="515"/>
      <c r="N43" s="515"/>
      <c r="O43" s="515"/>
      <c r="P43" s="515"/>
      <c r="Q43" s="515"/>
      <c r="R43" s="515"/>
      <c r="S43" s="515"/>
      <c r="T43" s="515"/>
      <c r="U43" s="515"/>
      <c r="V43" s="515"/>
      <c r="W43" s="515"/>
      <c r="X43" s="515"/>
      <c r="Y43" s="516"/>
    </row>
    <row r="44" spans="1:25" s="260" customFormat="1" ht="39" customHeight="1" outlineLevel="1" x14ac:dyDescent="0.25">
      <c r="A44" s="264" t="s">
        <v>477</v>
      </c>
      <c r="B44" s="530" t="str">
        <f>CONCATENATE("(",F39,"^",ROUND((F32-F31)/30.5,1),"+",F39,"^",ROUND((G32-F31)/30.5,1),")/2")</f>
        <v>(1,0045^2,3+1,0045^5)/2</v>
      </c>
      <c r="C44" s="531"/>
      <c r="D44" s="531"/>
      <c r="E44" s="532"/>
      <c r="F44" s="265">
        <f>(F39^ROUND((F32-F31)/30.5,1)+F39^ROUND((G32-F31)/30.5,1))/2</f>
        <v>1.0165</v>
      </c>
      <c r="H44" s="502" t="s">
        <v>338</v>
      </c>
      <c r="I44" s="527"/>
      <c r="J44" s="527"/>
      <c r="K44" s="527"/>
      <c r="L44" s="527"/>
      <c r="M44" s="527"/>
      <c r="N44" s="527"/>
      <c r="O44" s="527"/>
      <c r="P44" s="527"/>
      <c r="Q44" s="527"/>
      <c r="R44" s="527"/>
      <c r="S44" s="527"/>
      <c r="T44" s="527"/>
      <c r="U44" s="527"/>
      <c r="V44" s="527"/>
      <c r="W44" s="527"/>
      <c r="X44" s="527"/>
      <c r="Y44" s="504"/>
    </row>
    <row r="45" spans="1:25" s="260" customFormat="1" ht="76.5" customHeight="1" outlineLevel="1" x14ac:dyDescent="0.25">
      <c r="A45" s="264" t="s">
        <v>478</v>
      </c>
      <c r="B45" s="530" t="str">
        <f>CONCATENATE(F39,"^",ROUND((G32-F31)/30.5,1),"*(1+",F41,"^12)/2")</f>
        <v>1,0045^5*(1+1,0034^12)/2</v>
      </c>
      <c r="C45" s="531"/>
      <c r="D45" s="531"/>
      <c r="E45" s="532"/>
      <c r="F45" s="265">
        <f>F39^ROUND((G32-F31)/30.5,1)*(1+F41^12)/2</f>
        <v>1.044</v>
      </c>
      <c r="H45" s="502" t="s">
        <v>339</v>
      </c>
      <c r="I45" s="527"/>
      <c r="J45" s="527"/>
      <c r="K45" s="527"/>
      <c r="L45" s="527"/>
      <c r="M45" s="527"/>
      <c r="N45" s="527"/>
      <c r="O45" s="527"/>
      <c r="P45" s="527"/>
      <c r="Q45" s="527"/>
      <c r="R45" s="527"/>
      <c r="S45" s="527"/>
      <c r="T45" s="527"/>
      <c r="U45" s="527"/>
      <c r="V45" s="527"/>
      <c r="W45" s="527"/>
      <c r="X45" s="527"/>
      <c r="Y45" s="504"/>
    </row>
    <row r="46" spans="1:25" s="260" customFormat="1" ht="18.75" outlineLevel="1" x14ac:dyDescent="0.25">
      <c r="A46" s="264" t="s">
        <v>483</v>
      </c>
      <c r="B46" s="530" t="str">
        <f>CONCATENATE(F39,"^",ROUND((G32-F31)/30.5,1),"*",F41,"^12*(1+",F43,"^",ROUND((F33-G33)/30.5,1),")/2")</f>
        <v>1,0045^5*1,0034^12*(1+1,0034^10)/2</v>
      </c>
      <c r="C46" s="531"/>
      <c r="D46" s="531"/>
      <c r="E46" s="532"/>
      <c r="F46" s="265">
        <f>F39^ROUND((G32-F31)/30.5,1)*F41^12*(1+F43^ROUND((F33-G33)/30.5,1))/2</f>
        <v>1.0835999999999999</v>
      </c>
      <c r="H46" s="533" t="s">
        <v>340</v>
      </c>
      <c r="I46" s="534"/>
      <c r="J46" s="534"/>
      <c r="K46" s="534"/>
      <c r="L46" s="534"/>
      <c r="M46" s="534"/>
      <c r="N46" s="534"/>
      <c r="O46" s="534"/>
      <c r="P46" s="534"/>
      <c r="Q46" s="534"/>
      <c r="R46" s="534"/>
      <c r="S46" s="534"/>
      <c r="T46" s="534"/>
      <c r="U46" s="534"/>
      <c r="V46" s="534"/>
      <c r="W46" s="534"/>
      <c r="X46" s="534"/>
      <c r="Y46" s="535"/>
    </row>
    <row r="47" spans="1:25" s="260" customFormat="1" ht="34.5" customHeight="1" outlineLevel="1" x14ac:dyDescent="0.25">
      <c r="A47" s="528" t="s">
        <v>324</v>
      </c>
      <c r="B47" s="529"/>
      <c r="C47" s="530" t="str">
        <f>CONCATENATE(F35,"*",F44,"+",F36,"*",F45,"+",F37,"*",F46)</f>
        <v>0,11*1,0165+0,49*1,044+0,4*1,0836</v>
      </c>
      <c r="D47" s="531"/>
      <c r="E47" s="532"/>
      <c r="F47" s="144">
        <f>F35*F44+F36*F45+F37*F46</f>
        <v>1.0568</v>
      </c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</row>
    <row r="51" spans="1:6" ht="28.5" customHeight="1" x14ac:dyDescent="0.2">
      <c r="A51" s="150"/>
    </row>
    <row r="53" spans="1:6" ht="28.5" customHeight="1" x14ac:dyDescent="0.2">
      <c r="F53" s="151"/>
    </row>
  </sheetData>
  <mergeCells count="57">
    <mergeCell ref="A47:B47"/>
    <mergeCell ref="C47:E47"/>
    <mergeCell ref="B44:E44"/>
    <mergeCell ref="H44:Y44"/>
    <mergeCell ref="B45:E45"/>
    <mergeCell ref="H45:Y45"/>
    <mergeCell ref="B46:E46"/>
    <mergeCell ref="H46:Y46"/>
    <mergeCell ref="A41:C41"/>
    <mergeCell ref="H41:Y41"/>
    <mergeCell ref="A42:E42"/>
    <mergeCell ref="H42:Y42"/>
    <mergeCell ref="A43:C43"/>
    <mergeCell ref="H43:Y43"/>
    <mergeCell ref="A38:E38"/>
    <mergeCell ref="H38:Y38"/>
    <mergeCell ref="A39:C39"/>
    <mergeCell ref="H39:Y39"/>
    <mergeCell ref="A40:E40"/>
    <mergeCell ref="H40:Y40"/>
    <mergeCell ref="H36:Y36"/>
    <mergeCell ref="H28:Y28"/>
    <mergeCell ref="H26:Y26"/>
    <mergeCell ref="A31:E31"/>
    <mergeCell ref="H31:Y31"/>
    <mergeCell ref="A32:E32"/>
    <mergeCell ref="A33:E33"/>
    <mergeCell ref="H33:Y33"/>
    <mergeCell ref="A34:E34"/>
    <mergeCell ref="A35:E35"/>
    <mergeCell ref="A36:E36"/>
    <mergeCell ref="H27:Y27"/>
    <mergeCell ref="A37:E37"/>
    <mergeCell ref="C15:E15"/>
    <mergeCell ref="C16:E16"/>
    <mergeCell ref="A17:B17"/>
    <mergeCell ref="C17:E17"/>
    <mergeCell ref="H23:Y24"/>
    <mergeCell ref="A21:E21"/>
    <mergeCell ref="A22:E22"/>
    <mergeCell ref="A23:E23"/>
    <mergeCell ref="A24:E24"/>
    <mergeCell ref="A1:F1"/>
    <mergeCell ref="A5:E5"/>
    <mergeCell ref="A6:E6"/>
    <mergeCell ref="A7:E7"/>
    <mergeCell ref="A8:E8"/>
    <mergeCell ref="A9:E9"/>
    <mergeCell ref="A10:E10"/>
    <mergeCell ref="A11:E11"/>
    <mergeCell ref="A12:C12"/>
    <mergeCell ref="A13:E13"/>
    <mergeCell ref="A14:C14"/>
    <mergeCell ref="A25:E25"/>
    <mergeCell ref="A26:C26"/>
    <mergeCell ref="A27:B27"/>
    <mergeCell ref="C27:E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ПЗ</vt:lpstr>
      <vt:lpstr>Протокол</vt:lpstr>
      <vt:lpstr>НМЦ</vt:lpstr>
      <vt:lpstr>ВОР</vt:lpstr>
      <vt:lpstr>Смета контракта</vt:lpstr>
      <vt:lpstr>График 2026-2028</vt:lpstr>
      <vt:lpstr>НМЦК</vt:lpstr>
      <vt:lpstr>Фактический индекс</vt:lpstr>
      <vt:lpstr>Прогнозный индекс</vt:lpstr>
      <vt:lpstr>ССРСС</vt:lpstr>
      <vt:lpstr>НМЦК!Область_печати</vt:lpstr>
      <vt:lpstr>Протокол!Область_печати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2026-08-14T13:43:14Z</dcterms:modified>
</cp:coreProperties>
</file>