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ДРИ\ДРИ\8. Прочее (разное)\4. Конкурсная документация\Конкурсы_2021\28. VP11 РД+СМР\"/>
    </mc:Choice>
  </mc:AlternateContent>
  <bookViews>
    <workbookView xWindow="30885" yWindow="390" windowWidth="20700" windowHeight="11760" tabRatio="782" activeTab="6"/>
  </bookViews>
  <sheets>
    <sheet name="ПЗ" sheetId="23" r:id="rId1"/>
    <sheet name="НМЦ" sheetId="22" r:id="rId2"/>
    <sheet name="Протокол НМЦ" sheetId="21" r:id="rId3"/>
    <sheet name="ВОР" sheetId="20" r:id="rId4"/>
    <sheet name="Смета контракта" sheetId="24" r:id="rId5"/>
    <sheet name="НМЦК" sheetId="28" r:id="rId6"/>
    <sheet name="Затраты подрядчика " sheetId="27" r:id="rId7"/>
    <sheet name="ПИР РД_тц" sheetId="29" r:id="rId8"/>
    <sheet name="ССРСС ТУЦ" sheetId="25" r:id="rId9"/>
    <sheet name="ССР с Горными работами" sheetId="2" state="hidden" r:id="rId10"/>
  </sheets>
  <definedNames>
    <definedName name="___nbhfty" localSheetId="6">#REF!</definedName>
    <definedName name="___nbhfty" localSheetId="5">#REF!</definedName>
    <definedName name="___nbhfty" localSheetId="7">#REF!</definedName>
    <definedName name="___nbhfty">#REF!</definedName>
    <definedName name="__парекр" localSheetId="6">#REF!</definedName>
    <definedName name="__парекр" localSheetId="5">#REF!</definedName>
    <definedName name="__парекр" localSheetId="7">#REF!</definedName>
    <definedName name="__парекр">#REF!</definedName>
    <definedName name="_000" localSheetId="6">#REF!</definedName>
    <definedName name="_000" localSheetId="5">#REF!</definedName>
    <definedName name="_000" localSheetId="7">#REF!</definedName>
    <definedName name="_000">#REF!</definedName>
    <definedName name="_0000" localSheetId="6">#REF!</definedName>
    <definedName name="_0000" localSheetId="5">#REF!</definedName>
    <definedName name="_0000">#REF!</definedName>
    <definedName name="_123" localSheetId="6">#REF!</definedName>
    <definedName name="_123" localSheetId="5">#REF!</definedName>
    <definedName name="_123">#REF!</definedName>
    <definedName name="_1234" localSheetId="6">#REF!</definedName>
    <definedName name="_1234" localSheetId="5">#REF!</definedName>
    <definedName name="_1234">#REF!</definedName>
    <definedName name="_12345" localSheetId="6">#REF!</definedName>
    <definedName name="_12345" localSheetId="5">#REF!</definedName>
    <definedName name="_12345">#REF!</definedName>
    <definedName name="_1Excel_BuiltIn_Print_Area_1_1_1" localSheetId="6">#REF!</definedName>
    <definedName name="_1Excel_BuiltIn_Print_Area_1_1_1" localSheetId="5">#REF!</definedName>
    <definedName name="_1Excel_BuiltIn_Print_Area_1_1_1">#REF!</definedName>
    <definedName name="_2" localSheetId="6">#REF!</definedName>
    <definedName name="_2" localSheetId="5">#REF!</definedName>
    <definedName name="_2">#REF!</definedName>
    <definedName name="_2Excel_BuiltIn_Print_Titles_1_1_1" localSheetId="6">#REF!</definedName>
    <definedName name="_2Excel_BuiltIn_Print_Titles_1_1_1" localSheetId="5">#REF!</definedName>
    <definedName name="_2Excel_BuiltIn_Print_Titles_1_1_1">#REF!</definedName>
    <definedName name="_3Excel_BuiltIn_Print_Titles_2_1_1" localSheetId="6">#REF!</definedName>
    <definedName name="_3Excel_BuiltIn_Print_Titles_2_1_1" localSheetId="5">#REF!</definedName>
    <definedName name="_3Excel_BuiltIn_Print_Titles_2_1_1">#REF!</definedName>
    <definedName name="_5Excel_BuiltIn_Print_Titles_2_1_1" localSheetId="6">#REF!</definedName>
    <definedName name="_5Excel_BuiltIn_Print_Titles_2_1_1" localSheetId="5">#REF!</definedName>
    <definedName name="_5Excel_BuiltIn_Print_Titles_2_1_1">#REF!</definedName>
    <definedName name="_gfjyhjmhg" localSheetId="6">#REF!</definedName>
    <definedName name="_gfjyhjmhg" localSheetId="5">#REF!</definedName>
    <definedName name="_gfjyhjmhg">#REF!</definedName>
    <definedName name="_апа" localSheetId="6">#REF!</definedName>
    <definedName name="_апа" localSheetId="5">#REF!</definedName>
    <definedName name="_апа">#REF!</definedName>
    <definedName name="_аппп" localSheetId="6">#REF!</definedName>
    <definedName name="_аппп" localSheetId="5">#REF!</definedName>
    <definedName name="_аппп">#REF!</definedName>
    <definedName name="_вавал" localSheetId="6">#REF!</definedName>
    <definedName name="_вавал" localSheetId="5">#REF!</definedName>
    <definedName name="_вавал">#REF!</definedName>
    <definedName name="_пар" localSheetId="6">#REF!</definedName>
    <definedName name="_пар" localSheetId="5">#REF!</definedName>
    <definedName name="_пар">#REF!</definedName>
    <definedName name="_про" localSheetId="6">#REF!</definedName>
    <definedName name="_про" localSheetId="5">#REF!</definedName>
    <definedName name="_про">#REF!</definedName>
    <definedName name="_рл" localSheetId="6">#REF!</definedName>
    <definedName name="_рл" localSheetId="5">#REF!</definedName>
    <definedName name="_рл">#REF!</definedName>
    <definedName name="cdgd" localSheetId="6">#REF!</definedName>
    <definedName name="cdgd" localSheetId="5">#REF!</definedName>
    <definedName name="cdgd">#REF!</definedName>
    <definedName name="Cdjlrf2" localSheetId="6">#REF!</definedName>
    <definedName name="Cdjlrf2" localSheetId="5">#REF!</definedName>
    <definedName name="Cdjlrf2">#REF!</definedName>
    <definedName name="cv" localSheetId="6">#REF!</definedName>
    <definedName name="cv" localSheetId="5">#REF!</definedName>
    <definedName name="cv">#REF!</definedName>
    <definedName name="dfd" localSheetId="6">#REF!</definedName>
    <definedName name="dfd" localSheetId="5">#REF!</definedName>
    <definedName name="dfd">#REF!</definedName>
    <definedName name="dgf" localSheetId="6">#REF!</definedName>
    <definedName name="dgf" localSheetId="5">#REF!</definedName>
    <definedName name="dgf">#REF!</definedName>
    <definedName name="El" localSheetId="6">#REF!</definedName>
    <definedName name="El" localSheetId="5">#REF!</definedName>
    <definedName name="El">#REF!</definedName>
    <definedName name="Excel" localSheetId="6">#REF!</definedName>
    <definedName name="Excel" localSheetId="5">#REF!</definedName>
    <definedName name="Excel">#REF!</definedName>
    <definedName name="Excel_BuiltIn_Print_Area_1" localSheetId="6">#REF!</definedName>
    <definedName name="Excel_BuiltIn_Print_Area_1" localSheetId="5">#REF!</definedName>
    <definedName name="Excel_BuiltIn_Print_Area_1">#REF!</definedName>
    <definedName name="Excel_BuiltIn_Print_Area_1_1" localSheetId="6">#REF!</definedName>
    <definedName name="Excel_BuiltIn_Print_Area_1_1" localSheetId="5">#REF!</definedName>
    <definedName name="Excel_BuiltIn_Print_Area_1_1">#REF!</definedName>
    <definedName name="Excel_BuiltIn_Print_Area_1_1_1" localSheetId="6">#REF!</definedName>
    <definedName name="Excel_BuiltIn_Print_Area_1_1_1" localSheetId="5">#REF!</definedName>
    <definedName name="Excel_BuiltIn_Print_Area_1_1_1">#REF!</definedName>
    <definedName name="Excel_BuiltIn_Print_Area_2" localSheetId="6">#REF!</definedName>
    <definedName name="Excel_BuiltIn_Print_Area_2" localSheetId="5">#REF!</definedName>
    <definedName name="Excel_BuiltIn_Print_Area_2">#REF!</definedName>
    <definedName name="Excel_BuiltIn_Print_Titles_1_1" localSheetId="6">#REF!</definedName>
    <definedName name="Excel_BuiltIn_Print_Titles_1_1" localSheetId="5">#REF!</definedName>
    <definedName name="Excel_BuiltIn_Print_Titles_1_1">#REF!</definedName>
    <definedName name="Excel_BuiltIn_Print_Titles_1_1_1" localSheetId="6">#REF!</definedName>
    <definedName name="Excel_BuiltIn_Print_Titles_1_1_1" localSheetId="5">#REF!</definedName>
    <definedName name="Excel_BuiltIn_Print_Titles_1_1_1">#REF!</definedName>
    <definedName name="Excel_BuiltIn_Print_Titles_2_1" localSheetId="6">#REF!</definedName>
    <definedName name="Excel_BuiltIn_Print_Titles_2_1" localSheetId="5">#REF!</definedName>
    <definedName name="Excel_BuiltIn_Print_Titles_2_1">#REF!</definedName>
    <definedName name="Excel_BuiltIn_Print_Titles_3" localSheetId="6">#REF!</definedName>
    <definedName name="Excel_BuiltIn_Print_Titles_3" localSheetId="5">#REF!</definedName>
    <definedName name="Excel_BuiltIn_Print_Titles_3">#REF!</definedName>
    <definedName name="Excel_BuiltIn_Print_Titles_4" localSheetId="6">#REF!</definedName>
    <definedName name="Excel_BuiltIn_Print_Titles_4" localSheetId="5">#REF!</definedName>
    <definedName name="Excel_BuiltIn_Print_Titles_4">#REF!</definedName>
    <definedName name="ghfghd" localSheetId="6">#REF!</definedName>
    <definedName name="ghfghd" localSheetId="5">#REF!</definedName>
    <definedName name="ghfghd">#REF!</definedName>
    <definedName name="ghfkhjfkj" localSheetId="6">#REF!</definedName>
    <definedName name="ghfkhjfkj" localSheetId="5">#REF!</definedName>
    <definedName name="ghfkhjfkj">#REF!</definedName>
    <definedName name="gts" localSheetId="6">#REF!</definedName>
    <definedName name="gts" localSheetId="5">#REF!</definedName>
    <definedName name="gts">#REF!</definedName>
    <definedName name="hhf" localSheetId="6">#REF!</definedName>
    <definedName name="hhf" localSheetId="5">#REF!</definedName>
    <definedName name="hhf">#REF!</definedName>
    <definedName name="sm" localSheetId="6">#REF!</definedName>
    <definedName name="sm" localSheetId="5">#REF!</definedName>
    <definedName name="sm" localSheetId="7">#REF!</definedName>
    <definedName name="sm">#REF!</definedName>
    <definedName name="x" localSheetId="6">#REF!</definedName>
    <definedName name="x" localSheetId="5">#REF!</definedName>
    <definedName name="x" localSheetId="7">#REF!</definedName>
    <definedName name="x">#REF!</definedName>
    <definedName name="аа" localSheetId="6">#REF!</definedName>
    <definedName name="аа" localSheetId="5">#REF!</definedName>
    <definedName name="аа" localSheetId="7">#REF!</definedName>
    <definedName name="аа">#REF!</definedName>
    <definedName name="ааа" localSheetId="6">#REF!</definedName>
    <definedName name="ааа" localSheetId="5">#REF!</definedName>
    <definedName name="ааа">#REF!</definedName>
    <definedName name="ап" localSheetId="6">#REF!</definedName>
    <definedName name="ап" localSheetId="5">#REF!</definedName>
    <definedName name="ап">#REF!</definedName>
    <definedName name="апрапр" localSheetId="6">#REF!</definedName>
    <definedName name="апрапр" localSheetId="5">#REF!</definedName>
    <definedName name="апрапр">#REF!</definedName>
    <definedName name="ацуацу" localSheetId="6">#REF!</definedName>
    <definedName name="ацуацу" localSheetId="5">#REF!</definedName>
    <definedName name="ацуацу">#REF!</definedName>
    <definedName name="в" localSheetId="6">#REF!</definedName>
    <definedName name="в" localSheetId="5">#REF!</definedName>
    <definedName name="в">#REF!</definedName>
    <definedName name="ва" localSheetId="6">#REF!</definedName>
    <definedName name="ва" localSheetId="5">#REF!</definedName>
    <definedName name="ва">#REF!</definedName>
    <definedName name="вввп" localSheetId="6">#REF!</definedName>
    <definedName name="вввп" localSheetId="5">#REF!</definedName>
    <definedName name="вввп">#REF!</definedName>
    <definedName name="выеуекп" localSheetId="6">#REF!</definedName>
    <definedName name="выеуекп" localSheetId="5">#REF!</definedName>
    <definedName name="выеуекп">#REF!</definedName>
    <definedName name="гегмо" localSheetId="6">#REF!</definedName>
    <definedName name="гегмо" localSheetId="5">#REF!</definedName>
    <definedName name="гегмо">#REF!</definedName>
    <definedName name="глгш" localSheetId="6">#REF!</definedName>
    <definedName name="глгш" localSheetId="5">#REF!</definedName>
    <definedName name="глгш">#REF!</definedName>
    <definedName name="гном" localSheetId="6">#REF!</definedName>
    <definedName name="гном" localSheetId="5">#REF!</definedName>
    <definedName name="гном">#REF!</definedName>
    <definedName name="ГС_Итог.БИМ.ВетикальныеСтроки2020" localSheetId="6">#REF!</definedName>
    <definedName name="ГС_Итог.БИМ.ВетикальныеСтроки2020" localSheetId="5">#REF!</definedName>
    <definedName name="ГС_Итог.БИМ.ВетикальныеСтроки2020" localSheetId="8">#REF!</definedName>
    <definedName name="ГС_Итог.БИМ.ВетикальныеСтроки2020">#REF!</definedName>
    <definedName name="ГС_Коэффициенты2020" localSheetId="6">#REF!:#REF!</definedName>
    <definedName name="ГС_Коэффициенты2020" localSheetId="5">#REF!:#REF!</definedName>
    <definedName name="ГС_Коэффициенты2020" localSheetId="8">#REF!:#REF!</definedName>
    <definedName name="ГС_Коэффициенты2020">#REF!:#REF!</definedName>
    <definedName name="ГС_Разделы" localSheetId="6">#REF!:#REF!</definedName>
    <definedName name="ГС_Разделы" localSheetId="5">#REF!:#REF!</definedName>
    <definedName name="ГС_Разделы" localSheetId="8">#REF!:#REF!</definedName>
    <definedName name="ГС_Разделы">#REF!:#REF!</definedName>
    <definedName name="ГС_Строки\ТипСтроки_Позиция" localSheetId="6">#REF!:#REF!</definedName>
    <definedName name="ГС_Строки\ТипСтроки_Позиция" localSheetId="5">#REF!:#REF!</definedName>
    <definedName name="ГС_Строки\ТипСтроки_Позиция" localSheetId="8">#REF!:#REF!</definedName>
    <definedName name="ГС_Строки\ТипСтроки_Позиция">#REF!:#REF!</definedName>
    <definedName name="жжжж" localSheetId="6">#REF!</definedName>
    <definedName name="жжжж" localSheetId="5">#REF!</definedName>
    <definedName name="жжжж" localSheetId="7">#REF!</definedName>
    <definedName name="жжжж">#REF!</definedName>
    <definedName name="жжжжжжжж" localSheetId="6">#REF!</definedName>
    <definedName name="жжжжжжжж" localSheetId="5">#REF!</definedName>
    <definedName name="жжжжжжжж" localSheetId="7">#REF!</definedName>
    <definedName name="жжжжжжжж">#REF!</definedName>
    <definedName name="_xlnm.Print_Titles" localSheetId="6">'Затраты подрядчика '!$38:$38</definedName>
    <definedName name="_xlnm.Print_Titles" localSheetId="5">НМЦК!$12:$12</definedName>
    <definedName name="_xlnm.Print_Titles" localSheetId="7">'ПИР РД_тц'!$14:$14</definedName>
    <definedName name="_xlnm.Print_Titles" localSheetId="9">'ССР с Горными работами'!$25:$25</definedName>
    <definedName name="_xlnm.Print_Titles" localSheetId="8">'ССРСС ТУЦ'!$38:$38</definedName>
    <definedName name="й" localSheetId="6">#REF!</definedName>
    <definedName name="й" localSheetId="5">#REF!</definedName>
    <definedName name="й" localSheetId="7">#REF!</definedName>
    <definedName name="й">#REF!</definedName>
    <definedName name="ййй" localSheetId="6">#REF!</definedName>
    <definedName name="ййй" localSheetId="5">#REF!</definedName>
    <definedName name="ййй" localSheetId="7">#REF!</definedName>
    <definedName name="ййй">#REF!</definedName>
    <definedName name="йц" localSheetId="6">#REF!</definedName>
    <definedName name="йц" localSheetId="5">#REF!</definedName>
    <definedName name="йц" localSheetId="7">#REF!</definedName>
    <definedName name="йц">#REF!</definedName>
    <definedName name="йцу" localSheetId="6">#REF!</definedName>
    <definedName name="йцу" localSheetId="5">#REF!</definedName>
    <definedName name="йцу">#REF!</definedName>
    <definedName name="к344445" localSheetId="6">#REF!</definedName>
    <definedName name="к344445" localSheetId="5">#REF!</definedName>
    <definedName name="к344445">#REF!</definedName>
    <definedName name="книга" localSheetId="6">#REF!</definedName>
    <definedName name="книга" localSheetId="5">#REF!</definedName>
    <definedName name="книга">#REF!</definedName>
    <definedName name="команд" localSheetId="6">#REF!</definedName>
    <definedName name="команд" localSheetId="5">#REF!</definedName>
    <definedName name="команд">#REF!</definedName>
    <definedName name="кпупыуы" localSheetId="6">#REF!</definedName>
    <definedName name="кпупыуы" localSheetId="5">#REF!</definedName>
    <definedName name="кпупыуы">#REF!</definedName>
    <definedName name="лдо" localSheetId="6">#REF!</definedName>
    <definedName name="лдо" localSheetId="5">#REF!</definedName>
    <definedName name="лдо">#REF!</definedName>
    <definedName name="лждлож" localSheetId="6">#REF!</definedName>
    <definedName name="лждлож" localSheetId="5">#REF!</definedName>
    <definedName name="лждлож">#REF!</definedName>
    <definedName name="лист" localSheetId="6">#REF!</definedName>
    <definedName name="лист" localSheetId="5">#REF!</definedName>
    <definedName name="лист">#REF!</definedName>
    <definedName name="лоббь" localSheetId="6">#REF!</definedName>
    <definedName name="лоббь" localSheetId="5">#REF!</definedName>
    <definedName name="лоббь">#REF!</definedName>
    <definedName name="лодл" localSheetId="6">#REF!</definedName>
    <definedName name="лодл" localSheetId="5">#REF!</definedName>
    <definedName name="лодл">#REF!</definedName>
    <definedName name="лопр" localSheetId="6">#REF!</definedName>
    <definedName name="лопр" localSheetId="5">#REF!</definedName>
    <definedName name="лопр">#REF!</definedName>
    <definedName name="негглогл" localSheetId="6">#REF!</definedName>
    <definedName name="негглогл" localSheetId="5">#REF!</definedName>
    <definedName name="негглогл">#REF!</definedName>
    <definedName name="_xlnm.Print_Area" localSheetId="6">'Затраты подрядчика '!$A$1:$T$137</definedName>
    <definedName name="_xlnm.Print_Area" localSheetId="1">НМЦ!$A$1:$E$11</definedName>
    <definedName name="_xlnm.Print_Area" localSheetId="5">НМЦК!$A$1:$M$24</definedName>
    <definedName name="_xlnm.Print_Area" localSheetId="0">ПЗ!$A$1:$C$12</definedName>
    <definedName name="_xlnm.Print_Area" localSheetId="7">'ПИР РД_тц'!$A$1:$K$70</definedName>
    <definedName name="_xlnm.Print_Area" localSheetId="2">'Протокол НМЦ'!$A$1:$O$24</definedName>
    <definedName name="_xlnm.Print_Area" localSheetId="4">'Смета контракта'!$A$1:$H$18</definedName>
    <definedName name="олютб" localSheetId="6">#REF!</definedName>
    <definedName name="олютб" localSheetId="5">#REF!</definedName>
    <definedName name="олютб" localSheetId="7">#REF!</definedName>
    <definedName name="олютб">#REF!</definedName>
    <definedName name="оо" localSheetId="6">#REF!</definedName>
    <definedName name="оо" localSheetId="5">#REF!</definedName>
    <definedName name="оо" localSheetId="7">#REF!</definedName>
    <definedName name="оо">#REF!</definedName>
    <definedName name="орло" localSheetId="6">#REF!</definedName>
    <definedName name="орло" localSheetId="5">#REF!</definedName>
    <definedName name="орло" localSheetId="7">#REF!</definedName>
    <definedName name="орло">#REF!</definedName>
    <definedName name="орлорп" localSheetId="6">#REF!</definedName>
    <definedName name="орлорп" localSheetId="5">#REF!</definedName>
    <definedName name="орлорп">#REF!</definedName>
    <definedName name="Прилож" localSheetId="6">#REF!</definedName>
    <definedName name="Прилож" localSheetId="5">#REF!</definedName>
    <definedName name="Прилож">#REF!</definedName>
    <definedName name="прорпор" localSheetId="6">#REF!</definedName>
    <definedName name="прорпор" localSheetId="5">#REF!</definedName>
    <definedName name="прорпор">#REF!</definedName>
    <definedName name="прочность" localSheetId="6">#REF!</definedName>
    <definedName name="прочность" localSheetId="5">#REF!</definedName>
    <definedName name="прочность">#REF!</definedName>
    <definedName name="рглшг" localSheetId="6">#REF!</definedName>
    <definedName name="рглшг" localSheetId="5">#REF!</definedName>
    <definedName name="рглшг">#REF!</definedName>
    <definedName name="РД" localSheetId="6">#REF!</definedName>
    <definedName name="РД" localSheetId="5">#REF!</definedName>
    <definedName name="РД">#REF!</definedName>
    <definedName name="рпалроел" localSheetId="6">#REF!</definedName>
    <definedName name="рпалроел" localSheetId="5">#REF!</definedName>
    <definedName name="рпалроел">#REF!</definedName>
    <definedName name="с5" localSheetId="6">#REF!</definedName>
    <definedName name="с5" localSheetId="5">#REF!</definedName>
    <definedName name="с5">#REF!</definedName>
    <definedName name="Сводка" localSheetId="6">#REF!</definedName>
    <definedName name="Сводка" localSheetId="5">#REF!</definedName>
    <definedName name="Сводка">#REF!</definedName>
    <definedName name="смета" localSheetId="6">#REF!</definedName>
    <definedName name="смета" localSheetId="5">#REF!</definedName>
    <definedName name="смета">#REF!</definedName>
    <definedName name="ттт" localSheetId="6">#REF!:#REF!</definedName>
    <definedName name="ттт" localSheetId="5">#REF!:#REF!</definedName>
    <definedName name="ттт" localSheetId="7">#REF!:#REF!</definedName>
    <definedName name="ттт">#REF!:#REF!</definedName>
    <definedName name="у" localSheetId="6">#REF!</definedName>
    <definedName name="у" localSheetId="5">#REF!</definedName>
    <definedName name="у" localSheetId="7">#REF!</definedName>
    <definedName name="у">#REF!</definedName>
    <definedName name="у23" localSheetId="6">#REF!</definedName>
    <definedName name="у23" localSheetId="5">#REF!</definedName>
    <definedName name="у23" localSheetId="7">#REF!</definedName>
    <definedName name="у23">#REF!</definedName>
    <definedName name="фы" localSheetId="6">#REF!</definedName>
    <definedName name="фы" localSheetId="5">#REF!</definedName>
    <definedName name="фы" localSheetId="7">#REF!</definedName>
    <definedName name="фы">#REF!</definedName>
    <definedName name="ц" localSheetId="6">#REF!</definedName>
    <definedName name="ц" localSheetId="5">#REF!</definedName>
    <definedName name="ц">#REF!</definedName>
    <definedName name="цукецуе" localSheetId="6">#REF!</definedName>
    <definedName name="цукецуе" localSheetId="5">#REF!</definedName>
    <definedName name="цукецуе">#REF!</definedName>
    <definedName name="ыв" localSheetId="6">#REF!</definedName>
    <definedName name="ыв" localSheetId="5">#REF!</definedName>
    <definedName name="ыв">#REF!</definedName>
    <definedName name="Э" localSheetId="6">#REF!</definedName>
    <definedName name="Э" localSheetId="5">#REF!</definedName>
    <definedName name="Э">#REF!</definedName>
    <definedName name="экт" localSheetId="6">#REF!</definedName>
    <definedName name="экт" localSheetId="5">#REF!</definedName>
    <definedName name="экт">#REF!</definedName>
    <definedName name="Электрика" localSheetId="6">#REF!</definedName>
    <definedName name="Электрика" localSheetId="5">#REF!</definedName>
    <definedName name="Электрика">#REF!</definedName>
    <definedName name="Элка" localSheetId="6">#REF!</definedName>
    <definedName name="Элка" localSheetId="5">#REF!</definedName>
    <definedName name="Элка">#REF!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28" l="1"/>
  <c r="C2" i="24"/>
  <c r="A2" i="20"/>
  <c r="C4" i="21" l="1"/>
  <c r="A3" i="22"/>
  <c r="H21" i="28"/>
  <c r="H16" i="24" l="1"/>
  <c r="G14" i="28"/>
  <c r="J64" i="29"/>
  <c r="J63" i="29"/>
  <c r="J62" i="29"/>
  <c r="K48" i="29"/>
  <c r="K62" i="29" s="1"/>
  <c r="K63" i="29" s="1"/>
  <c r="K64" i="29" s="1"/>
  <c r="K35" i="29"/>
  <c r="K26" i="29"/>
  <c r="K15" i="29"/>
  <c r="J15" i="29"/>
  <c r="I48" i="29"/>
  <c r="I62" i="29" s="1"/>
  <c r="I63" i="29" s="1"/>
  <c r="I64" i="29" s="1"/>
  <c r="D65" i="29" s="1"/>
  <c r="I35" i="29"/>
  <c r="I26" i="29"/>
  <c r="I15" i="29"/>
  <c r="G13" i="28" l="1"/>
  <c r="H14" i="28"/>
  <c r="J14" i="28" s="1"/>
  <c r="E15" i="28"/>
  <c r="E22" i="28" s="1"/>
  <c r="G15" i="28"/>
  <c r="G16" i="28"/>
  <c r="H16" i="28" s="1"/>
  <c r="J16" i="28" s="1"/>
  <c r="L16" i="28" s="1"/>
  <c r="D17" i="28"/>
  <c r="D18" i="28"/>
  <c r="H18" i="28" s="1"/>
  <c r="J18" i="28" s="1"/>
  <c r="D19" i="28"/>
  <c r="H19" i="28" s="1"/>
  <c r="J19" i="28" s="1"/>
  <c r="F20" i="28"/>
  <c r="H20" i="28" s="1"/>
  <c r="J20" i="28" s="1"/>
  <c r="D21" i="28"/>
  <c r="J21" i="28" s="1"/>
  <c r="N128" i="27"/>
  <c r="M128" i="27"/>
  <c r="L128" i="27"/>
  <c r="K128" i="27"/>
  <c r="J128" i="27"/>
  <c r="N145" i="27"/>
  <c r="M145" i="27"/>
  <c r="L145" i="27"/>
  <c r="K145" i="27"/>
  <c r="J145" i="27"/>
  <c r="N144" i="27"/>
  <c r="M144" i="27"/>
  <c r="L144" i="27"/>
  <c r="K144" i="27"/>
  <c r="J144" i="27"/>
  <c r="F17" i="28" l="1"/>
  <c r="F15" i="28" s="1"/>
  <c r="F22" i="28" s="1"/>
  <c r="H13" i="28"/>
  <c r="G22" i="28"/>
  <c r="H17" i="28"/>
  <c r="J17" i="28" s="1"/>
  <c r="L17" i="28" s="1"/>
  <c r="L21" i="28"/>
  <c r="E23" i="28"/>
  <c r="E24" i="28" s="1"/>
  <c r="L20" i="28"/>
  <c r="M20" i="28" s="1"/>
  <c r="F14" i="24" s="1"/>
  <c r="G14" i="24" s="1"/>
  <c r="H14" i="24" s="1"/>
  <c r="H11" i="24" s="1"/>
  <c r="H9" i="24" s="1"/>
  <c r="H17" i="24" s="1"/>
  <c r="H18" i="24" s="1"/>
  <c r="L19" i="28"/>
  <c r="M19" i="28" s="1"/>
  <c r="F13" i="24" s="1"/>
  <c r="G13" i="24" s="1"/>
  <c r="L18" i="28"/>
  <c r="M18" i="28" s="1"/>
  <c r="F12" i="24" s="1"/>
  <c r="G12" i="24" s="1"/>
  <c r="L14" i="28"/>
  <c r="L13" i="28" s="1"/>
  <c r="J13" i="28"/>
  <c r="M16" i="28"/>
  <c r="F10" i="24" s="1"/>
  <c r="G10" i="24" s="1"/>
  <c r="D15" i="28"/>
  <c r="D22" i="28" s="1"/>
  <c r="H15" i="28" l="1"/>
  <c r="H22" i="28" s="1"/>
  <c r="H23" i="28" s="1"/>
  <c r="L15" i="28"/>
  <c r="L22" i="28" s="1"/>
  <c r="M17" i="28"/>
  <c r="F11" i="24" s="1"/>
  <c r="G11" i="24" s="1"/>
  <c r="J15" i="28"/>
  <c r="J22" i="28" s="1"/>
  <c r="M21" i="28"/>
  <c r="G23" i="28"/>
  <c r="G24" i="28" s="1"/>
  <c r="F23" i="28"/>
  <c r="F24" i="28" s="1"/>
  <c r="M14" i="28"/>
  <c r="M15" i="28" l="1"/>
  <c r="F9" i="24" s="1"/>
  <c r="F15" i="24"/>
  <c r="G15" i="24" s="1"/>
  <c r="M13" i="28"/>
  <c r="F7" i="24" s="1"/>
  <c r="F8" i="24"/>
  <c r="G8" i="24" s="1"/>
  <c r="D23" i="28"/>
  <c r="D24" i="28" s="1"/>
  <c r="G9" i="24" l="1"/>
  <c r="F16" i="24"/>
  <c r="G7" i="24"/>
  <c r="H24" i="28"/>
  <c r="M22" i="28"/>
  <c r="C10" i="22" l="1"/>
  <c r="D10" i="22" s="1"/>
  <c r="E10" i="22" s="1"/>
  <c r="G16" i="24"/>
  <c r="G17" i="24" s="1"/>
  <c r="G18" i="24" s="1"/>
  <c r="G6" i="21" s="1"/>
  <c r="C9" i="22"/>
  <c r="F17" i="24"/>
  <c r="F18" i="24" s="1"/>
  <c r="M23" i="28"/>
  <c r="M24" i="28" s="1"/>
  <c r="J23" i="28"/>
  <c r="J24" i="28" s="1"/>
  <c r="L23" i="28"/>
  <c r="L24" i="28" s="1"/>
  <c r="C8" i="22" l="1"/>
  <c r="C11" i="22" s="1"/>
  <c r="D9" i="22"/>
  <c r="D8" i="22" s="1"/>
  <c r="D11" i="22" s="1"/>
  <c r="O41" i="27"/>
  <c r="O42" i="27"/>
  <c r="O43" i="27"/>
  <c r="O44" i="27"/>
  <c r="O45" i="27"/>
  <c r="O46" i="27"/>
  <c r="O47" i="27"/>
  <c r="O48" i="27"/>
  <c r="O49" i="27"/>
  <c r="O50" i="27"/>
  <c r="O51" i="27"/>
  <c r="O52" i="27"/>
  <c r="O53" i="27"/>
  <c r="O54" i="27"/>
  <c r="O55" i="27"/>
  <c r="O56" i="27"/>
  <c r="O57" i="27"/>
  <c r="O58" i="27"/>
  <c r="O59" i="27"/>
  <c r="O60" i="27"/>
  <c r="O61" i="27"/>
  <c r="O62" i="27"/>
  <c r="O63" i="27"/>
  <c r="O64" i="27"/>
  <c r="O65" i="27"/>
  <c r="O66" i="27"/>
  <c r="O67" i="27"/>
  <c r="O68" i="27"/>
  <c r="O69" i="27"/>
  <c r="O70" i="27"/>
  <c r="O71" i="27"/>
  <c r="O72" i="27"/>
  <c r="O73" i="27"/>
  <c r="O74" i="27"/>
  <c r="O75" i="27"/>
  <c r="O76" i="27"/>
  <c r="O77" i="27"/>
  <c r="O78" i="27"/>
  <c r="O79" i="27"/>
  <c r="O80" i="27"/>
  <c r="O81" i="27"/>
  <c r="O82" i="27"/>
  <c r="O83" i="27"/>
  <c r="O84" i="27"/>
  <c r="O85" i="27"/>
  <c r="O86" i="27"/>
  <c r="O87" i="27"/>
  <c r="O88" i="27"/>
  <c r="O89" i="27"/>
  <c r="O90" i="27"/>
  <c r="O91" i="27"/>
  <c r="O92" i="27"/>
  <c r="O93" i="27"/>
  <c r="O94" i="27"/>
  <c r="O95" i="27"/>
  <c r="O96" i="27"/>
  <c r="O97" i="27"/>
  <c r="O98" i="27"/>
  <c r="O99" i="27"/>
  <c r="O100" i="27"/>
  <c r="O101" i="27"/>
  <c r="O102" i="27"/>
  <c r="O103" i="27"/>
  <c r="O104" i="27"/>
  <c r="O105" i="27"/>
  <c r="O106" i="27"/>
  <c r="O112" i="27"/>
  <c r="O122" i="27"/>
  <c r="O123" i="27"/>
  <c r="O124" i="27"/>
  <c r="O125" i="27"/>
  <c r="O40" i="27"/>
  <c r="E9" i="22" l="1"/>
  <c r="E8" i="22" s="1"/>
  <c r="E11" i="22" s="1"/>
  <c r="V41" i="27"/>
  <c r="V42" i="27"/>
  <c r="V43" i="27"/>
  <c r="V44" i="27"/>
  <c r="V45" i="27"/>
  <c r="V46" i="27"/>
  <c r="V47" i="27"/>
  <c r="V48" i="27"/>
  <c r="V49" i="27"/>
  <c r="V50" i="27"/>
  <c r="V51" i="27"/>
  <c r="V52" i="27"/>
  <c r="V53" i="27"/>
  <c r="V54" i="27"/>
  <c r="V55" i="27"/>
  <c r="V56" i="27"/>
  <c r="V57" i="27"/>
  <c r="V58" i="27"/>
  <c r="V59" i="27"/>
  <c r="V60" i="27"/>
  <c r="V61" i="27"/>
  <c r="V62" i="27"/>
  <c r="V63" i="27"/>
  <c r="V64" i="27"/>
  <c r="V65" i="27"/>
  <c r="V66" i="27"/>
  <c r="V67" i="27"/>
  <c r="V68" i="27"/>
  <c r="V69" i="27"/>
  <c r="V70" i="27"/>
  <c r="V71" i="27"/>
  <c r="V72" i="27"/>
  <c r="V73" i="27"/>
  <c r="V74" i="27"/>
  <c r="V75" i="27"/>
  <c r="V76" i="27"/>
  <c r="V77" i="27"/>
  <c r="V78" i="27"/>
  <c r="V79" i="27"/>
  <c r="V80" i="27"/>
  <c r="V81" i="27"/>
  <c r="V82" i="27"/>
  <c r="V83" i="27"/>
  <c r="V84" i="27"/>
  <c r="V85" i="27"/>
  <c r="V86" i="27"/>
  <c r="V87" i="27"/>
  <c r="V88" i="27"/>
  <c r="V89" i="27"/>
  <c r="V90" i="27"/>
  <c r="V91" i="27"/>
  <c r="V92" i="27"/>
  <c r="V93" i="27"/>
  <c r="V94" i="27"/>
  <c r="V95" i="27"/>
  <c r="V96" i="27"/>
  <c r="V97" i="27"/>
  <c r="V98" i="27"/>
  <c r="V99" i="27"/>
  <c r="V100" i="27"/>
  <c r="V101" i="27"/>
  <c r="V102" i="27"/>
  <c r="V103" i="27"/>
  <c r="V104" i="27"/>
  <c r="V105" i="27"/>
  <c r="V106" i="27"/>
  <c r="V112" i="27"/>
  <c r="V122" i="27"/>
  <c r="V123" i="27"/>
  <c r="V124" i="27"/>
  <c r="V125" i="27"/>
  <c r="V40" i="27"/>
  <c r="Q104" i="27"/>
  <c r="S99" i="27"/>
  <c r="T99" i="27" s="1"/>
  <c r="S98" i="27"/>
  <c r="T98" i="27" s="1"/>
  <c r="S95" i="27"/>
  <c r="T95" i="27" s="1"/>
  <c r="S122" i="27"/>
  <c r="T122" i="27" s="1"/>
  <c r="T93" i="27"/>
  <c r="S93" i="27"/>
  <c r="Q84" i="27"/>
  <c r="S79" i="27"/>
  <c r="T79" i="27" s="1"/>
  <c r="S78" i="27"/>
  <c r="T78" i="27" s="1"/>
  <c r="T77" i="27"/>
  <c r="T76" i="27"/>
  <c r="S76" i="27"/>
  <c r="S82" i="27" s="1"/>
  <c r="T82" i="27" s="1"/>
  <c r="S75" i="27"/>
  <c r="T75" i="27" s="1"/>
  <c r="Q72" i="27"/>
  <c r="Q64" i="27"/>
  <c r="S62" i="27"/>
  <c r="S73" i="27" s="1"/>
  <c r="S85" i="27" s="1"/>
  <c r="Q59" i="27"/>
  <c r="Q62" i="27" s="1"/>
  <c r="T56" i="27"/>
  <c r="T55" i="27"/>
  <c r="T54" i="27"/>
  <c r="T53" i="27"/>
  <c r="T52" i="27"/>
  <c r="T51" i="27"/>
  <c r="T50" i="27"/>
  <c r="R49" i="27"/>
  <c r="R59" i="27" s="1"/>
  <c r="R62" i="27" s="1"/>
  <c r="R73" i="27" s="1"/>
  <c r="R85" i="27" s="1"/>
  <c r="R105" i="27" s="1"/>
  <c r="P49" i="27"/>
  <c r="T48" i="27"/>
  <c r="T47" i="27"/>
  <c r="T46" i="27"/>
  <c r="R45" i="27"/>
  <c r="R58" i="27" s="1"/>
  <c r="P45" i="27"/>
  <c r="P58" i="27" s="1"/>
  <c r="S44" i="27"/>
  <c r="T44" i="27" s="1"/>
  <c r="T41" i="27"/>
  <c r="T40" i="27"/>
  <c r="M122" i="27"/>
  <c r="N122" i="27" s="1"/>
  <c r="N99" i="27"/>
  <c r="N98" i="27"/>
  <c r="N95" i="27"/>
  <c r="N94" i="27"/>
  <c r="M94" i="27"/>
  <c r="N93" i="27"/>
  <c r="K84" i="27"/>
  <c r="K104" i="27" s="1"/>
  <c r="N79" i="27"/>
  <c r="N78" i="27"/>
  <c r="M77" i="27"/>
  <c r="N77" i="27" s="1"/>
  <c r="M82" i="27"/>
  <c r="N82" i="27" s="1"/>
  <c r="N75" i="27"/>
  <c r="K72" i="27"/>
  <c r="K64" i="27"/>
  <c r="M62" i="27"/>
  <c r="M73" i="27" s="1"/>
  <c r="L59" i="27"/>
  <c r="L62" i="27" s="1"/>
  <c r="L73" i="27" s="1"/>
  <c r="L85" i="27" s="1"/>
  <c r="L105" i="27" s="1"/>
  <c r="K59" i="27"/>
  <c r="K57" i="27" s="1"/>
  <c r="J59" i="27"/>
  <c r="N59" i="27" s="1"/>
  <c r="L58" i="27"/>
  <c r="L57" i="27" s="1"/>
  <c r="N56" i="27"/>
  <c r="J56" i="27"/>
  <c r="K55" i="27"/>
  <c r="J55" i="27"/>
  <c r="N55" i="27" s="1"/>
  <c r="J54" i="27"/>
  <c r="N54" i="27" s="1"/>
  <c r="J53" i="27"/>
  <c r="N53" i="27" s="1"/>
  <c r="N52" i="27"/>
  <c r="N51" i="27"/>
  <c r="N50" i="27"/>
  <c r="L49" i="27"/>
  <c r="J49" i="27"/>
  <c r="N49" i="27" s="1"/>
  <c r="N48" i="27"/>
  <c r="N47" i="27"/>
  <c r="N46" i="27"/>
  <c r="N45" i="27"/>
  <c r="L45" i="27"/>
  <c r="J45" i="27"/>
  <c r="J58" i="27" s="1"/>
  <c r="M44" i="27"/>
  <c r="N44" i="27" s="1"/>
  <c r="M43" i="27"/>
  <c r="M61" i="27" s="1"/>
  <c r="M41" i="27"/>
  <c r="N41" i="27" s="1"/>
  <c r="M40" i="27"/>
  <c r="N40" i="27" s="1"/>
  <c r="G99" i="27"/>
  <c r="G98" i="27"/>
  <c r="H98" i="27" s="1"/>
  <c r="G95" i="27"/>
  <c r="G97" i="27"/>
  <c r="G96" i="27"/>
  <c r="G93" i="27"/>
  <c r="H93" i="27" s="1"/>
  <c r="G88" i="27"/>
  <c r="G87" i="27"/>
  <c r="G79" i="27"/>
  <c r="H79" i="27" s="1"/>
  <c r="G78" i="27"/>
  <c r="G76" i="27"/>
  <c r="G75" i="27"/>
  <c r="H99" i="27"/>
  <c r="H95" i="27"/>
  <c r="G94" i="27"/>
  <c r="H78" i="27"/>
  <c r="G77" i="27"/>
  <c r="H75" i="27"/>
  <c r="E72" i="27"/>
  <c r="E84" i="27" s="1"/>
  <c r="E104" i="27" s="1"/>
  <c r="E64" i="27"/>
  <c r="F59" i="27"/>
  <c r="F62" i="27" s="1"/>
  <c r="F73" i="27" s="1"/>
  <c r="F85" i="27" s="1"/>
  <c r="F105" i="27" s="1"/>
  <c r="F108" i="27" s="1"/>
  <c r="F111" i="27" s="1"/>
  <c r="D56" i="27"/>
  <c r="H56" i="27" s="1"/>
  <c r="E55" i="27"/>
  <c r="E59" i="27" s="1"/>
  <c r="D55" i="27"/>
  <c r="H55" i="27" s="1"/>
  <c r="D54" i="27"/>
  <c r="H54" i="27" s="1"/>
  <c r="D53" i="27"/>
  <c r="H53" i="27" s="1"/>
  <c r="H52" i="27"/>
  <c r="H51" i="27"/>
  <c r="H50" i="27"/>
  <c r="F49" i="27"/>
  <c r="D49" i="27"/>
  <c r="H48" i="27"/>
  <c r="H47" i="27"/>
  <c r="H46" i="27"/>
  <c r="F45" i="27"/>
  <c r="D45" i="27"/>
  <c r="G41" i="27"/>
  <c r="G44" i="27" s="1"/>
  <c r="H44" i="27" s="1"/>
  <c r="G40" i="27"/>
  <c r="H40" i="27" s="1"/>
  <c r="H50" i="25"/>
  <c r="H51" i="25"/>
  <c r="H52" i="25"/>
  <c r="F49" i="25"/>
  <c r="D49" i="25"/>
  <c r="H46" i="25"/>
  <c r="H47" i="25"/>
  <c r="H48" i="25"/>
  <c r="F45" i="25"/>
  <c r="D45" i="25"/>
  <c r="T49" i="27" l="1"/>
  <c r="T58" i="27"/>
  <c r="T45" i="27"/>
  <c r="R111" i="27"/>
  <c r="R115" i="27" s="1"/>
  <c r="Q60" i="27"/>
  <c r="Q66" i="27"/>
  <c r="Q57" i="27"/>
  <c r="S43" i="27"/>
  <c r="P61" i="27"/>
  <c r="P59" i="27"/>
  <c r="P57" i="27" s="1"/>
  <c r="S81" i="27"/>
  <c r="T94" i="27"/>
  <c r="S42" i="27"/>
  <c r="T42" i="27" s="1"/>
  <c r="Q114" i="27"/>
  <c r="R57" i="27"/>
  <c r="R61" i="27"/>
  <c r="M60" i="27"/>
  <c r="M72" i="27"/>
  <c r="J61" i="27"/>
  <c r="N58" i="27"/>
  <c r="J57" i="27"/>
  <c r="N57" i="27" s="1"/>
  <c r="L115" i="27"/>
  <c r="L111" i="27"/>
  <c r="M85" i="27"/>
  <c r="K114" i="27"/>
  <c r="N43" i="27"/>
  <c r="J62" i="27"/>
  <c r="M42" i="27"/>
  <c r="N42" i="27" s="1"/>
  <c r="K62" i="27"/>
  <c r="N76" i="27"/>
  <c r="M81" i="27"/>
  <c r="L61" i="27"/>
  <c r="E57" i="27"/>
  <c r="E62" i="27"/>
  <c r="E60" i="27" s="1"/>
  <c r="H45" i="27"/>
  <c r="G82" i="27"/>
  <c r="H82" i="27" s="1"/>
  <c r="F58" i="27"/>
  <c r="G43" i="27"/>
  <c r="G61" i="27" s="1"/>
  <c r="D58" i="27"/>
  <c r="H58" i="27" s="1"/>
  <c r="E66" i="27"/>
  <c r="E70" i="27" s="1"/>
  <c r="D59" i="27"/>
  <c r="H59" i="27" s="1"/>
  <c r="G42" i="27"/>
  <c r="H42" i="27" s="1"/>
  <c r="H49" i="27"/>
  <c r="E114" i="27"/>
  <c r="F57" i="27"/>
  <c r="F61" i="27"/>
  <c r="D62" i="27"/>
  <c r="G62" i="27"/>
  <c r="G73" i="27" s="1"/>
  <c r="H94" i="27"/>
  <c r="G122" i="27"/>
  <c r="H122" i="27" s="1"/>
  <c r="H76" i="27"/>
  <c r="H77" i="27"/>
  <c r="G81" i="27"/>
  <c r="F115" i="27"/>
  <c r="H41" i="27"/>
  <c r="H122" i="25"/>
  <c r="H94" i="25"/>
  <c r="H95" i="25"/>
  <c r="H98" i="25"/>
  <c r="H99" i="25"/>
  <c r="H93" i="25"/>
  <c r="H76" i="25"/>
  <c r="H77" i="25"/>
  <c r="H78" i="25"/>
  <c r="H79" i="25"/>
  <c r="H80" i="25"/>
  <c r="H81" i="25"/>
  <c r="H82" i="25"/>
  <c r="H75" i="25"/>
  <c r="H49" i="25"/>
  <c r="H53" i="25"/>
  <c r="H54" i="25"/>
  <c r="H55" i="25"/>
  <c r="H56" i="25"/>
  <c r="H45" i="25"/>
  <c r="H44" i="25"/>
  <c r="H43" i="25"/>
  <c r="E143" i="25"/>
  <c r="E144" i="25"/>
  <c r="E145" i="25"/>
  <c r="H42" i="25"/>
  <c r="H41" i="25"/>
  <c r="H40" i="25"/>
  <c r="G99" i="25"/>
  <c r="G98" i="25"/>
  <c r="G95" i="25"/>
  <c r="G94" i="25"/>
  <c r="G93" i="25"/>
  <c r="G79" i="25"/>
  <c r="G78" i="25"/>
  <c r="G77" i="25"/>
  <c r="G76" i="25"/>
  <c r="G82" i="25" s="1"/>
  <c r="G75" i="25"/>
  <c r="G81" i="25" s="1"/>
  <c r="G80" i="25" s="1"/>
  <c r="E72" i="25"/>
  <c r="E84" i="25" s="1"/>
  <c r="E64" i="25"/>
  <c r="F58" i="25"/>
  <c r="H58" i="25" s="1"/>
  <c r="D56" i="25"/>
  <c r="E55" i="25"/>
  <c r="E59" i="25" s="1"/>
  <c r="D55" i="25"/>
  <c r="D54" i="25"/>
  <c r="D59" i="25" s="1"/>
  <c r="D62" i="25" s="1"/>
  <c r="D53" i="25"/>
  <c r="D58" i="25" s="1"/>
  <c r="F59" i="25"/>
  <c r="F62" i="25" s="1"/>
  <c r="F73" i="25" s="1"/>
  <c r="F85" i="25" s="1"/>
  <c r="F105" i="25" s="1"/>
  <c r="G43" i="25"/>
  <c r="G61" i="25" s="1"/>
  <c r="G41" i="25"/>
  <c r="G44" i="25" s="1"/>
  <c r="G62" i="25" s="1"/>
  <c r="G73" i="25" s="1"/>
  <c r="G40" i="25"/>
  <c r="R118" i="27" l="1"/>
  <c r="R121" i="27" s="1"/>
  <c r="Q117" i="27"/>
  <c r="Q120" i="27"/>
  <c r="S61" i="27"/>
  <c r="T43" i="27"/>
  <c r="T57" i="27"/>
  <c r="Q70" i="27"/>
  <c r="Q67" i="27"/>
  <c r="Q125" i="27" s="1"/>
  <c r="Q123" i="27" s="1"/>
  <c r="S80" i="27"/>
  <c r="T80" i="27" s="1"/>
  <c r="T81" i="27"/>
  <c r="R72" i="27"/>
  <c r="R60" i="27"/>
  <c r="T59" i="27"/>
  <c r="P62" i="27"/>
  <c r="P64" i="27"/>
  <c r="L60" i="27"/>
  <c r="L72" i="27"/>
  <c r="M84" i="27"/>
  <c r="M71" i="27"/>
  <c r="K66" i="27"/>
  <c r="K60" i="27"/>
  <c r="L118" i="27"/>
  <c r="L121" i="27"/>
  <c r="K120" i="27"/>
  <c r="K117" i="27"/>
  <c r="N81" i="27"/>
  <c r="M80" i="27"/>
  <c r="N80" i="27" s="1"/>
  <c r="N62" i="27"/>
  <c r="J66" i="27"/>
  <c r="J60" i="27"/>
  <c r="N60" i="27" s="1"/>
  <c r="J64" i="27"/>
  <c r="N61" i="27"/>
  <c r="D57" i="27"/>
  <c r="H57" i="27" s="1"/>
  <c r="D61" i="27"/>
  <c r="H43" i="27"/>
  <c r="G85" i="27"/>
  <c r="E68" i="27"/>
  <c r="E73" i="27"/>
  <c r="E71" i="27" s="1"/>
  <c r="E67" i="27"/>
  <c r="E125" i="27" s="1"/>
  <c r="E123" i="27" s="1"/>
  <c r="D64" i="27"/>
  <c r="H61" i="27"/>
  <c r="D60" i="27"/>
  <c r="H62" i="27"/>
  <c r="D66" i="27"/>
  <c r="E117" i="27"/>
  <c r="E120" i="27" s="1"/>
  <c r="E144" i="27" s="1"/>
  <c r="H81" i="27"/>
  <c r="G80" i="27"/>
  <c r="H80" i="27" s="1"/>
  <c r="F118" i="27"/>
  <c r="F121" i="27" s="1"/>
  <c r="F145" i="27" s="1"/>
  <c r="F72" i="27"/>
  <c r="F60" i="27"/>
  <c r="G72" i="27"/>
  <c r="G60" i="27"/>
  <c r="H59" i="25"/>
  <c r="H62" i="25"/>
  <c r="F108" i="25"/>
  <c r="F111" i="25" s="1"/>
  <c r="F115" i="25" s="1"/>
  <c r="E104" i="25"/>
  <c r="D61" i="25"/>
  <c r="H61" i="25" s="1"/>
  <c r="D57" i="25"/>
  <c r="D66" i="25"/>
  <c r="H66" i="25" s="1"/>
  <c r="G85" i="25"/>
  <c r="G72" i="25"/>
  <c r="G60" i="25"/>
  <c r="E57" i="25"/>
  <c r="E62" i="25"/>
  <c r="F57" i="25"/>
  <c r="F61" i="25"/>
  <c r="G122" i="25"/>
  <c r="G42" i="25"/>
  <c r="P60" i="27" l="1"/>
  <c r="P66" i="27"/>
  <c r="T62" i="27"/>
  <c r="S72" i="27"/>
  <c r="S60" i="27"/>
  <c r="R84" i="27"/>
  <c r="R71" i="27"/>
  <c r="P65" i="27"/>
  <c r="T64" i="27"/>
  <c r="P69" i="27"/>
  <c r="T61" i="27"/>
  <c r="Q68" i="27"/>
  <c r="Q73" i="27"/>
  <c r="J70" i="27"/>
  <c r="J67" i="27"/>
  <c r="N66" i="27"/>
  <c r="K70" i="27"/>
  <c r="K67" i="27"/>
  <c r="K125" i="27" s="1"/>
  <c r="K123" i="27" s="1"/>
  <c r="M83" i="27"/>
  <c r="J69" i="27"/>
  <c r="J65" i="27"/>
  <c r="N64" i="27"/>
  <c r="L84" i="27"/>
  <c r="L71" i="27"/>
  <c r="E85" i="27"/>
  <c r="F84" i="27"/>
  <c r="F71" i="27"/>
  <c r="D70" i="27"/>
  <c r="D67" i="27"/>
  <c r="H66" i="27"/>
  <c r="E105" i="27"/>
  <c r="E83" i="27"/>
  <c r="H60" i="27"/>
  <c r="G84" i="27"/>
  <c r="G71" i="27"/>
  <c r="D65" i="27"/>
  <c r="H64" i="27"/>
  <c r="D69" i="27"/>
  <c r="H57" i="25"/>
  <c r="F118" i="25"/>
  <c r="F121" i="25" s="1"/>
  <c r="F145" i="25" s="1"/>
  <c r="E66" i="25"/>
  <c r="E60" i="25"/>
  <c r="F60" i="25"/>
  <c r="F72" i="25"/>
  <c r="D67" i="25"/>
  <c r="D70" i="25"/>
  <c r="D64" i="25"/>
  <c r="H64" i="25" s="1"/>
  <c r="E114" i="25"/>
  <c r="G84" i="25"/>
  <c r="G71" i="25"/>
  <c r="D60" i="25"/>
  <c r="H60" i="25" s="1"/>
  <c r="T60" i="27" l="1"/>
  <c r="P124" i="27"/>
  <c r="T65" i="27"/>
  <c r="P70" i="27"/>
  <c r="P68" i="27" s="1"/>
  <c r="T68" i="27" s="1"/>
  <c r="P67" i="27"/>
  <c r="T66" i="27"/>
  <c r="R104" i="27"/>
  <c r="R83" i="27"/>
  <c r="Q85" i="27"/>
  <c r="Q71" i="27"/>
  <c r="S84" i="27"/>
  <c r="S71" i="27"/>
  <c r="T69" i="27"/>
  <c r="P72" i="27"/>
  <c r="N69" i="27"/>
  <c r="J68" i="27"/>
  <c r="J72" i="27"/>
  <c r="L83" i="27"/>
  <c r="L104" i="27"/>
  <c r="K68" i="27"/>
  <c r="K73" i="27"/>
  <c r="J125" i="27"/>
  <c r="N125" i="27" s="1"/>
  <c r="N67" i="27"/>
  <c r="J124" i="27"/>
  <c r="N65" i="27"/>
  <c r="N70" i="27"/>
  <c r="J73" i="27"/>
  <c r="H70" i="27"/>
  <c r="D73" i="27"/>
  <c r="E108" i="27"/>
  <c r="E111" i="27" s="1"/>
  <c r="E109" i="27" s="1"/>
  <c r="E103" i="27"/>
  <c r="H69" i="27"/>
  <c r="D68" i="27"/>
  <c r="H68" i="27" s="1"/>
  <c r="D72" i="27"/>
  <c r="D124" i="27"/>
  <c r="H65" i="27"/>
  <c r="G83" i="27"/>
  <c r="D125" i="27"/>
  <c r="H125" i="27" s="1"/>
  <c r="H67" i="27"/>
  <c r="F104" i="27"/>
  <c r="F83" i="27"/>
  <c r="D125" i="25"/>
  <c r="H125" i="25" s="1"/>
  <c r="H67" i="25"/>
  <c r="D73" i="25"/>
  <c r="H70" i="25"/>
  <c r="F84" i="25"/>
  <c r="F71" i="25"/>
  <c r="G83" i="25"/>
  <c r="E117" i="25"/>
  <c r="E120" i="25"/>
  <c r="D65" i="25"/>
  <c r="D69" i="25"/>
  <c r="H69" i="25" s="1"/>
  <c r="E70" i="25"/>
  <c r="E67" i="25"/>
  <c r="E125" i="25" s="1"/>
  <c r="E123" i="25" s="1"/>
  <c r="Q105" i="27" l="1"/>
  <c r="Q83" i="27"/>
  <c r="T72" i="27"/>
  <c r="P84" i="27"/>
  <c r="R103" i="27"/>
  <c r="R110" i="27"/>
  <c r="R109" i="27" s="1"/>
  <c r="T67" i="27"/>
  <c r="P125" i="27"/>
  <c r="T125" i="27" s="1"/>
  <c r="T70" i="27"/>
  <c r="P73" i="27"/>
  <c r="S83" i="27"/>
  <c r="T124" i="27"/>
  <c r="N73" i="27"/>
  <c r="J85" i="27"/>
  <c r="L103" i="27"/>
  <c r="L110" i="27"/>
  <c r="L109" i="27" s="1"/>
  <c r="K85" i="27"/>
  <c r="K71" i="27"/>
  <c r="N124" i="27"/>
  <c r="J123" i="27"/>
  <c r="N123" i="27" s="1"/>
  <c r="N68" i="27"/>
  <c r="N72" i="27"/>
  <c r="J71" i="27"/>
  <c r="N71" i="27" s="1"/>
  <c r="J84" i="27"/>
  <c r="D84" i="27"/>
  <c r="D71" i="27"/>
  <c r="H71" i="27" s="1"/>
  <c r="H72" i="27"/>
  <c r="F103" i="27"/>
  <c r="F107" i="27"/>
  <c r="F110" i="27" s="1"/>
  <c r="F109" i="27" s="1"/>
  <c r="E115" i="27"/>
  <c r="H73" i="27"/>
  <c r="D85" i="27"/>
  <c r="H124" i="27"/>
  <c r="D123" i="27"/>
  <c r="H123" i="27" s="1"/>
  <c r="D85" i="25"/>
  <c r="H73" i="25"/>
  <c r="D124" i="25"/>
  <c r="H65" i="25"/>
  <c r="E68" i="25"/>
  <c r="E73" i="25"/>
  <c r="D68" i="25"/>
  <c r="H68" i="25" s="1"/>
  <c r="D72" i="25"/>
  <c r="H72" i="25" s="1"/>
  <c r="F83" i="25"/>
  <c r="F104" i="25"/>
  <c r="L114" i="27" l="1"/>
  <c r="P123" i="27"/>
  <c r="T123" i="27" s="1"/>
  <c r="R114" i="27"/>
  <c r="T84" i="27"/>
  <c r="P104" i="27"/>
  <c r="T73" i="27"/>
  <c r="P85" i="27"/>
  <c r="P71" i="27"/>
  <c r="T71" i="27" s="1"/>
  <c r="Q111" i="27"/>
  <c r="Q109" i="27" s="1"/>
  <c r="Q103" i="27"/>
  <c r="K105" i="27"/>
  <c r="K83" i="27"/>
  <c r="J104" i="27"/>
  <c r="N84" i="27"/>
  <c r="J83" i="27"/>
  <c r="N83" i="27" s="1"/>
  <c r="J105" i="27"/>
  <c r="N85" i="27"/>
  <c r="L113" i="27"/>
  <c r="L117" i="27"/>
  <c r="L120" i="27" s="1"/>
  <c r="E118" i="27"/>
  <c r="E121" i="27" s="1"/>
  <c r="E145" i="27" s="1"/>
  <c r="E113" i="27"/>
  <c r="F114" i="27"/>
  <c r="H84" i="27"/>
  <c r="D83" i="27"/>
  <c r="H83" i="27" s="1"/>
  <c r="D104" i="27"/>
  <c r="D105" i="27"/>
  <c r="H85" i="27"/>
  <c r="H85" i="25"/>
  <c r="G97" i="25" s="1"/>
  <c r="D105" i="25"/>
  <c r="D108" i="25" s="1"/>
  <c r="D111" i="25" s="1"/>
  <c r="D115" i="25" s="1"/>
  <c r="D123" i="25"/>
  <c r="H123" i="25" s="1"/>
  <c r="H124" i="25"/>
  <c r="F103" i="25"/>
  <c r="F107" i="25"/>
  <c r="F110" i="25" s="1"/>
  <c r="F109" i="25" s="1"/>
  <c r="E85" i="25"/>
  <c r="E71" i="25"/>
  <c r="D84" i="25"/>
  <c r="H84" i="25" s="1"/>
  <c r="G96" i="25" s="1"/>
  <c r="D71" i="25"/>
  <c r="H71" i="25" s="1"/>
  <c r="Q115" i="27" l="1"/>
  <c r="P105" i="27"/>
  <c r="T85" i="27"/>
  <c r="P83" i="27"/>
  <c r="T83" i="27" s="1"/>
  <c r="T96" i="27"/>
  <c r="S101" i="27"/>
  <c r="Q118" i="27"/>
  <c r="Q121" i="27" s="1"/>
  <c r="Q113" i="27"/>
  <c r="T87" i="27"/>
  <c r="S90" i="27"/>
  <c r="R117" i="27"/>
  <c r="R120" i="27" s="1"/>
  <c r="R113" i="27"/>
  <c r="M102" i="27"/>
  <c r="N102" i="27" s="1"/>
  <c r="N97" i="27"/>
  <c r="J103" i="27"/>
  <c r="N96" i="27"/>
  <c r="M101" i="27"/>
  <c r="N87" i="27"/>
  <c r="M90" i="27"/>
  <c r="L116" i="27"/>
  <c r="L119" i="27" s="1"/>
  <c r="M91" i="27"/>
  <c r="N88" i="27"/>
  <c r="K111" i="27"/>
  <c r="K109" i="27" s="1"/>
  <c r="K103" i="27"/>
  <c r="H96" i="27"/>
  <c r="G101" i="27"/>
  <c r="G91" i="27"/>
  <c r="H88" i="27"/>
  <c r="E116" i="27"/>
  <c r="E119" i="27" s="1"/>
  <c r="E143" i="27" s="1"/>
  <c r="H87" i="27"/>
  <c r="G90" i="27"/>
  <c r="G102" i="27"/>
  <c r="H102" i="27" s="1"/>
  <c r="H97" i="27"/>
  <c r="D108" i="27"/>
  <c r="D103" i="27"/>
  <c r="D107" i="27"/>
  <c r="F113" i="27"/>
  <c r="F117" i="27"/>
  <c r="F120" i="27" s="1"/>
  <c r="F144" i="27" s="1"/>
  <c r="G102" i="25"/>
  <c r="H102" i="25" s="1"/>
  <c r="H97" i="25"/>
  <c r="H96" i="25"/>
  <c r="G101" i="25"/>
  <c r="D118" i="25"/>
  <c r="D121" i="25" s="1"/>
  <c r="D145" i="25" s="1"/>
  <c r="G87" i="25"/>
  <c r="D83" i="25"/>
  <c r="H83" i="25" s="1"/>
  <c r="D104" i="25"/>
  <c r="E105" i="25"/>
  <c r="E83" i="25"/>
  <c r="G88" i="25"/>
  <c r="F114" i="25"/>
  <c r="S91" i="27" l="1"/>
  <c r="S89" i="27" s="1"/>
  <c r="T89" i="27" s="1"/>
  <c r="T88" i="27"/>
  <c r="P110" i="27"/>
  <c r="T90" i="27"/>
  <c r="S104" i="27"/>
  <c r="Q116" i="27"/>
  <c r="Q119" i="27" s="1"/>
  <c r="R116" i="27"/>
  <c r="R119" i="27" s="1"/>
  <c r="T101" i="27"/>
  <c r="S102" i="27"/>
  <c r="T102" i="27" s="1"/>
  <c r="T97" i="27"/>
  <c r="P103" i="27"/>
  <c r="N91" i="27"/>
  <c r="M105" i="27"/>
  <c r="J110" i="27"/>
  <c r="N90" i="27"/>
  <c r="M89" i="27"/>
  <c r="N89" i="27" s="1"/>
  <c r="M104" i="27"/>
  <c r="M100" i="27"/>
  <c r="N100" i="27" s="1"/>
  <c r="N101" i="27"/>
  <c r="J111" i="27"/>
  <c r="K115" i="27"/>
  <c r="H90" i="27"/>
  <c r="G89" i="27"/>
  <c r="H89" i="27" s="1"/>
  <c r="G104" i="27"/>
  <c r="D110" i="27"/>
  <c r="G100" i="27"/>
  <c r="H100" i="27" s="1"/>
  <c r="H101" i="27"/>
  <c r="D111" i="27"/>
  <c r="H91" i="27"/>
  <c r="G105" i="27"/>
  <c r="F116" i="27"/>
  <c r="F119" i="27"/>
  <c r="F143" i="27" s="1"/>
  <c r="G91" i="25"/>
  <c r="H88" i="25"/>
  <c r="G90" i="25"/>
  <c r="H90" i="25" s="1"/>
  <c r="H87" i="25"/>
  <c r="H101" i="25"/>
  <c r="G100" i="25"/>
  <c r="H100" i="25" s="1"/>
  <c r="D103" i="25"/>
  <c r="D107" i="25"/>
  <c r="E108" i="25"/>
  <c r="E103" i="25"/>
  <c r="F117" i="25"/>
  <c r="F120" i="25" s="1"/>
  <c r="F144" i="25" s="1"/>
  <c r="F113" i="25"/>
  <c r="S100" i="27" l="1"/>
  <c r="T100" i="27" s="1"/>
  <c r="T104" i="27"/>
  <c r="P114" i="27"/>
  <c r="P111" i="27"/>
  <c r="P109" i="27" s="1"/>
  <c r="T91" i="27"/>
  <c r="S105" i="27"/>
  <c r="S103" i="27" s="1"/>
  <c r="T103" i="27" s="1"/>
  <c r="K118" i="27"/>
  <c r="K121" i="27" s="1"/>
  <c r="K113" i="27"/>
  <c r="J109" i="27"/>
  <c r="J114" i="27"/>
  <c r="M103" i="27"/>
  <c r="N103" i="27" s="1"/>
  <c r="N104" i="27"/>
  <c r="J115" i="27"/>
  <c r="N105" i="27"/>
  <c r="D109" i="27"/>
  <c r="D114" i="27"/>
  <c r="G108" i="27"/>
  <c r="H105" i="27"/>
  <c r="G107" i="27"/>
  <c r="G103" i="27"/>
  <c r="H103" i="27" s="1"/>
  <c r="H104" i="27"/>
  <c r="D115" i="27"/>
  <c r="G105" i="25"/>
  <c r="H91" i="25"/>
  <c r="G89" i="25"/>
  <c r="H89" i="25" s="1"/>
  <c r="G104" i="25"/>
  <c r="H104" i="25" s="1"/>
  <c r="F116" i="25"/>
  <c r="F119" i="25" s="1"/>
  <c r="F143" i="25" s="1"/>
  <c r="E111" i="25"/>
  <c r="D110" i="25"/>
  <c r="G107" i="25"/>
  <c r="G110" i="25" s="1"/>
  <c r="P117" i="27" l="1"/>
  <c r="T105" i="27"/>
  <c r="S110" i="27"/>
  <c r="P115" i="27"/>
  <c r="M110" i="27"/>
  <c r="J117" i="27"/>
  <c r="J120" i="27" s="1"/>
  <c r="J113" i="27"/>
  <c r="M111" i="27"/>
  <c r="J118" i="27"/>
  <c r="K116" i="27"/>
  <c r="K119" i="27" s="1"/>
  <c r="G111" i="27"/>
  <c r="H108" i="27"/>
  <c r="D117" i="27"/>
  <c r="D120" i="27" s="1"/>
  <c r="D113" i="27"/>
  <c r="G110" i="27"/>
  <c r="H107" i="27"/>
  <c r="D118" i="27"/>
  <c r="D121" i="27" s="1"/>
  <c r="H105" i="25"/>
  <c r="G108" i="25"/>
  <c r="G103" i="25"/>
  <c r="H103" i="25" s="1"/>
  <c r="H110" i="25"/>
  <c r="H107" i="25"/>
  <c r="D109" i="25"/>
  <c r="D114" i="25"/>
  <c r="E109" i="25"/>
  <c r="E115" i="25"/>
  <c r="G114" i="25"/>
  <c r="V108" i="27" l="1"/>
  <c r="O108" i="27"/>
  <c r="O107" i="27"/>
  <c r="V107" i="27"/>
  <c r="S111" i="27"/>
  <c r="S109" i="27" s="1"/>
  <c r="T109" i="27" s="1"/>
  <c r="P118" i="27"/>
  <c r="P121" i="27" s="1"/>
  <c r="P113" i="27"/>
  <c r="S114" i="27"/>
  <c r="T110" i="27"/>
  <c r="P120" i="27"/>
  <c r="M115" i="27"/>
  <c r="N111" i="27"/>
  <c r="O111" i="27" s="1"/>
  <c r="J116" i="27"/>
  <c r="J119" i="27" s="1"/>
  <c r="J121" i="27"/>
  <c r="M109" i="27"/>
  <c r="N109" i="27" s="1"/>
  <c r="O109" i="27" s="1"/>
  <c r="N110" i="27"/>
  <c r="O110" i="27" s="1"/>
  <c r="M114" i="27"/>
  <c r="D144" i="27"/>
  <c r="D116" i="27"/>
  <c r="D119" i="27" s="1"/>
  <c r="G115" i="27"/>
  <c r="H111" i="27"/>
  <c r="G109" i="27"/>
  <c r="H109" i="27" s="1"/>
  <c r="H110" i="27"/>
  <c r="G114" i="27"/>
  <c r="D145" i="27"/>
  <c r="G111" i="25"/>
  <c r="H108" i="25"/>
  <c r="H114" i="25"/>
  <c r="E118" i="25"/>
  <c r="E121" i="25" s="1"/>
  <c r="E113" i="25"/>
  <c r="D117" i="25"/>
  <c r="D113" i="25"/>
  <c r="D120" i="25"/>
  <c r="G117" i="25"/>
  <c r="G120" i="25" s="1"/>
  <c r="G144" i="25" s="1"/>
  <c r="V110" i="27" l="1"/>
  <c r="V111" i="27"/>
  <c r="V109" i="27"/>
  <c r="P116" i="27"/>
  <c r="S117" i="27"/>
  <c r="T117" i="27" s="1"/>
  <c r="T114" i="27"/>
  <c r="T111" i="27"/>
  <c r="S115" i="27"/>
  <c r="M118" i="27"/>
  <c r="N118" i="27" s="1"/>
  <c r="O118" i="27" s="1"/>
  <c r="N115" i="27"/>
  <c r="O115" i="27" s="1"/>
  <c r="M113" i="27"/>
  <c r="M117" i="27"/>
  <c r="N117" i="27" s="1"/>
  <c r="O117" i="27" s="1"/>
  <c r="N114" i="27"/>
  <c r="O114" i="27" s="1"/>
  <c r="G118" i="27"/>
  <c r="H118" i="27" s="1"/>
  <c r="H115" i="27"/>
  <c r="D143" i="27"/>
  <c r="G113" i="27"/>
  <c r="G117" i="27"/>
  <c r="H117" i="27" s="1"/>
  <c r="H114" i="27"/>
  <c r="H111" i="25"/>
  <c r="G115" i="25"/>
  <c r="G109" i="25"/>
  <c r="H109" i="25" s="1"/>
  <c r="D144" i="25"/>
  <c r="H120" i="25"/>
  <c r="H144" i="25" s="1"/>
  <c r="H117" i="25"/>
  <c r="D116" i="25"/>
  <c r="E116" i="25"/>
  <c r="E119" i="25" s="1"/>
  <c r="M121" i="27" l="1"/>
  <c r="V114" i="27"/>
  <c r="V117" i="27"/>
  <c r="V115" i="27"/>
  <c r="S118" i="27"/>
  <c r="T118" i="27" s="1"/>
  <c r="V118" i="27" s="1"/>
  <c r="T115" i="27"/>
  <c r="S113" i="27"/>
  <c r="P119" i="27"/>
  <c r="S120" i="27"/>
  <c r="M116" i="27"/>
  <c r="N116" i="27" s="1"/>
  <c r="O116" i="27" s="1"/>
  <c r="N113" i="27"/>
  <c r="O113" i="27" s="1"/>
  <c r="N121" i="27"/>
  <c r="O121" i="27" s="1"/>
  <c r="M120" i="27"/>
  <c r="G120" i="27"/>
  <c r="G121" i="27"/>
  <c r="G116" i="27"/>
  <c r="H116" i="27" s="1"/>
  <c r="H113" i="27"/>
  <c r="H115" i="25"/>
  <c r="G118" i="25"/>
  <c r="H118" i="25" s="1"/>
  <c r="G121" i="25"/>
  <c r="G113" i="25"/>
  <c r="D119" i="25"/>
  <c r="T120" i="27" l="1"/>
  <c r="S116" i="27"/>
  <c r="T116" i="27" s="1"/>
  <c r="V116" i="27" s="1"/>
  <c r="T113" i="27"/>
  <c r="V113" i="27" s="1"/>
  <c r="S121" i="27"/>
  <c r="N120" i="27"/>
  <c r="O120" i="27" s="1"/>
  <c r="M119" i="27"/>
  <c r="G144" i="27"/>
  <c r="H120" i="27"/>
  <c r="H144" i="27" s="1"/>
  <c r="G119" i="27"/>
  <c r="G145" i="27"/>
  <c r="H121" i="27"/>
  <c r="H145" i="27" s="1"/>
  <c r="H121" i="25"/>
  <c r="H145" i="25" s="1"/>
  <c r="G145" i="25"/>
  <c r="G116" i="25"/>
  <c r="H113" i="25"/>
  <c r="D143" i="25"/>
  <c r="V120" i="27" l="1"/>
  <c r="T121" i="27"/>
  <c r="V121" i="27" s="1"/>
  <c r="S119" i="27"/>
  <c r="N119" i="27"/>
  <c r="O119" i="27" s="1"/>
  <c r="G143" i="27"/>
  <c r="H119" i="27"/>
  <c r="H143" i="27" s="1"/>
  <c r="G119" i="25"/>
  <c r="H116" i="25"/>
  <c r="V119" i="27" l="1"/>
  <c r="T119" i="27"/>
  <c r="G143" i="25"/>
  <c r="H119" i="25"/>
  <c r="H143" i="25" s="1"/>
  <c r="C13" i="22" l="1"/>
  <c r="D13" i="22"/>
  <c r="E13" i="22" s="1"/>
  <c r="B12" i="23" l="1"/>
</calcChain>
</file>

<file path=xl/sharedStrings.xml><?xml version="1.0" encoding="utf-8"?>
<sst xmlns="http://schemas.openxmlformats.org/spreadsheetml/2006/main" count="690" uniqueCount="328">
  <si>
    <t>Форма № 1</t>
  </si>
  <si>
    <t xml:space="preserve">Заказчик </t>
  </si>
  <si>
    <t>(наименование организации)</t>
  </si>
  <si>
    <t>"Утвержден" «    »________________2019 г.</t>
  </si>
  <si>
    <t>(ссылка на документ об утверждении)</t>
  </si>
  <si>
    <t>«    »________________2019 г.</t>
  </si>
  <si>
    <t>СВОДНЫЙ СМЕТНЫЙ РАСЧЕТ СТОИМОСТИ СТРОИТЕЛЬСТВА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</si>
  <si>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</si>
  <si>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</si>
  <si>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</si>
  <si>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</si>
  <si>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строитель-_x000D_
ных работ</t>
  </si>
  <si>
    <t>монтажных работ</t>
  </si>
  <si>
    <t>оборудования, мебели, инвентаря</t>
  </si>
  <si>
    <t>прочих</t>
  </si>
  <si>
    <t>4</t>
  </si>
  <si>
    <t>5</t>
  </si>
  <si>
    <t>6</t>
  </si>
  <si>
    <t>7</t>
  </si>
  <si>
    <t>9</t>
  </si>
  <si>
    <t>8</t>
  </si>
  <si>
    <t xml:space="preserve">Сводный сметный расчет в сумме </t>
  </si>
  <si>
    <t xml:space="preserve">В том числе возвратных сумм </t>
  </si>
  <si>
    <t xml:space="preserve">Составлена в ценах по состоянию на </t>
  </si>
  <si>
    <t>Сметная стоимость</t>
  </si>
  <si>
    <t>Общая сметная стоимость</t>
  </si>
  <si>
    <t>горных работ</t>
  </si>
  <si>
    <t>Сметная стоимость, тыс. руб.</t>
  </si>
  <si>
    <t>(должность, подпись, расшифровка)</t>
  </si>
  <si>
    <t>Глава 1. Подготовка территории строительства</t>
  </si>
  <si>
    <t>Итого по Главе 1. "Подготовка территории строительства"</t>
  </si>
  <si>
    <t>Итого по Главе 2. "Основные объекты строительства"</t>
  </si>
  <si>
    <t>Итого по Главам 1-7</t>
  </si>
  <si>
    <t>Глава 8. Временные здания и сооружения</t>
  </si>
  <si>
    <t>Итого по Главе 8. "Временные здания и сооружения"</t>
  </si>
  <si>
    <t>Итого по Главам 1-8</t>
  </si>
  <si>
    <t>Глава 9. Прочие работы и затраты</t>
  </si>
  <si>
    <t>Итого по Главам 1-9</t>
  </si>
  <si>
    <t>Итого по Главам 1-12</t>
  </si>
  <si>
    <t>02-01-01</t>
  </si>
  <si>
    <t>02-01-02</t>
  </si>
  <si>
    <t>Расчет начальной (максимальной) цены контракта при осуществлении закупки на выполнение подрядных работ по строительству</t>
  </si>
  <si>
    <t>объект:</t>
  </si>
  <si>
    <t>по адресу:</t>
  </si>
  <si>
    <t>Чеченская республика, Итум-Калинский муниципальный район, с. Ведучи</t>
  </si>
  <si>
    <t>Основания для расчета:</t>
  </si>
  <si>
    <t>Наименование работ и затрат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</si>
  <si>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</si>
  <si>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</si>
  <si>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</si>
  <si>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1.1</t>
  </si>
  <si>
    <t>1.2</t>
  </si>
  <si>
    <t>Стоимость без учета НДС</t>
  </si>
  <si>
    <t>Стоимость с учетом НДС</t>
  </si>
  <si>
    <t>Ведомость объемов конструктивных решений (элементов) и комплексов (видов) работ</t>
  </si>
  <si>
    <t>Номера сметных расчетов (смет) и позиций в сметных расчетах (сметах), относящиеся к соответствующим конструктивным решениям (элементам), комплексам (видам) работ</t>
  </si>
  <si>
    <t>Наименование конструктивных решений (элементов), комплексов (видов) работ</t>
  </si>
  <si>
    <t>Единица измерения</t>
  </si>
  <si>
    <t>Количество (объем работ)</t>
  </si>
  <si>
    <t>комплекс</t>
  </si>
  <si>
    <t>Протокол</t>
  </si>
  <si>
    <t>начальной (максимальной) цены контракта</t>
  </si>
  <si>
    <t>Объект закупки: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</si>
  <si>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</si>
  <si>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</si>
  <si>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затраты на оплату труда рабочих-строителей;</t>
  </si>
  <si>
    <t>- затраты на приобретение материалов, изделий и конструкций;</t>
  </si>
  <si>
    <t>- затраты на эксплуатацию машин и механизмов;</t>
  </si>
  <si>
    <t>- накладные расходы;</t>
  </si>
  <si>
    <t>- сметную прибыль;</t>
  </si>
  <si>
    <t>- стоимость оборудования поставки подрядчика;</t>
  </si>
  <si>
    <t>- затраты на строительство временных зданий и сооружений;</t>
  </si>
  <si>
    <t>- возврат от разборки временных зданий и сооружений в размере 15% от суммы затрат на их возведение;</t>
  </si>
  <si>
    <t>- затраты по разбивке основных осей трассы, переносу их в натуру и закреплению пунктами и знаками;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</si>
  <si>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</si>
  <si>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</si>
  <si>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</si>
  <si>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</si>
  <si>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</si>
  <si>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РАСЧЕТ НАЧАЛЬНОЙ МАКСИМАЛЬНОЙ ЦЕНЫ ДОГОВОРА</t>
  </si>
  <si>
    <t>№ п.п.</t>
  </si>
  <si>
    <t>Перечень видов работ</t>
  </si>
  <si>
    <t xml:space="preserve"> Стоимость в прогнозных   ценах, руб.</t>
  </si>
  <si>
    <t>без учета НДС</t>
  </si>
  <si>
    <t>НДС-20 %</t>
  </si>
  <si>
    <t>с учетом НДС</t>
  </si>
  <si>
    <t>В том числе непредвиденные расходы</t>
  </si>
  <si>
    <t>ПОЯСНИТЕЛЬНАЯ ЗАПИСКА</t>
  </si>
  <si>
    <t>К РАСЧЕТУ НАЧАЛЬНОЙ МАКСИМАЛЬНОЙ ЦЕНЫ ДОГОВОРА</t>
  </si>
  <si>
    <t>Расчет стоимости строительства выполнен проектно-сметным методом.</t>
  </si>
  <si>
    <t>Описание метода расчета стоимости строительства</t>
  </si>
  <si>
    <t>Налог на добавленную стоимость - 20 %</t>
  </si>
  <si>
    <t>Итоговая начальная максимальная цена  работ  составляет:</t>
  </si>
  <si>
    <t>рублей с учетом НДС</t>
  </si>
  <si>
    <t>ПРОЕКТ СМЕТЫ КОНТРАКТА</t>
  </si>
  <si>
    <t>Количество</t>
  </si>
  <si>
    <t>Цена, руб.</t>
  </si>
  <si>
    <t>В том числе оборудование</t>
  </si>
  <si>
    <t>На единицу измерения</t>
  </si>
  <si>
    <t>Всего</t>
  </si>
  <si>
    <t xml:space="preserve">Стоимость работ в ценах на дату формирования начальной (максимальной) цены контракта 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</si>
  <si>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30%</t>
  </si>
  <si>
    <t xml:space="preserve">Начальная максимальная цена договора (далее - НМЦД) определена в соответствии с  требованием Федерального Закона  от 05.04.2013 г. № 44 "О контрактной системе в сфере закупок товаров, работ, услуг для обеспечения государственных и муниципальных нужд". </t>
  </si>
  <si>
    <t>Приложение N 6</t>
  </si>
  <si>
    <t>к Методике определения сметной стоимости строительства,</t>
  </si>
  <si>
    <t>реконструкции, капитального ремонта, сноса объектов капитального</t>
  </si>
  <si>
    <t>строительства, работ по сохранению объектов культурного наследия</t>
  </si>
  <si>
    <t>(памятников истории и культуры) народов Российской Федерации</t>
  </si>
  <si>
    <t>на территории Российской Федерации, утвержденной приказом</t>
  </si>
  <si>
    <t>Министерства строительства и жилищно-коммунального хозяйства</t>
  </si>
  <si>
    <t>Российской Федерации от 4 августа 2020 года N 421/пр</t>
  </si>
  <si>
    <t>Акционерное общество "Курорты Северного Кавказа"</t>
  </si>
  <si>
    <t>Утвержден __ ________________2021 г.</t>
  </si>
  <si>
    <t>Сводный сметный расчет сметной стоимостью</t>
  </si>
  <si>
    <t>тыс.руб.</t>
  </si>
  <si>
    <t xml:space="preserve">В том числе сводный сметный расчет сметной стоимостью. Этап 1                                                                            </t>
  </si>
  <si>
    <t xml:space="preserve">Сводный сметный расчет сметной стоимостью. Этап 2                                                                          </t>
  </si>
  <si>
    <t>Сводный сметный расчет стоимости строительства</t>
  </si>
  <si>
    <t>№ ССРСС-РС-19-533.260000.2.4</t>
  </si>
  <si>
    <t>Всесезонный туристско-рекреационный комплекс "Ведучи", Чеченская Республика. Горнолыжная трасса VP-11</t>
  </si>
  <si>
    <t>Составлен в текущем уровне цен</t>
  </si>
  <si>
    <t>4 кв. 2020 г.</t>
  </si>
  <si>
    <t>Обоснование</t>
  </si>
  <si>
    <t>Наименование глав, объектов капитального строительства, работ и затрат</t>
  </si>
  <si>
    <t>всего</t>
  </si>
  <si>
    <t xml:space="preserve">строительных (ремонтно-
строительных, ремонтно-
реставрационных) работ
</t>
  </si>
  <si>
    <t>01-01-01</t>
  </si>
  <si>
    <t>Создание геодезической разбивочной основы и вынос в натуру линейного объекта. Этап 1</t>
  </si>
  <si>
    <t>Создание геодезической разбивочной основы и вынос в натуру линейного объекта. Этап 2</t>
  </si>
  <si>
    <t>В том числе итого по Главе 1. "Подготовка территории строительства". Этап 1</t>
  </si>
  <si>
    <t>В том числе итого по Главе 1. "Подготовка территории строительства". Этап 2</t>
  </si>
  <si>
    <t>02-01</t>
  </si>
  <si>
    <t>Горнолыжная трасса VP-11. Этап 1</t>
  </si>
  <si>
    <t>Горнолыжная трасса VP-11. Этап 2</t>
  </si>
  <si>
    <t>02-02-01</t>
  </si>
  <si>
    <t>Инженерная защита территории. Этап 1</t>
  </si>
  <si>
    <t>Инженерная защита территории. Этап 2</t>
  </si>
  <si>
    <t>02-03-01</t>
  </si>
  <si>
    <t>Устройство анкерного поля АП-1.1, АП-1.2, АП-1.3, АП-1.4, АП-1.5, АП-1.6, АП-1.7, АП-1.8, АП-1.9, АП-2.1, АП-2.2. Этап 2</t>
  </si>
  <si>
    <t>02-04-01</t>
  </si>
  <si>
    <t>Снегоудерживающие барьеры в лавинном очаге. Этап 2</t>
  </si>
  <si>
    <t>В том числе итого по Главе 2. "Основные объекты строительства". Этап 1</t>
  </si>
  <si>
    <t>В том числе итого по Главе 2. "Основные объекты строительства". Этап 2</t>
  </si>
  <si>
    <t>В том числе итого по Главам 1-7. Этап 1</t>
  </si>
  <si>
    <t>В том числе итого по Главам 1-7. Этап 2</t>
  </si>
  <si>
    <t>Методика определения затрат на строительство ВЗИС, включаемых в ССРСС объектов капитального строительства, утверждена приказом Минстроя РФ от 19.06.2020 № 332/пр. Прил.1 п.54</t>
  </si>
  <si>
    <t>Временные здания и сооружения 2,3%. Этап 1</t>
  </si>
  <si>
    <t>в т.ч. возвратные суммы. Этап 1</t>
  </si>
  <si>
    <t>Временные здания и сооружения 2,3%. Этап 2</t>
  </si>
  <si>
    <t>в т.ч. возвратные суммы. Этап 2</t>
  </si>
  <si>
    <t>В том числе итого по Главе 8. "Временные здания и сооружения". Этап 1</t>
  </si>
  <si>
    <t>В том числе итого по Главе 8. "Временные здания и сооружения". Этап 2</t>
  </si>
  <si>
    <t>В том числе итого по Главам 1-8. Этап 1</t>
  </si>
  <si>
    <t>В том числе итого по Главам 1-8. Этап 2</t>
  </si>
  <si>
    <t>СР-3</t>
  </si>
  <si>
    <t>Расходы на командировки рабочих привлекаемых для строительства. Этап 1</t>
  </si>
  <si>
    <t>Расходы на командировки рабочих привлекаемых для строительства. Этап 2</t>
  </si>
  <si>
    <t>РС-19-533.240000.2.4-ООС</t>
  </si>
  <si>
    <t>Затраты по размещению, утилизации отходов строительного производства. Плата за негативное воздействие на окружающую среду: выбросы загрязняющих веществ в атмосферный воздух. Этап 2</t>
  </si>
  <si>
    <t>СР-5</t>
  </si>
  <si>
    <t>Затраты на подготовку технических планов сооружений. Этап 1</t>
  </si>
  <si>
    <t>Затраты на подготовку технических планов сооружений. Этап 2</t>
  </si>
  <si>
    <t>Итого по Главе 9. "Прочие работы и затраты"</t>
  </si>
  <si>
    <t>В том числе итого по Главе 9. "Прочие работы и затраты". Этап 1</t>
  </si>
  <si>
    <t>В том числе итого по Главе 9. "Прочие работы и затраты". Этап 2</t>
  </si>
  <si>
    <t>В том числе итого по Главам 1-9. Этап 1</t>
  </si>
  <si>
    <t>В том числе итого по Главам 1-9. Этап 2</t>
  </si>
  <si>
    <t>Глава 10. Содержание службы заказчика.Строительный контроль</t>
  </si>
  <si>
    <t>Постановление Правительства РФ от 21.06.2010 №468</t>
  </si>
  <si>
    <t>Затраты на проведение строительного контроля (1,72 % от глав 1-9 граф 4,5,6). Этап 1</t>
  </si>
  <si>
    <t>Затраты на проведение строительного контроля (1,72 % от глав 1-9 граф 4,5,6). Этап 2</t>
  </si>
  <si>
    <t>Итого по Главе 10. "Содержание службы заказчика.Строительный контроль"</t>
  </si>
  <si>
    <t>В том числе итого по Главе 10. "Содержание службы заказчика.Строительный контроль". Этап 1</t>
  </si>
  <si>
    <t>Глава 12. 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</t>
  </si>
  <si>
    <t>12-01-01</t>
  </si>
  <si>
    <t>Проектная документация. Этап 1</t>
  </si>
  <si>
    <t>12-02-01</t>
  </si>
  <si>
    <t>Рабочая документация. Этап 1</t>
  </si>
  <si>
    <t>СР-7</t>
  </si>
  <si>
    <t>Экспертиза проектной документации и результатов инженерных изысканий. Этап 1</t>
  </si>
  <si>
    <t>Методика определения сметной стоимости строительства утвержденная приказом Минстроя РФ от 04.08.2020 № 421/пр, п.173</t>
  </si>
  <si>
    <t>Авторский надзор - 0,2 % от Глав 1 - 9 графы 8. Этап 1</t>
  </si>
  <si>
    <t>Авторский надзор - 0,2 % от Глав 1 - 9 графы 9. Этап 2</t>
  </si>
  <si>
    <t>СР-10</t>
  </si>
  <si>
    <t>Затраты на проезд, проживание, суточные при осуществлении авторского надзора. Этап 1</t>
  </si>
  <si>
    <t>Затраты на проезд, проживание, суточные при осуществлении авторского надзора. Этап 2</t>
  </si>
  <si>
    <t>Итого по Главе 12. "Публичный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работы"</t>
  </si>
  <si>
    <t>В том числе итого по Главе 12. "Публичный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работы". Этап 1</t>
  </si>
  <si>
    <t>В том числе итого по Главе 12. "Публичный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работы". Этап 2</t>
  </si>
  <si>
    <t>В том числе итого по Главам 1-12. Этап 1</t>
  </si>
  <si>
    <t>В том числе итого по Главам 1-12. Этап 2</t>
  </si>
  <si>
    <t>Непредвиденные затраты</t>
  </si>
  <si>
    <t>Методика определения сметной стоимости строительства утвержденная приказом Минстроя РФ от 04.08.2020 № 421/пр, п.179 б</t>
  </si>
  <si>
    <t>Непредвиденные затраты для линейных объектов - 3%. Этап 1</t>
  </si>
  <si>
    <t>Непредвиденные затраты для линейных объектов - 3%. Этап 2</t>
  </si>
  <si>
    <t>Итого "Непредвиденные затраты"</t>
  </si>
  <si>
    <t>В том числе итого "Непредвиденные затраты". Этап 1</t>
  </si>
  <si>
    <t>В том числе итого "Непредвиденные затраты". Этап 2</t>
  </si>
  <si>
    <t>Строки за итогами</t>
  </si>
  <si>
    <t>Итого по сводному расчету в текущем уровне цен</t>
  </si>
  <si>
    <t>В том числе итого по сводному расчету в текущем уровне цен. Этап 1</t>
  </si>
  <si>
    <t>В том числе итого по сводному расчету в текущем уровне цен. Этап 2</t>
  </si>
  <si>
    <t>Налог на добавленную стоимость - 20%</t>
  </si>
  <si>
    <t>В том числе налог на добавленную стоимость - 20%. Этап 1</t>
  </si>
  <si>
    <t>В том числе налог на добавленную стоимость - 20%. Этап 2</t>
  </si>
  <si>
    <t>Итого по сводному расчету в текущем уровне цен с НДС</t>
  </si>
  <si>
    <t>В том числе итого по сводному расчету. Этап 1 с НДС</t>
  </si>
  <si>
    <t>В том числе итого по сводному расчету. Этап 2 с НДС</t>
  </si>
  <si>
    <t xml:space="preserve">в т.ч. ПИР в текущих ценах (без непредвиденных затрат и НДС) </t>
  </si>
  <si>
    <t>в т.ч. возвратные суммы (с НДС)</t>
  </si>
  <si>
    <t>в т.ч. возвратные суммы. Этап 1 (с НДС)</t>
  </si>
  <si>
    <t>в т.ч. возвратные суммы. Этап 2 (с НДС)</t>
  </si>
  <si>
    <t xml:space="preserve">Главный инженер проекта: </t>
  </si>
  <si>
    <t>В.В. Пивень</t>
  </si>
  <si>
    <t xml:space="preserve">Составил:  </t>
  </si>
  <si>
    <t>Ю.Ю. Юров</t>
  </si>
  <si>
    <t>Заместитель генерального директора 
ООО "НКД"
(по доверенности №1801 от 17.11.2020)</t>
  </si>
  <si>
    <t>Р.М. Ихсанов</t>
  </si>
  <si>
    <t>(должность, подпись, расшифровка)
м.п.</t>
  </si>
  <si>
    <t>Заказчик: 
Акционерное общество "Курорты Северного Кавказа"
Директор Департамента развития инфраструктуры 
(по доверенности №1516 от 19.08.2019)</t>
  </si>
  <si>
    <t>В.В. Лапухин</t>
  </si>
  <si>
    <t>Проект полосы отвода. Этап 1</t>
  </si>
  <si>
    <t>Противодеформационные решения земляного полотна. Этап 1</t>
  </si>
  <si>
    <t>02-01-03</t>
  </si>
  <si>
    <t>технология безопасного катания. Этап 1</t>
  </si>
  <si>
    <t>3.1</t>
  </si>
  <si>
    <t>3.2</t>
  </si>
  <si>
    <t>3.3</t>
  </si>
  <si>
    <t>Проект полосы отвода. Этап 2</t>
  </si>
  <si>
    <t>противодеформационные решения земляного полотна. Этап 2</t>
  </si>
  <si>
    <t>технология безопасного катания. Этап 2</t>
  </si>
  <si>
    <t>4.1</t>
  </si>
  <si>
    <t>4.2</t>
  </si>
  <si>
    <t>4.3</t>
  </si>
  <si>
    <t>Затраты подрядчика</t>
  </si>
  <si>
    <t>Затраты заказчика</t>
  </si>
  <si>
    <t>3. Утвержденный сводный сметный расчет стоимости строительства "Всесезонный туристско-рекреационный комплекс "Ведучи", Чеченская Республика. Горнолыжная трасса VP-11" в ценах IV квартала 2020 г.</t>
  </si>
  <si>
    <t>Стоимость работ в ценах утверждения сметной документации - 4 кв. 2020 г.</t>
  </si>
  <si>
    <t>Сметная стоимость, руб.</t>
  </si>
  <si>
    <t>НДС 20%</t>
  </si>
  <si>
    <t>2.1</t>
  </si>
  <si>
    <t>2.2</t>
  </si>
  <si>
    <t>2.3</t>
  </si>
  <si>
    <t>Строительство. Этап 1 (строительно-монтажные работы, оборудование, прочие затраты)</t>
  </si>
  <si>
    <t>2.2.1</t>
  </si>
  <si>
    <t>2.2.2</t>
  </si>
  <si>
    <t>2.2.3</t>
  </si>
  <si>
    <t>С учетом возвратных сумм</t>
  </si>
  <si>
    <t>2. Заключение Федерального автономного учреждения "Главное управление государственной экспертизы" (ФАУ "ГЛАВГОСЭКСПЕРТИЗА РОССИИ") от 02.07.2021 № 20-1-1-3-035123-2021</t>
  </si>
  <si>
    <t>1. Приказ об утверждении проектной документации, включая сводный сметный расчет стоимости строительства от 04.08.2021 № Пр-21-171</t>
  </si>
  <si>
    <t>1 Этап</t>
  </si>
  <si>
    <t>Для расчета цены строительства  использован сводный сметный расчет, разработанный ООО "Национальные канатные дороги" в рамках договора от 09.04.2019 № PC-19-533 и получивший положительное заключение Федерального автономного учреждения "Главное управление государственной экспертизы" (ФАУ "ГЛАВГОСЭКСПЕРТИЗА РОССИИ") г. Москва  от 02.07.2021 № 20-1-1-3-035123-2021</t>
  </si>
  <si>
    <t>Индекс пересчета стоимости строительно-монтажных работ, оборудования, прочих работ и затрат в текущие цены на 4 квартал 2020 г. принят согласно письмам Минстроя РФ  от 04.12.2020 № 49587-ИФ/09; от 12.11.2020 № 45484-ИФ/09; от 02.11.2020 № 44016-ИФ/09.</t>
  </si>
  <si>
    <t>«Адепт: Проект в 13.2»
© ООО «Адепт»</t>
  </si>
  <si>
    <t>форма №2П
от 22.04.2021г</t>
  </si>
  <si>
    <t>Смета №2 РД VP-11</t>
  </si>
  <si>
    <t>на проектные (изыскательские) работы</t>
  </si>
  <si>
    <t xml:space="preserve">Стадия: Рабочая документация </t>
  </si>
  <si>
    <t>Наименование предприятия, здания, сооружения, стадии проектирования, этапа, вида проектных или изыскательских работ</t>
  </si>
  <si>
    <t>Наименование проектной (изыскательской) организации</t>
  </si>
  <si>
    <t>ООО "Национальные канатные дороги"</t>
  </si>
  <si>
    <t>Наименование организации заказчика</t>
  </si>
  <si>
    <t>АО "Курорты Северного Кавказа"</t>
  </si>
  <si>
    <t>Сметный расчет составлен в ценах I кв. 2021 г.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</si>
  <si>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</si>
  <si>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</si>
  <si>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</si>
  <si>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Стоимость, руб.</t>
  </si>
  <si>
    <t>1</t>
  </si>
  <si>
    <t>Автомобильные дороги общего пользования. 2007 г. Таблица 2. Автомобильные дороги общего пользования, п.3
A=356.25 тыс.руб, 
Протяженость дороги L=0.951 км;
Количество = 1 (дорога)</t>
  </si>
  <si>
    <t>A * Количество * Кст
356250 руб * 1 * 0.6 * 0.916</t>
  </si>
  <si>
    <t/>
  </si>
  <si>
    <t>Коэффициенты</t>
  </si>
  <si>
    <t>Стадия: Рабочая документация Кст = 0.6</t>
  </si>
  <si>
    <t>K1 = 1.24 (РПД 1-3) Разработка проектной документации на строительство сооружений в сложных условиях определяется с применением коэффициента к стоимости проектных работ: сейсмичность 9 баллов Основные положения, п.3.12, п/п 1.3 Усложняющий</t>
  </si>
  <si>
    <t>K2 = 1.02 (РПД 1-3) Разработка проектной документации на строительство сооружений в сложных условиях определяется с применением коэффициента к стоимости проектных работ: скальные грунты Основные положения, п.3.12, п/п 2.4 Усложняющий</t>
  </si>
  <si>
    <t>Разделы документации</t>
  </si>
  <si>
    <t>1. Тра 9% * (1 + 0.24 + 0.02)</t>
  </si>
  <si>
    <t>2. Зем пол 42% * (1 + 0.24 + 0.02)</t>
  </si>
  <si>
    <t>3. Вод тру и вод 9% * (1 + 0.24 + 0.02)</t>
  </si>
  <si>
    <t>4. Охр окр сре 8%</t>
  </si>
  <si>
    <t>5. Сме док 8%</t>
  </si>
  <si>
    <t>2</t>
  </si>
  <si>
    <t>Лавинозащита. Удерживающие сооружения на оползнеопасных и оползневых склонах. Очаг 2а.  Площадь 3,51 тыс.м2.</t>
  </si>
  <si>
    <t>Заглубленные сооружения и конструкции, водопонижение, противооползневые сооружения и мероприятия. 2015 г. Таблица 1. Заглубленные сооружения и конструкции, водопонижение, противооползневые сооружения и мероприятия, п.31
A=475.266 тыс.руб; B=83.22 тыс.руб;
Осн. показ. Х=3.51 (тыс.м2) 
Количество = 1</t>
  </si>
  <si>
    <t>(A + B * Xзад) * Количество * Кст
(475266 руб + 83220 руб * 3.51) * 1 * 0.6 * 0.821</t>
  </si>
  <si>
    <t>K1 = 1.3 (РПД 1) Разработка проектной документации на строительство предприятий, зданий и сооружений в сложных условиях:сейсмичность 9 баллов МУ 2009 г. Часть III п.3.7 Усложняющий</t>
  </si>
  <si>
    <t>1. Кон и объ реш 7% * (1 + 0.3)</t>
  </si>
  <si>
    <t>2. Инж обо, сет инж мер, тех реш 66%</t>
  </si>
  <si>
    <t>2.1. Тех реш 66% [из 66%]</t>
  </si>
  <si>
    <t>3. Сме на стр 7%</t>
  </si>
  <si>
    <t>3</t>
  </si>
  <si>
    <t>Заглубленные сооружения и конструкции, водопонижение, противооползневые сооружения и мероприятия. Уположение и поверхностное закрепление склонов (откосов) на длине до 50 м в поперечном направлении к направлению склона (откоса). Высота свыше 5 до 10 м. Анкерные поля 1.3-1.6, 2.1 общая длина 402 м. ширина 6 м.</t>
  </si>
  <si>
    <t>Заглубленные сооружения и конструкции, водопонижение, противооползневые сооружения и мероприятия. 2015 г. Таблица 1. Заглубленные сооружения и конструкции, водопонижение, противооползневые сооружения и мероприятия, п.24
A=148.2 тыс.руб; B=27.36 тыс.руб;
Осн. показ. Х=6 (м) 
Количество = 1</t>
  </si>
  <si>
    <t>(A + B * Xзад) * Количество * Кст * K1
(148200 руб + 27360 руб * 6) * 1 * 0.6 * 2.4 * 1.021</t>
  </si>
  <si>
    <t>K1 = 2.4, N1=8 (шт.), N2=0.2  Для нескольких объектов цена привязки типовой или повторно применяемой проектной документации определяется по ценам Справочников с применением коэффициента К=1+(N1-1)*N2, где N1 - количество объектов (второй и последующие объекты проектируются повторно), N2-коэффициент привязки МУ 2009 г. Часть III п. 3.2 (Ценообразующий)</t>
  </si>
  <si>
    <t>K2 = 1.3 (РПД 2) Разработка проектной документации на строительство предприятий, зданий и сооружений в сложных условиях:сейсмичность 9 баллов МУ 2009 г. Часть III п.3.7 Усложняющий</t>
  </si>
  <si>
    <t>1. Арх реш 6%</t>
  </si>
  <si>
    <t>2. Кон и объ реш 7% * (1 + 0.3)</t>
  </si>
  <si>
    <t>3. Инж обо, сет инж мер, тех реш 78%</t>
  </si>
  <si>
    <t>3.1. Тех реш 66% [из 78%]</t>
  </si>
  <si>
    <t>3.2. Эле, авт, свя, сиг 12% [из 78%]</t>
  </si>
  <si>
    <t>4. Мер по обе пож без 2%</t>
  </si>
  <si>
    <t>5. Сме на стр 7%</t>
  </si>
  <si>
    <t>Заглубленные сооружения и конструкции, водопонижение, противооползневые сооружения и мероприятия. Уположение и поверхностное закрепление склонов (откосов) на длине до 50 м в поперечном направлении к направлению склона (откоса). Высота свыше 5 до 10 м. Анкерные поля 1.1, 1.2, 2.2 общая длина 168 м. ширина 8 м.</t>
  </si>
  <si>
    <t>Заглубленные сооружения и конструкции, водопонижение, противооползневые сооружения и мероприятия. 2015 г. Таблица 1. Заглубленные сооружения и конструкции, водопонижение, противооползневые сооружения и мероприятия, п.24
A=148.2 тыс.руб; B=27.36 тыс.руб;
Осн. показ. Х=8 (м) 
Количество = 1</t>
  </si>
  <si>
    <t>(A + B * Xзад) * Количество * Кст * K1
(148200 руб + 27360 руб * 8) * 1 * 0.6 * 1.6 * 1.021</t>
  </si>
  <si>
    <t>K1 = 1.6, N1=4 (шт.), N2=0.2  Для нескольких объектов цена привязки типовой или повторно применяемой проектной документации определяется по ценам Справочников с применением коэффициента К=1+(N1-1)*N2, где N1 - количество объектов (второй и последующие объекты проектируются повторно), N2-коэффициент привязки МУ 2009 г. Часть III п. 3.2 (Ценообразующий)</t>
  </si>
  <si>
    <t>Итого по смете:</t>
  </si>
  <si>
    <t>Всего по смете:</t>
  </si>
  <si>
    <t>Сумма от п.5</t>
  </si>
  <si>
    <t>В ценах  4 квартала 2020 г.</t>
  </si>
  <si>
    <t>инд. 4 кв. 2020 г. к 01.01.2001 г. на пр.раб. (Письмо Минстроя России от 02.11.2020 № 44016-ИФ/09)</t>
  </si>
  <si>
    <t>Всего по смете (руб.):</t>
  </si>
  <si>
    <t>Составил:</t>
  </si>
  <si>
    <t>Главный инженер проекта ООО "Национальные канатные дороги" _________________________Пивень В.В.</t>
  </si>
  <si>
    <t>в том числе:</t>
  </si>
  <si>
    <t>1 этап (Горнолыжная трасса протяженностью 329 м)</t>
  </si>
  <si>
    <t>2 этап (Горнолыжная трасса протяженностью 619 м, Инж.защита)</t>
  </si>
  <si>
    <r>
      <t xml:space="preserve">Горнолыжная трасса VP-11, </t>
    </r>
    <r>
      <rPr>
        <b/>
        <sz val="10"/>
        <color rgb="FFFF0000"/>
        <rFont val="Arial"/>
        <family val="2"/>
        <charset val="204"/>
      </rPr>
      <t>0,951</t>
    </r>
    <r>
      <rPr>
        <b/>
        <sz val="10"/>
        <rFont val="Arial"/>
        <family val="2"/>
        <charset val="204"/>
      </rPr>
      <t xml:space="preserve"> км. Автомобильная дорога категории V, протяженностью  до 2 км, третьей категории сложности проектирования.</t>
    </r>
  </si>
  <si>
    <t>ВСЕГО, 1 Этап</t>
  </si>
  <si>
    <t>Рабочая документация Этап 1</t>
  </si>
  <si>
    <t>Цена работ учитывает все затраты Подрядчика, включая затраты по разбивке основных осей трассы, переносу их в натуру и закреплению пунктами и знаками, стоимость приобретения материалов и оборудования поставки Подрядчика, стоимость строительно-монтажных,  накладные расходы, сметную прибыль,  затраты на строительство временных зданий и сооружений, возврат от разборки временных зданий и сооружений, налог на добавленную стоимость в размере 20%.</t>
  </si>
  <si>
    <t>общая протяженность трассы 948 м согласно проекту</t>
  </si>
  <si>
    <t>(двадцать восемь миллионов девятьсот сорок девять тысяч сто пятьдесят восемь) рублей,06 копеек</t>
  </si>
  <si>
    <t>Строительно-монтажные работы, работы по разбивке основных осей трассы, переносу их в натуру и закреплению пунктами и знаками, стоимость материальных ресурсов и оборудования, пусконаладочные работы, подготовка исполнительной документации, сдача объекта Заказчику с комплектом документов, позволяющим получить разрешение на ввод объекта в эксплуатацию.</t>
  </si>
  <si>
    <t>Всесезонный туристско-рекреационный комплекс "Ведучи", Чеченская Республика. Горнолыжная трасса VP-11. Этап 1</t>
  </si>
  <si>
    <t>по объекту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</si>
</sst>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40" x14ac:knownFonts="1">
    <font>
      <sz val="11"/>
      <name val="Calibri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u/>
      <sz val="11"/>
      <name val="Calibri"/>
      <family val="2"/>
      <charset val="204"/>
    </font>
    <font>
      <i/>
      <sz val="11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9"/>
      <name val="Calibri"/>
      <family val="2"/>
      <charset val="204"/>
    </font>
    <font>
      <sz val="10"/>
      <color rgb="FF0070C0"/>
      <name val="Times New Roman"/>
      <family val="1"/>
      <charset val="204"/>
    </font>
    <font>
      <sz val="10"/>
      <color rgb="FF0070C0"/>
      <name val="Arial"/>
      <family val="2"/>
      <charset val="204"/>
    </font>
    <font>
      <sz val="11"/>
      <color rgb="FF0070C0"/>
      <name val="Calibri"/>
      <family val="2"/>
      <charset val="204"/>
    </font>
    <font>
      <sz val="6"/>
      <name val="Arial"/>
      <family val="2"/>
      <charset val="204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u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6" fillId="0" borderId="0"/>
    <xf numFmtId="43" fontId="7" fillId="0" borderId="0" applyFont="0" applyFill="0" applyBorder="0" applyAlignment="0" applyProtection="0"/>
    <xf numFmtId="0" fontId="13" fillId="0" borderId="0">
      <alignment horizontal="center" vertical="top"/>
    </xf>
    <xf numFmtId="0" fontId="14" fillId="0" borderId="0">
      <alignment horizontal="left" vertical="top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left" vertical="center"/>
    </xf>
    <xf numFmtId="0" fontId="14" fillId="0" borderId="0">
      <alignment horizontal="center" vertical="center"/>
    </xf>
    <xf numFmtId="0" fontId="14" fillId="0" borderId="0">
      <alignment horizontal="center"/>
    </xf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7" fillId="0" borderId="0"/>
    <xf numFmtId="0" fontId="24" fillId="7" borderId="0" applyNumberFormat="0" applyBorder="0" applyAlignment="0" applyProtection="0"/>
    <xf numFmtId="0" fontId="7" fillId="0" borderId="0"/>
  </cellStyleXfs>
  <cellXfs count="369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2" fillId="0" borderId="0" xfId="2" applyFont="1" applyAlignment="1">
      <alignment vertical="center"/>
    </xf>
    <xf numFmtId="0" fontId="12" fillId="0" borderId="0" xfId="2" applyFont="1" applyFill="1"/>
    <xf numFmtId="0" fontId="12" fillId="0" borderId="0" xfId="15" applyFont="1"/>
    <xf numFmtId="0" fontId="12" fillId="0" borderId="0" xfId="2" applyFont="1"/>
    <xf numFmtId="0" fontId="16" fillId="0" borderId="0" xfId="2" applyFont="1"/>
    <xf numFmtId="0" fontId="17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8" fillId="6" borderId="2" xfId="15" applyFont="1" applyFill="1" applyBorder="1" applyAlignment="1">
      <alignment horizontal="left" vertical="center" wrapText="1"/>
    </xf>
    <xf numFmtId="49" fontId="12" fillId="0" borderId="2" xfId="15" applyNumberFormat="1" applyFont="1" applyBorder="1" applyAlignment="1">
      <alignment horizontal="left" vertical="top" wrapText="1"/>
    </xf>
    <xf numFmtId="49" fontId="12" fillId="4" borderId="6" xfId="17" applyNumberFormat="1" applyFont="1" applyFill="1" applyBorder="1" applyAlignment="1">
      <alignment horizontal="center" vertical="center"/>
    </xf>
    <xf numFmtId="49" fontId="12" fillId="4" borderId="9" xfId="17" applyNumberFormat="1" applyFont="1" applyFill="1" applyBorder="1" applyAlignment="1">
      <alignment horizontal="center" vertical="center"/>
    </xf>
    <xf numFmtId="0" fontId="12" fillId="4" borderId="2" xfId="17" applyFont="1" applyFill="1" applyBorder="1" applyAlignment="1">
      <alignment horizontal="center" vertical="center"/>
    </xf>
    <xf numFmtId="0" fontId="7" fillId="0" borderId="0" xfId="18"/>
    <xf numFmtId="0" fontId="7" fillId="0" borderId="0" xfId="18" applyAlignment="1">
      <alignment vertical="top"/>
    </xf>
    <xf numFmtId="0" fontId="7" fillId="0" borderId="0" xfId="18" applyFont="1" applyAlignment="1">
      <alignment vertical="top"/>
    </xf>
    <xf numFmtId="0" fontId="7" fillId="0" borderId="0" xfId="18" applyFont="1"/>
    <xf numFmtId="49" fontId="7" fillId="0" borderId="0" xfId="18" applyNumberFormat="1" applyFont="1"/>
    <xf numFmtId="49" fontId="7" fillId="0" borderId="0" xfId="18" applyNumberFormat="1"/>
    <xf numFmtId="49" fontId="21" fillId="0" borderId="0" xfId="18" applyNumberFormat="1" applyFont="1"/>
    <xf numFmtId="0" fontId="21" fillId="0" borderId="0" xfId="18" applyFont="1"/>
    <xf numFmtId="0" fontId="23" fillId="0" borderId="0" xfId="18" applyFont="1" applyBorder="1" applyAlignment="1"/>
    <xf numFmtId="0" fontId="12" fillId="0" borderId="0" xfId="18" applyFont="1"/>
    <xf numFmtId="0" fontId="18" fillId="0" borderId="0" xfId="18" applyFont="1" applyAlignment="1">
      <alignment vertical="center"/>
    </xf>
    <xf numFmtId="0" fontId="16" fillId="0" borderId="0" xfId="18" applyFont="1"/>
    <xf numFmtId="0" fontId="16" fillId="5" borderId="2" xfId="18" applyFont="1" applyFill="1" applyBorder="1" applyAlignment="1">
      <alignment horizontal="center" vertical="center" wrapText="1"/>
    </xf>
    <xf numFmtId="0" fontId="12" fillId="5" borderId="2" xfId="18" applyFont="1" applyFill="1" applyBorder="1" applyAlignment="1">
      <alignment horizontal="center"/>
    </xf>
    <xf numFmtId="0" fontId="16" fillId="3" borderId="2" xfId="18" applyFont="1" applyFill="1" applyBorder="1" applyAlignment="1">
      <alignment horizontal="center" vertical="center" wrapText="1"/>
    </xf>
    <xf numFmtId="0" fontId="18" fillId="5" borderId="2" xfId="18" applyFont="1" applyFill="1" applyBorder="1" applyAlignment="1">
      <alignment vertical="center" wrapText="1"/>
    </xf>
    <xf numFmtId="0" fontId="12" fillId="0" borderId="0" xfId="18" applyFont="1" applyAlignment="1">
      <alignment wrapText="1"/>
    </xf>
    <xf numFmtId="4" fontId="12" fillId="0" borderId="2" xfId="18" applyNumberFormat="1" applyFont="1" applyFill="1" applyBorder="1" applyAlignment="1">
      <alignment horizontal="center"/>
    </xf>
    <xf numFmtId="0" fontId="11" fillId="0" borderId="0" xfId="18" applyFont="1" applyBorder="1" applyAlignment="1">
      <alignment vertical="center"/>
    </xf>
    <xf numFmtId="4" fontId="11" fillId="0" borderId="0" xfId="18" applyNumberFormat="1" applyFont="1" applyBorder="1" applyAlignment="1">
      <alignment horizontal="right" vertical="center"/>
    </xf>
    <xf numFmtId="0" fontId="11" fillId="0" borderId="0" xfId="18" applyFont="1" applyBorder="1"/>
    <xf numFmtId="4" fontId="11" fillId="0" borderId="0" xfId="18" applyNumberFormat="1" applyFont="1" applyBorder="1" applyAlignment="1">
      <alignment horizontal="right"/>
    </xf>
    <xf numFmtId="0" fontId="8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/>
    </xf>
    <xf numFmtId="4" fontId="20" fillId="0" borderId="0" xfId="18" applyNumberFormat="1" applyFont="1" applyFill="1" applyAlignment="1">
      <alignment vertical="center" wrapText="1"/>
    </xf>
    <xf numFmtId="0" fontId="8" fillId="0" borderId="0" xfId="2" applyFont="1" applyAlignment="1">
      <alignment horizontal="center" vertical="center" wrapText="1"/>
    </xf>
    <xf numFmtId="0" fontId="16" fillId="5" borderId="2" xfId="18" applyFont="1" applyFill="1" applyBorder="1" applyAlignment="1">
      <alignment horizontal="center" vertical="center" wrapText="1"/>
    </xf>
    <xf numFmtId="0" fontId="12" fillId="4" borderId="6" xfId="17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0" fontId="8" fillId="5" borderId="2" xfId="2" applyFont="1" applyFill="1" applyBorder="1" applyAlignment="1">
      <alignment horizontal="center" vertical="center" wrapText="1"/>
    </xf>
    <xf numFmtId="49" fontId="1" fillId="0" borderId="0" xfId="15" applyNumberFormat="1" applyFont="1" applyAlignment="1">
      <alignment horizontal="left" vertical="top"/>
    </xf>
    <xf numFmtId="0" fontId="1" fillId="0" borderId="0" xfId="15" applyFont="1" applyAlignment="1">
      <alignment horizontal="right" vertical="top"/>
    </xf>
    <xf numFmtId="0" fontId="1" fillId="0" borderId="0" xfId="15" applyFont="1"/>
    <xf numFmtId="0" fontId="1" fillId="0" borderId="0" xfId="15" applyFont="1" applyAlignment="1">
      <alignment horizontal="center" vertical="center"/>
    </xf>
    <xf numFmtId="49" fontId="1" fillId="0" borderId="12" xfId="15" applyNumberFormat="1" applyFont="1" applyBorder="1" applyAlignment="1">
      <alignment horizontal="left" vertical="top"/>
    </xf>
    <xf numFmtId="0" fontId="4" fillId="0" borderId="12" xfId="15" applyFont="1" applyBorder="1" applyAlignment="1">
      <alignment horizontal="center" vertical="center"/>
    </xf>
    <xf numFmtId="0" fontId="1" fillId="0" borderId="12" xfId="15" applyFont="1" applyBorder="1" applyAlignment="1">
      <alignment horizontal="right" vertical="top"/>
    </xf>
    <xf numFmtId="0" fontId="1" fillId="0" borderId="12" xfId="15" applyFont="1" applyBorder="1" applyAlignment="1">
      <alignment horizontal="center" vertical="center"/>
    </xf>
    <xf numFmtId="0" fontId="4" fillId="0" borderId="0" xfId="15" applyFont="1" applyAlignment="1">
      <alignment horizontal="center" vertical="center"/>
    </xf>
    <xf numFmtId="49" fontId="3" fillId="0" borderId="0" xfId="15" applyNumberFormat="1" applyFont="1" applyAlignment="1">
      <alignment vertical="top"/>
    </xf>
    <xf numFmtId="4" fontId="3" fillId="0" borderId="1" xfId="15" applyNumberFormat="1" applyFont="1" applyBorder="1"/>
    <xf numFmtId="0" fontId="1" fillId="0" borderId="1" xfId="15" applyFont="1" applyBorder="1"/>
    <xf numFmtId="49" fontId="3" fillId="0" borderId="1" xfId="15" applyNumberFormat="1" applyFont="1" applyBorder="1" applyAlignment="1">
      <alignment vertical="top"/>
    </xf>
    <xf numFmtId="49" fontId="25" fillId="0" borderId="0" xfId="15" applyNumberFormat="1" applyFont="1" applyAlignment="1">
      <alignment wrapText="1"/>
    </xf>
    <xf numFmtId="4" fontId="25" fillId="0" borderId="1" xfId="15" applyNumberFormat="1" applyFont="1" applyBorder="1"/>
    <xf numFmtId="0" fontId="4" fillId="0" borderId="0" xfId="15" applyFont="1"/>
    <xf numFmtId="0" fontId="1" fillId="0" borderId="0" xfId="15" applyFont="1" applyAlignment="1">
      <alignment horizontal="center" vertical="top"/>
    </xf>
    <xf numFmtId="49" fontId="3" fillId="0" borderId="4" xfId="15" applyNumberFormat="1" applyFont="1" applyBorder="1" applyAlignment="1">
      <alignment vertical="top"/>
    </xf>
    <xf numFmtId="49" fontId="1" fillId="0" borderId="1" xfId="15" applyNumberFormat="1" applyFont="1" applyBorder="1" applyAlignment="1">
      <alignment horizontal="left" vertical="top"/>
    </xf>
    <xf numFmtId="49" fontId="1" fillId="0" borderId="1" xfId="15" applyNumberFormat="1" applyFont="1" applyBorder="1" applyAlignment="1">
      <alignment vertical="top" wrapText="1"/>
    </xf>
    <xf numFmtId="0" fontId="2" fillId="0" borderId="1" xfId="15" applyBorder="1" applyAlignment="1">
      <alignment wrapText="1"/>
    </xf>
    <xf numFmtId="0" fontId="3" fillId="0" borderId="0" xfId="15" applyFont="1" applyAlignment="1">
      <alignment horizontal="center" vertical="center"/>
    </xf>
    <xf numFmtId="0" fontId="3" fillId="0" borderId="0" xfId="15" applyFont="1" applyAlignment="1">
      <alignment horizontal="right" vertical="center"/>
    </xf>
    <xf numFmtId="0" fontId="5" fillId="0" borderId="0" xfId="15" applyFont="1" applyAlignment="1">
      <alignment horizontal="center" vertical="center"/>
    </xf>
    <xf numFmtId="4" fontId="1" fillId="0" borderId="1" xfId="15" applyNumberFormat="1" applyFont="1" applyBorder="1" applyAlignment="1">
      <alignment horizontal="right" vertical="center"/>
    </xf>
    <xf numFmtId="0" fontId="1" fillId="0" borderId="1" xfId="15" applyFont="1" applyBorder="1" applyAlignment="1">
      <alignment horizontal="center" vertical="center"/>
    </xf>
    <xf numFmtId="0" fontId="1" fillId="0" borderId="0" xfId="15" applyFont="1" applyAlignment="1">
      <alignment horizontal="right" vertical="center"/>
    </xf>
    <xf numFmtId="0" fontId="1" fillId="0" borderId="6" xfId="15" applyFont="1" applyBorder="1" applyAlignment="1">
      <alignment horizontal="center" vertical="center"/>
    </xf>
    <xf numFmtId="49" fontId="1" fillId="0" borderId="6" xfId="15" applyNumberFormat="1" applyFont="1" applyBorder="1" applyAlignment="1">
      <alignment horizontal="center" vertical="center"/>
    </xf>
    <xf numFmtId="0" fontId="1" fillId="0" borderId="2" xfId="15" applyFont="1" applyBorder="1" applyAlignment="1">
      <alignment horizontal="center" vertical="top" wrapText="1"/>
    </xf>
    <xf numFmtId="49" fontId="1" fillId="0" borderId="2" xfId="15" applyNumberFormat="1" applyFont="1" applyBorder="1" applyAlignment="1">
      <alignment horizontal="left" vertical="top" wrapText="1"/>
    </xf>
    <xf numFmtId="4" fontId="1" fillId="0" borderId="2" xfId="15" applyNumberFormat="1" applyFont="1" applyBorder="1" applyAlignment="1">
      <alignment horizontal="right" vertical="top" wrapText="1"/>
    </xf>
    <xf numFmtId="4" fontId="1" fillId="0" borderId="2" xfId="15" applyNumberFormat="1" applyFont="1" applyBorder="1" applyAlignment="1">
      <alignment horizontal="right" vertical="top"/>
    </xf>
    <xf numFmtId="4" fontId="3" fillId="0" borderId="2" xfId="15" applyNumberFormat="1" applyFont="1" applyBorder="1" applyAlignment="1">
      <alignment horizontal="right" vertical="top" wrapText="1"/>
    </xf>
    <xf numFmtId="0" fontId="1" fillId="0" borderId="2" xfId="15" applyFont="1" applyBorder="1" applyAlignment="1">
      <alignment horizontal="center" vertical="top"/>
    </xf>
    <xf numFmtId="4" fontId="25" fillId="0" borderId="2" xfId="15" applyNumberFormat="1" applyFont="1" applyBorder="1" applyAlignment="1">
      <alignment horizontal="right" vertical="top" wrapText="1"/>
    </xf>
    <xf numFmtId="4" fontId="3" fillId="0" borderId="2" xfId="15" applyNumberFormat="1" applyFont="1" applyBorder="1" applyAlignment="1">
      <alignment horizontal="right" vertical="top"/>
    </xf>
    <xf numFmtId="49" fontId="4" fillId="0" borderId="2" xfId="15" applyNumberFormat="1" applyFont="1" applyBorder="1" applyAlignment="1">
      <alignment horizontal="left" vertical="top" wrapText="1"/>
    </xf>
    <xf numFmtId="4" fontId="4" fillId="0" borderId="2" xfId="15" applyNumberFormat="1" applyFont="1" applyBorder="1" applyAlignment="1">
      <alignment horizontal="right" vertical="top" wrapText="1"/>
    </xf>
    <xf numFmtId="0" fontId="1" fillId="8" borderId="2" xfId="15" applyFont="1" applyFill="1" applyBorder="1" applyAlignment="1">
      <alignment horizontal="center" vertical="top" wrapText="1"/>
    </xf>
    <xf numFmtId="49" fontId="1" fillId="8" borderId="2" xfId="15" applyNumberFormat="1" applyFont="1" applyFill="1" applyBorder="1" applyAlignment="1">
      <alignment horizontal="left" vertical="top" wrapText="1"/>
    </xf>
    <xf numFmtId="4" fontId="1" fillId="8" borderId="2" xfId="15" applyNumberFormat="1" applyFont="1" applyFill="1" applyBorder="1" applyAlignment="1">
      <alignment horizontal="right" vertical="top"/>
    </xf>
    <xf numFmtId="4" fontId="1" fillId="8" borderId="2" xfId="15" applyNumberFormat="1" applyFont="1" applyFill="1" applyBorder="1" applyAlignment="1">
      <alignment horizontal="right" vertical="top" wrapText="1"/>
    </xf>
    <xf numFmtId="0" fontId="1" fillId="0" borderId="2" xfId="15" applyFont="1" applyBorder="1" applyAlignment="1">
      <alignment horizontal="right" vertical="top"/>
    </xf>
    <xf numFmtId="2" fontId="1" fillId="0" borderId="2" xfId="15" applyNumberFormat="1" applyFont="1" applyBorder="1" applyAlignment="1">
      <alignment horizontal="right" vertical="top" wrapText="1"/>
    </xf>
    <xf numFmtId="2" fontId="3" fillId="0" borderId="2" xfId="15" applyNumberFormat="1" applyFont="1" applyBorder="1" applyAlignment="1">
      <alignment horizontal="right" vertical="top" wrapText="1"/>
    </xf>
    <xf numFmtId="2" fontId="3" fillId="0" borderId="2" xfId="15" applyNumberFormat="1" applyFont="1" applyBorder="1" applyAlignment="1">
      <alignment horizontal="right" vertical="top"/>
    </xf>
    <xf numFmtId="0" fontId="4" fillId="0" borderId="2" xfId="15" applyFont="1" applyBorder="1" applyAlignment="1">
      <alignment horizontal="right" vertical="top"/>
    </xf>
    <xf numFmtId="2" fontId="25" fillId="0" borderId="2" xfId="15" applyNumberFormat="1" applyFont="1" applyBorder="1" applyAlignment="1">
      <alignment horizontal="right" vertical="top"/>
    </xf>
    <xf numFmtId="0" fontId="1" fillId="0" borderId="2" xfId="15" applyFont="1" applyBorder="1" applyAlignment="1">
      <alignment horizontal="right" vertical="top" wrapText="1"/>
    </xf>
    <xf numFmtId="0" fontId="3" fillId="0" borderId="2" xfId="15" applyFont="1" applyBorder="1" applyAlignment="1">
      <alignment horizontal="right" vertical="top" wrapText="1"/>
    </xf>
    <xf numFmtId="0" fontId="2" fillId="0" borderId="2" xfId="15" applyBorder="1" applyAlignment="1">
      <alignment horizontal="left" vertical="top" wrapText="1"/>
    </xf>
    <xf numFmtId="49" fontId="3" fillId="0" borderId="2" xfId="15" applyNumberFormat="1" applyFont="1" applyBorder="1" applyAlignment="1">
      <alignment horizontal="left" vertical="top" wrapText="1"/>
    </xf>
    <xf numFmtId="4" fontId="27" fillId="0" borderId="2" xfId="15" applyNumberFormat="1" applyFont="1" applyBorder="1" applyAlignment="1">
      <alignment horizontal="right" vertical="top" wrapText="1"/>
    </xf>
    <xf numFmtId="49" fontId="1" fillId="0" borderId="2" xfId="15" applyNumberFormat="1" applyFont="1" applyBorder="1" applyAlignment="1">
      <alignment horizontal="left" vertical="top"/>
    </xf>
    <xf numFmtId="49" fontId="25" fillId="0" borderId="2" xfId="15" applyNumberFormat="1" applyFont="1" applyBorder="1" applyAlignment="1">
      <alignment horizontal="left" vertical="top" wrapText="1"/>
    </xf>
    <xf numFmtId="0" fontId="2" fillId="0" borderId="2" xfId="15" applyBorder="1" applyAlignment="1">
      <alignment vertical="top" wrapText="1"/>
    </xf>
    <xf numFmtId="0" fontId="26" fillId="0" borderId="2" xfId="15" applyFont="1" applyBorder="1" applyAlignment="1">
      <alignment vertical="top" wrapText="1"/>
    </xf>
    <xf numFmtId="4" fontId="4" fillId="0" borderId="2" xfId="15" applyNumberFormat="1" applyFont="1" applyBorder="1" applyAlignment="1">
      <alignment horizontal="right" vertical="top"/>
    </xf>
    <xf numFmtId="0" fontId="9" fillId="0" borderId="0" xfId="20" applyFont="1" applyAlignment="1">
      <alignment horizontal="center" vertical="top" wrapText="1"/>
    </xf>
    <xf numFmtId="49" fontId="9" fillId="0" borderId="0" xfId="20" applyNumberFormat="1" applyFont="1" applyAlignment="1">
      <alignment horizontal="left" vertical="top" wrapText="1"/>
    </xf>
    <xf numFmtId="0" fontId="9" fillId="0" borderId="0" xfId="20" applyFont="1" applyAlignment="1">
      <alignment horizontal="left" vertical="top" wrapText="1"/>
    </xf>
    <xf numFmtId="0" fontId="9" fillId="0" borderId="0" xfId="20" applyFont="1" applyAlignment="1">
      <alignment horizontal="right" vertical="top" wrapText="1"/>
    </xf>
    <xf numFmtId="0" fontId="9" fillId="0" borderId="0" xfId="20" applyFont="1"/>
    <xf numFmtId="0" fontId="9" fillId="0" borderId="1" xfId="20" applyFont="1" applyBorder="1"/>
    <xf numFmtId="0" fontId="9" fillId="0" borderId="0" xfId="20" applyFont="1" applyAlignment="1">
      <alignment horizontal="center"/>
    </xf>
    <xf numFmtId="0" fontId="9" fillId="0" borderId="0" xfId="20" applyFont="1" applyAlignment="1">
      <alignment wrapText="1"/>
    </xf>
    <xf numFmtId="0" fontId="29" fillId="0" borderId="0" xfId="20" applyFont="1"/>
    <xf numFmtId="0" fontId="4" fillId="0" borderId="0" xfId="15" applyFont="1" applyAlignment="1">
      <alignment horizontal="center" vertical="top" wrapText="1"/>
    </xf>
    <xf numFmtId="0" fontId="2" fillId="0" borderId="0" xfId="15" applyAlignment="1">
      <alignment vertical="top" wrapText="1"/>
    </xf>
    <xf numFmtId="49" fontId="30" fillId="0" borderId="2" xfId="0" applyNumberFormat="1" applyFont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right" vertical="top" wrapText="1"/>
    </xf>
    <xf numFmtId="0" fontId="31" fillId="0" borderId="0" xfId="15" applyFont="1"/>
    <xf numFmtId="0" fontId="32" fillId="0" borderId="0" xfId="0" applyFont="1"/>
    <xf numFmtId="49" fontId="30" fillId="0" borderId="2" xfId="0" quotePrefix="1" applyNumberFormat="1" applyFont="1" applyBorder="1" applyAlignment="1">
      <alignment horizontal="center" vertical="top" wrapText="1"/>
    </xf>
    <xf numFmtId="0" fontId="1" fillId="0" borderId="0" xfId="15" applyFont="1" applyBorder="1"/>
    <xf numFmtId="0" fontId="2" fillId="0" borderId="0" xfId="15" applyBorder="1" applyAlignment="1">
      <alignment wrapText="1"/>
    </xf>
    <xf numFmtId="0" fontId="1" fillId="0" borderId="0" xfId="15" applyFont="1" applyBorder="1" applyAlignment="1">
      <alignment horizontal="center" vertical="center"/>
    </xf>
    <xf numFmtId="0" fontId="4" fillId="0" borderId="0" xfId="15" applyFont="1" applyBorder="1" applyAlignment="1">
      <alignment horizontal="center" vertical="center"/>
    </xf>
    <xf numFmtId="0" fontId="1" fillId="0" borderId="0" xfId="15" applyFont="1" applyBorder="1" applyAlignment="1">
      <alignment horizontal="right" vertical="top"/>
    </xf>
    <xf numFmtId="0" fontId="3" fillId="0" borderId="0" xfId="15" applyFont="1" applyBorder="1" applyAlignment="1">
      <alignment horizontal="center" vertical="center"/>
    </xf>
    <xf numFmtId="0" fontId="3" fillId="0" borderId="0" xfId="15" applyFont="1" applyBorder="1" applyAlignment="1">
      <alignment horizontal="right" vertical="center"/>
    </xf>
    <xf numFmtId="0" fontId="5" fillId="0" borderId="0" xfId="15" applyFont="1" applyBorder="1" applyAlignment="1">
      <alignment horizontal="center" vertical="center"/>
    </xf>
    <xf numFmtId="4" fontId="1" fillId="0" borderId="0" xfId="15" applyNumberFormat="1" applyFont="1" applyBorder="1" applyAlignment="1">
      <alignment horizontal="right" vertical="center"/>
    </xf>
    <xf numFmtId="4" fontId="24" fillId="7" borderId="2" xfId="19" applyNumberFormat="1" applyBorder="1" applyAlignment="1">
      <alignment horizontal="right" vertical="top" wrapText="1"/>
    </xf>
    <xf numFmtId="0" fontId="1" fillId="0" borderId="2" xfId="15" applyFont="1" applyFill="1" applyBorder="1" applyAlignment="1">
      <alignment horizontal="center" vertical="top" wrapText="1"/>
    </xf>
    <xf numFmtId="49" fontId="1" fillId="0" borderId="2" xfId="15" applyNumberFormat="1" applyFont="1" applyFill="1" applyBorder="1" applyAlignment="1">
      <alignment horizontal="left" vertical="top" wrapText="1"/>
    </xf>
    <xf numFmtId="4" fontId="1" fillId="0" borderId="2" xfId="15" applyNumberFormat="1" applyFont="1" applyFill="1" applyBorder="1" applyAlignment="1">
      <alignment horizontal="right" vertical="top"/>
    </xf>
    <xf numFmtId="4" fontId="1" fillId="0" borderId="2" xfId="15" applyNumberFormat="1" applyFont="1" applyFill="1" applyBorder="1" applyAlignment="1">
      <alignment horizontal="right" vertical="top" wrapText="1"/>
    </xf>
    <xf numFmtId="2" fontId="24" fillId="7" borderId="2" xfId="19" applyNumberFormat="1" applyBorder="1" applyAlignment="1">
      <alignment horizontal="right" vertical="top" wrapText="1"/>
    </xf>
    <xf numFmtId="4" fontId="1" fillId="0" borderId="0" xfId="15" applyNumberFormat="1" applyFont="1"/>
    <xf numFmtId="0" fontId="9" fillId="0" borderId="0" xfId="20" applyFont="1" applyBorder="1"/>
    <xf numFmtId="0" fontId="9" fillId="0" borderId="0" xfId="20" applyFont="1" applyBorder="1" applyAlignment="1">
      <alignment horizontal="center"/>
    </xf>
    <xf numFmtId="0" fontId="9" fillId="0" borderId="0" xfId="20" applyFont="1" applyBorder="1" applyAlignment="1">
      <alignment wrapText="1"/>
    </xf>
    <xf numFmtId="0" fontId="29" fillId="0" borderId="0" xfId="20" applyFont="1" applyBorder="1"/>
    <xf numFmtId="4" fontId="3" fillId="0" borderId="0" xfId="15" applyNumberFormat="1" applyFont="1" applyBorder="1"/>
    <xf numFmtId="49" fontId="3" fillId="0" borderId="0" xfId="15" applyNumberFormat="1" applyFont="1" applyBorder="1" applyAlignment="1">
      <alignment vertical="top"/>
    </xf>
    <xf numFmtId="4" fontId="25" fillId="0" borderId="0" xfId="15" applyNumberFormat="1" applyFont="1" applyBorder="1"/>
    <xf numFmtId="0" fontId="4" fillId="0" borderId="0" xfId="15" applyFont="1" applyBorder="1"/>
    <xf numFmtId="0" fontId="12" fillId="0" borderId="2" xfId="2" applyFont="1" applyFill="1" applyBorder="1" applyAlignment="1">
      <alignment horizontal="center" vertical="center" wrapText="1"/>
    </xf>
    <xf numFmtId="0" fontId="8" fillId="6" borderId="2" xfId="15" applyFont="1" applyFill="1" applyBorder="1" applyAlignment="1">
      <alignment horizontal="center" vertical="center"/>
    </xf>
    <xf numFmtId="4" fontId="9" fillId="0" borderId="0" xfId="20" applyNumberFormat="1" applyFont="1" applyBorder="1"/>
    <xf numFmtId="43" fontId="8" fillId="6" borderId="2" xfId="3" applyFont="1" applyFill="1" applyBorder="1" applyAlignment="1">
      <alignment horizontal="center" vertical="center"/>
    </xf>
    <xf numFmtId="43" fontId="8" fillId="6" borderId="2" xfId="3" applyFont="1" applyFill="1" applyBorder="1"/>
    <xf numFmtId="43" fontId="19" fillId="0" borderId="2" xfId="3" applyFont="1" applyBorder="1" applyAlignment="1">
      <alignment horizontal="right" vertical="top" wrapText="1"/>
    </xf>
    <xf numFmtId="43" fontId="12" fillId="0" borderId="2" xfId="3" applyFont="1" applyBorder="1" applyAlignment="1">
      <alignment horizontal="right" vertical="top"/>
    </xf>
    <xf numFmtId="43" fontId="12" fillId="0" borderId="2" xfId="3" applyFont="1" applyBorder="1" applyAlignment="1">
      <alignment horizontal="right" vertical="top" wrapText="1"/>
    </xf>
    <xf numFmtId="43" fontId="8" fillId="4" borderId="0" xfId="3" applyFont="1" applyFill="1" applyBorder="1" applyAlignment="1">
      <alignment horizontal="right" vertical="top" wrapText="1"/>
    </xf>
    <xf numFmtId="164" fontId="1" fillId="0" borderId="0" xfId="15" applyNumberFormat="1" applyFont="1" applyAlignment="1">
      <alignment horizontal="right" vertical="top"/>
    </xf>
    <xf numFmtId="4" fontId="1" fillId="0" borderId="0" xfId="15" applyNumberFormat="1" applyFont="1" applyAlignment="1">
      <alignment horizontal="right" vertical="top"/>
    </xf>
    <xf numFmtId="43" fontId="8" fillId="4" borderId="2" xfId="3" applyFont="1" applyFill="1" applyBorder="1" applyAlignment="1">
      <alignment horizontal="right" vertical="top" wrapText="1"/>
    </xf>
    <xf numFmtId="43" fontId="12" fillId="3" borderId="2" xfId="3" applyFont="1" applyFill="1" applyBorder="1" applyAlignment="1">
      <alignment horizontal="center" vertical="center"/>
    </xf>
    <xf numFmtId="43" fontId="19" fillId="3" borderId="2" xfId="3" applyFont="1" applyFill="1" applyBorder="1" applyAlignment="1">
      <alignment horizontal="center" vertical="center"/>
    </xf>
    <xf numFmtId="43" fontId="12" fillId="0" borderId="2" xfId="3" applyFont="1" applyBorder="1" applyAlignment="1">
      <alignment horizontal="center" vertical="center"/>
    </xf>
    <xf numFmtId="43" fontId="12" fillId="0" borderId="2" xfId="3" applyFont="1" applyBorder="1" applyAlignment="1">
      <alignment horizontal="center" vertical="center" wrapText="1"/>
    </xf>
    <xf numFmtId="43" fontId="19" fillId="0" borderId="2" xfId="3" applyFont="1" applyBorder="1" applyAlignment="1">
      <alignment horizontal="center" vertical="center" wrapText="1"/>
    </xf>
    <xf numFmtId="49" fontId="8" fillId="6" borderId="2" xfId="15" applyNumberFormat="1" applyFont="1" applyFill="1" applyBorder="1" applyAlignment="1">
      <alignment horizontal="left" vertical="top"/>
    </xf>
    <xf numFmtId="0" fontId="12" fillId="0" borderId="2" xfId="15" quotePrefix="1" applyFont="1" applyBorder="1" applyAlignment="1">
      <alignment horizontal="center" vertical="top" wrapText="1"/>
    </xf>
    <xf numFmtId="49" fontId="8" fillId="6" borderId="0" xfId="15" applyNumberFormat="1" applyFont="1" applyFill="1" applyAlignment="1">
      <alignment horizontal="left" vertical="top"/>
    </xf>
    <xf numFmtId="49" fontId="19" fillId="0" borderId="2" xfId="0" quotePrefix="1" applyNumberFormat="1" applyFont="1" applyBorder="1" applyAlignment="1">
      <alignment horizontal="center" vertical="top" wrapText="1"/>
    </xf>
    <xf numFmtId="49" fontId="19" fillId="0" borderId="2" xfId="0" applyNumberFormat="1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8" fillId="4" borderId="2" xfId="15" applyFont="1" applyFill="1" applyBorder="1" applyAlignment="1">
      <alignment horizontal="center" vertical="top" wrapText="1"/>
    </xf>
    <xf numFmtId="49" fontId="8" fillId="4" borderId="2" xfId="15" applyNumberFormat="1" applyFont="1" applyFill="1" applyBorder="1" applyAlignment="1">
      <alignment horizontal="left" vertical="top" wrapText="1"/>
    </xf>
    <xf numFmtId="0" fontId="18" fillId="5" borderId="2" xfId="18" applyFont="1" applyFill="1" applyBorder="1" applyAlignment="1">
      <alignment horizontal="center" vertical="center" wrapText="1"/>
    </xf>
    <xf numFmtId="49" fontId="16" fillId="3" borderId="2" xfId="18" applyNumberFormat="1" applyFont="1" applyFill="1" applyBorder="1" applyAlignment="1">
      <alignment horizontal="center" vertical="center" wrapText="1"/>
    </xf>
    <xf numFmtId="0" fontId="1" fillId="0" borderId="2" xfId="15" applyFont="1" applyBorder="1" applyAlignment="1">
      <alignment horizontal="center"/>
    </xf>
    <xf numFmtId="0" fontId="12" fillId="5" borderId="2" xfId="15" applyFont="1" applyFill="1" applyBorder="1" applyAlignment="1">
      <alignment horizontal="center" vertical="center" wrapText="1"/>
    </xf>
    <xf numFmtId="49" fontId="12" fillId="5" borderId="2" xfId="15" applyNumberFormat="1" applyFont="1" applyFill="1" applyBorder="1" applyAlignment="1">
      <alignment horizontal="center" vertical="center" wrapText="1"/>
    </xf>
    <xf numFmtId="0" fontId="12" fillId="5" borderId="2" xfId="2" applyFont="1" applyFill="1" applyBorder="1" applyAlignment="1">
      <alignment horizontal="center" vertical="center" wrapText="1"/>
    </xf>
    <xf numFmtId="0" fontId="12" fillId="5" borderId="6" xfId="15" applyFont="1" applyFill="1" applyBorder="1" applyAlignment="1">
      <alignment horizontal="center" vertical="center"/>
    </xf>
    <xf numFmtId="49" fontId="12" fillId="5" borderId="6" xfId="15" applyNumberFormat="1" applyFont="1" applyFill="1" applyBorder="1" applyAlignment="1">
      <alignment horizontal="center" vertical="center"/>
    </xf>
    <xf numFmtId="0" fontId="12" fillId="5" borderId="2" xfId="15" applyFont="1" applyFill="1" applyBorder="1" applyAlignment="1">
      <alignment horizontal="center"/>
    </xf>
    <xf numFmtId="0" fontId="1" fillId="0" borderId="0" xfId="1"/>
    <xf numFmtId="0" fontId="1" fillId="0" borderId="0" xfId="1" applyAlignment="1">
      <alignment horizontal="right"/>
    </xf>
    <xf numFmtId="0" fontId="35" fillId="0" borderId="0" xfId="1" applyFont="1" applyAlignment="1">
      <alignment horizontal="right" vertical="top"/>
    </xf>
    <xf numFmtId="0" fontId="1" fillId="0" borderId="0" xfId="1" applyAlignment="1">
      <alignment wrapText="1"/>
    </xf>
    <xf numFmtId="0" fontId="1" fillId="0" borderId="0" xfId="1" applyAlignment="1">
      <alignment vertical="top" wrapText="1"/>
    </xf>
    <xf numFmtId="0" fontId="1" fillId="0" borderId="0" xfId="1" applyAlignment="1">
      <alignment vertical="top"/>
    </xf>
    <xf numFmtId="0" fontId="37" fillId="0" borderId="14" xfId="1" applyFont="1" applyBorder="1" applyAlignment="1">
      <alignment horizontal="center" vertical="top" wrapText="1"/>
    </xf>
    <xf numFmtId="0" fontId="38" fillId="0" borderId="14" xfId="1" applyFont="1" applyBorder="1" applyAlignment="1">
      <alignment horizontal="center" vertical="top" wrapText="1"/>
    </xf>
    <xf numFmtId="49" fontId="1" fillId="0" borderId="14" xfId="1" applyNumberFormat="1" applyBorder="1" applyAlignment="1">
      <alignment horizontal="center" wrapText="1"/>
    </xf>
    <xf numFmtId="0" fontId="1" fillId="0" borderId="14" xfId="1" applyBorder="1" applyAlignment="1">
      <alignment horizontal="center" wrapText="1"/>
    </xf>
    <xf numFmtId="49" fontId="3" fillId="0" borderId="21" xfId="1" applyNumberFormat="1" applyFont="1" applyBorder="1" applyAlignment="1">
      <alignment horizontal="right" vertical="top" wrapText="1"/>
    </xf>
    <xf numFmtId="0" fontId="1" fillId="0" borderId="21" xfId="1" applyBorder="1" applyAlignment="1">
      <alignment horizontal="left" vertical="top" wrapText="1"/>
    </xf>
    <xf numFmtId="49" fontId="3" fillId="0" borderId="7" xfId="1" applyNumberFormat="1" applyFont="1" applyBorder="1" applyAlignment="1">
      <alignment horizontal="right" vertical="top" wrapText="1"/>
    </xf>
    <xf numFmtId="0" fontId="3" fillId="0" borderId="7" xfId="1" applyFont="1" applyBorder="1" applyAlignment="1">
      <alignment horizontal="left" vertical="top" wrapText="1"/>
    </xf>
    <xf numFmtId="0" fontId="1" fillId="0" borderId="7" xfId="1" applyBorder="1" applyAlignment="1">
      <alignment horizontal="left" vertical="top" wrapText="1"/>
    </xf>
    <xf numFmtId="49" fontId="3" fillId="0" borderId="26" xfId="1" applyNumberFormat="1" applyFont="1" applyBorder="1" applyAlignment="1">
      <alignment horizontal="right" vertical="top" wrapText="1"/>
    </xf>
    <xf numFmtId="0" fontId="1" fillId="0" borderId="26" xfId="1" applyBorder="1" applyAlignment="1">
      <alignment horizontal="left" vertical="top" wrapText="1"/>
    </xf>
    <xf numFmtId="49" fontId="3" fillId="0" borderId="30" xfId="1" applyNumberFormat="1" applyFont="1" applyBorder="1" applyAlignment="1">
      <alignment horizontal="right" vertical="top" wrapText="1"/>
    </xf>
    <xf numFmtId="0" fontId="3" fillId="0" borderId="30" xfId="1" applyFont="1" applyBorder="1" applyAlignment="1">
      <alignment horizontal="left" vertical="top" wrapText="1"/>
    </xf>
    <xf numFmtId="0" fontId="3" fillId="0" borderId="30" xfId="17" applyFont="1" applyBorder="1" applyAlignment="1">
      <alignment horizontal="left" vertical="top" wrapText="1"/>
    </xf>
    <xf numFmtId="0" fontId="1" fillId="0" borderId="0" xfId="1" applyAlignment="1">
      <alignment horizontal="left" vertical="top"/>
    </xf>
    <xf numFmtId="0" fontId="1" fillId="0" borderId="0" xfId="1" applyAlignment="1">
      <alignment horizontal="left" wrapText="1"/>
    </xf>
    <xf numFmtId="0" fontId="1" fillId="0" borderId="0" xfId="1" applyAlignment="1">
      <alignment horizontal="left" vertical="top" wrapText="1"/>
    </xf>
    <xf numFmtId="0" fontId="38" fillId="0" borderId="0" xfId="1" applyFont="1" applyAlignment="1">
      <alignment wrapText="1"/>
    </xf>
    <xf numFmtId="0" fontId="37" fillId="0" borderId="15" xfId="1" applyFont="1" applyBorder="1" applyAlignment="1">
      <alignment horizontal="center" vertical="top" wrapText="1"/>
    </xf>
    <xf numFmtId="0" fontId="1" fillId="0" borderId="15" xfId="1" applyBorder="1" applyAlignment="1">
      <alignment horizontal="center" wrapText="1"/>
    </xf>
    <xf numFmtId="4" fontId="1" fillId="0" borderId="22" xfId="1" applyNumberFormat="1" applyBorder="1" applyAlignment="1">
      <alignment horizontal="right" vertical="top" wrapText="1"/>
    </xf>
    <xf numFmtId="0" fontId="3" fillId="0" borderId="10" xfId="1" applyFont="1" applyBorder="1" applyAlignment="1">
      <alignment horizontal="right" vertical="top" wrapText="1"/>
    </xf>
    <xf numFmtId="0" fontId="1" fillId="0" borderId="10" xfId="1" applyBorder="1" applyAlignment="1">
      <alignment horizontal="right" vertical="top" wrapText="1"/>
    </xf>
    <xf numFmtId="0" fontId="1" fillId="0" borderId="27" xfId="1" applyBorder="1" applyAlignment="1">
      <alignment horizontal="right" vertical="top" wrapText="1"/>
    </xf>
    <xf numFmtId="4" fontId="3" fillId="0" borderId="31" xfId="1" applyNumberFormat="1" applyFont="1" applyBorder="1" applyAlignment="1">
      <alignment horizontal="right" vertical="top" wrapText="1"/>
    </xf>
    <xf numFmtId="4" fontId="3" fillId="0" borderId="31" xfId="17" applyNumberFormat="1" applyFont="1" applyBorder="1" applyAlignment="1">
      <alignment horizontal="right" vertical="top" wrapText="1"/>
    </xf>
    <xf numFmtId="0" fontId="1" fillId="0" borderId="30" xfId="1" applyBorder="1" applyAlignment="1">
      <alignment horizontal="center" vertical="center" wrapText="1"/>
    </xf>
    <xf numFmtId="43" fontId="1" fillId="0" borderId="30" xfId="3" applyFont="1" applyBorder="1"/>
    <xf numFmtId="43" fontId="3" fillId="0" borderId="30" xfId="3" applyFont="1" applyBorder="1" applyAlignment="1">
      <alignment vertical="top"/>
    </xf>
    <xf numFmtId="43" fontId="1" fillId="0" borderId="30" xfId="3" applyFont="1" applyBorder="1" applyAlignment="1">
      <alignment vertical="top"/>
    </xf>
    <xf numFmtId="43" fontId="8" fillId="4" borderId="32" xfId="3" applyFont="1" applyFill="1" applyBorder="1" applyAlignment="1">
      <alignment horizontal="right" vertical="top" wrapText="1"/>
    </xf>
    <xf numFmtId="43" fontId="8" fillId="4" borderId="30" xfId="3" applyFont="1" applyFill="1" applyBorder="1" applyAlignment="1">
      <alignment horizontal="right" vertical="top" wrapText="1"/>
    </xf>
    <xf numFmtId="2" fontId="0" fillId="0" borderId="0" xfId="0" applyNumberFormat="1"/>
    <xf numFmtId="4" fontId="0" fillId="0" borderId="0" xfId="0" applyNumberFormat="1"/>
    <xf numFmtId="43" fontId="16" fillId="3" borderId="2" xfId="3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/>
    </xf>
    <xf numFmtId="43" fontId="18" fillId="5" borderId="2" xfId="3" applyFont="1" applyFill="1" applyBorder="1" applyAlignment="1">
      <alignment horizontal="center" vertical="center" wrapText="1"/>
    </xf>
    <xf numFmtId="43" fontId="8" fillId="5" borderId="2" xfId="3" applyFont="1" applyFill="1" applyBorder="1" applyAlignment="1">
      <alignment horizontal="center"/>
    </xf>
    <xf numFmtId="164" fontId="12" fillId="0" borderId="0" xfId="18" applyNumberFormat="1" applyFont="1"/>
    <xf numFmtId="0" fontId="20" fillId="0" borderId="0" xfId="0" applyFont="1" applyAlignment="1">
      <alignment vertical="center"/>
    </xf>
    <xf numFmtId="0" fontId="9" fillId="0" borderId="0" xfId="18" applyFont="1" applyBorder="1" applyAlignment="1">
      <alignment horizontal="left" vertical="center" wrapText="1"/>
    </xf>
    <xf numFmtId="0" fontId="11" fillId="0" borderId="0" xfId="18" applyFont="1" applyBorder="1" applyAlignment="1">
      <alignment horizontal="center" vertical="center" wrapText="1"/>
    </xf>
    <xf numFmtId="0" fontId="9" fillId="0" borderId="0" xfId="18" applyFont="1" applyBorder="1" applyAlignment="1">
      <alignment horizontal="left" vertical="top" wrapText="1"/>
    </xf>
    <xf numFmtId="49" fontId="9" fillId="0" borderId="0" xfId="18" applyNumberFormat="1" applyFont="1" applyFill="1" applyBorder="1" applyAlignment="1">
      <alignment horizontal="justify" vertical="center" wrapText="1"/>
    </xf>
    <xf numFmtId="0" fontId="11" fillId="0" borderId="0" xfId="18" applyFont="1" applyBorder="1" applyAlignment="1">
      <alignment horizontal="center"/>
    </xf>
    <xf numFmtId="0" fontId="9" fillId="0" borderId="0" xfId="18" applyFont="1" applyFill="1" applyBorder="1" applyAlignment="1">
      <alignment horizontal="left" vertical="top" wrapText="1"/>
    </xf>
    <xf numFmtId="0" fontId="11" fillId="0" borderId="0" xfId="18" quotePrefix="1" applyFont="1" applyBorder="1" applyAlignment="1">
      <alignment horizontal="center" vertical="center" wrapText="1"/>
    </xf>
    <xf numFmtId="0" fontId="18" fillId="0" borderId="0" xfId="18" applyFont="1" applyAlignment="1">
      <alignment horizontal="center" vertical="center"/>
    </xf>
    <xf numFmtId="0" fontId="18" fillId="0" borderId="0" xfId="18" applyFont="1" applyAlignment="1">
      <alignment horizontal="center" vertical="center" wrapText="1"/>
    </xf>
    <xf numFmtId="0" fontId="16" fillId="5" borderId="2" xfId="18" applyFont="1" applyFill="1" applyBorder="1" applyAlignment="1">
      <alignment horizontal="center" vertical="center" wrapText="1"/>
    </xf>
    <xf numFmtId="0" fontId="16" fillId="5" borderId="6" xfId="18" applyFont="1" applyFill="1" applyBorder="1" applyAlignment="1">
      <alignment horizontal="center" vertical="center" wrapText="1"/>
    </xf>
    <xf numFmtId="0" fontId="16" fillId="5" borderId="7" xfId="18" applyFont="1" applyFill="1" applyBorder="1" applyAlignment="1">
      <alignment horizontal="center" vertical="center" wrapText="1"/>
    </xf>
    <xf numFmtId="0" fontId="22" fillId="0" borderId="1" xfId="18" applyFont="1" applyBorder="1" applyAlignment="1">
      <alignment horizontal="center"/>
    </xf>
    <xf numFmtId="0" fontId="20" fillId="0" borderId="0" xfId="18" applyFont="1" applyAlignment="1">
      <alignment horizontal="center"/>
    </xf>
    <xf numFmtId="0" fontId="20" fillId="0" borderId="0" xfId="18" applyFont="1" applyAlignment="1">
      <alignment horizontal="left" vertical="top" wrapText="1"/>
    </xf>
    <xf numFmtId="0" fontId="7" fillId="0" borderId="0" xfId="18" applyFont="1" applyAlignment="1">
      <alignment horizontal="left" vertical="center" wrapText="1"/>
    </xf>
    <xf numFmtId="0" fontId="20" fillId="0" borderId="0" xfId="18" applyFont="1" applyFill="1" applyAlignment="1">
      <alignment horizontal="left" vertical="center" wrapText="1"/>
    </xf>
    <xf numFmtId="0" fontId="8" fillId="0" borderId="0" xfId="17" applyFont="1" applyAlignment="1">
      <alignment horizontal="center" vertical="top" wrapText="1"/>
    </xf>
    <xf numFmtId="0" fontId="8" fillId="0" borderId="0" xfId="17" applyFont="1" applyBorder="1" applyAlignment="1">
      <alignment horizontal="center" vertical="center" wrapText="1"/>
    </xf>
    <xf numFmtId="0" fontId="12" fillId="4" borderId="6" xfId="17" applyFont="1" applyFill="1" applyBorder="1" applyAlignment="1">
      <alignment horizontal="center" vertical="center" wrapText="1"/>
    </xf>
    <xf numFmtId="0" fontId="12" fillId="4" borderId="7" xfId="17" applyFont="1" applyFill="1" applyBorder="1" applyAlignment="1">
      <alignment horizontal="center" vertical="center" wrapText="1"/>
    </xf>
    <xf numFmtId="0" fontId="12" fillId="4" borderId="8" xfId="17" applyFont="1" applyFill="1" applyBorder="1" applyAlignment="1">
      <alignment horizontal="center" vertical="center" wrapText="1"/>
    </xf>
    <xf numFmtId="49" fontId="12" fillId="4" borderId="6" xfId="17" applyNumberFormat="1" applyFont="1" applyFill="1" applyBorder="1" applyAlignment="1">
      <alignment horizontal="center" vertical="center" wrapText="1"/>
    </xf>
    <xf numFmtId="49" fontId="12" fillId="4" borderId="7" xfId="17" applyNumberFormat="1" applyFont="1" applyFill="1" applyBorder="1" applyAlignment="1">
      <alignment horizontal="center" vertical="center" wrapText="1"/>
    </xf>
    <xf numFmtId="49" fontId="12" fillId="4" borderId="8" xfId="17" applyNumberFormat="1" applyFont="1" applyFill="1" applyBorder="1" applyAlignment="1">
      <alignment horizontal="center" vertical="center" wrapText="1"/>
    </xf>
    <xf numFmtId="49" fontId="12" fillId="4" borderId="9" xfId="17" applyNumberFormat="1" applyFont="1" applyFill="1" applyBorder="1" applyAlignment="1">
      <alignment horizontal="center" vertical="center" wrapText="1"/>
    </xf>
    <xf numFmtId="49" fontId="12" fillId="4" borderId="10" xfId="17" applyNumberFormat="1" applyFont="1" applyFill="1" applyBorder="1" applyAlignment="1">
      <alignment horizontal="center" vertical="center" wrapText="1"/>
    </xf>
    <xf numFmtId="49" fontId="12" fillId="4" borderId="11" xfId="17" applyNumberFormat="1" applyFont="1" applyFill="1" applyBorder="1" applyAlignment="1">
      <alignment horizontal="center" vertical="center" wrapText="1"/>
    </xf>
    <xf numFmtId="0" fontId="12" fillId="4" borderId="6" xfId="17" applyFont="1" applyFill="1" applyBorder="1" applyAlignment="1">
      <alignment horizontal="center" vertical="center"/>
    </xf>
    <xf numFmtId="0" fontId="12" fillId="4" borderId="7" xfId="17" applyFont="1" applyFill="1" applyBorder="1" applyAlignment="1">
      <alignment horizontal="center" vertical="center"/>
    </xf>
    <xf numFmtId="0" fontId="12" fillId="4" borderId="8" xfId="17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8" fillId="5" borderId="2" xfId="2" applyFont="1" applyFill="1" applyBorder="1" applyAlignment="1">
      <alignment horizontal="center" vertical="center"/>
    </xf>
    <xf numFmtId="0" fontId="8" fillId="5" borderId="2" xfId="2" applyFont="1" applyFill="1" applyBorder="1" applyAlignment="1">
      <alignment horizontal="center" vertical="center" wrapText="1"/>
    </xf>
    <xf numFmtId="0" fontId="18" fillId="5" borderId="2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0" fontId="12" fillId="5" borderId="2" xfId="15" applyFont="1" applyFill="1" applyBorder="1" applyAlignment="1">
      <alignment horizontal="center" vertical="center" wrapText="1"/>
    </xf>
    <xf numFmtId="0" fontId="1" fillId="0" borderId="1" xfId="15" applyFont="1" applyFill="1" applyBorder="1" applyAlignment="1">
      <alignment horizontal="center" vertical="center"/>
    </xf>
    <xf numFmtId="49" fontId="1" fillId="0" borderId="0" xfId="15" applyNumberFormat="1" applyFont="1" applyAlignment="1">
      <alignment horizontal="center" vertical="center" wrapText="1"/>
    </xf>
    <xf numFmtId="0" fontId="2" fillId="0" borderId="0" xfId="15" applyAlignment="1">
      <alignment horizontal="center" vertical="center" wrapText="1"/>
    </xf>
    <xf numFmtId="0" fontId="3" fillId="0" borderId="0" xfId="15" applyFont="1" applyAlignment="1">
      <alignment horizontal="center" vertical="center"/>
    </xf>
    <xf numFmtId="49" fontId="1" fillId="0" borderId="1" xfId="15" applyNumberFormat="1" applyFont="1" applyBorder="1" applyAlignment="1">
      <alignment horizontal="center" vertical="top" wrapText="1"/>
    </xf>
    <xf numFmtId="0" fontId="1" fillId="0" borderId="2" xfId="15" applyFont="1" applyBorder="1" applyAlignment="1">
      <alignment horizontal="center" vertical="center" wrapText="1"/>
    </xf>
    <xf numFmtId="49" fontId="1" fillId="0" borderId="2" xfId="15" applyNumberFormat="1" applyFont="1" applyBorder="1" applyAlignment="1">
      <alignment horizontal="center" vertical="center" wrapText="1"/>
    </xf>
    <xf numFmtId="0" fontId="1" fillId="0" borderId="2" xfId="15" applyFont="1" applyBorder="1" applyAlignment="1">
      <alignment horizontal="center" vertical="center"/>
    </xf>
    <xf numFmtId="49" fontId="25" fillId="0" borderId="2" xfId="15" applyNumberFormat="1" applyFont="1" applyBorder="1" applyAlignment="1">
      <alignment horizontal="right" vertical="top" wrapText="1"/>
    </xf>
    <xf numFmtId="0" fontId="26" fillId="0" borderId="2" xfId="15" applyFont="1" applyBorder="1" applyAlignment="1">
      <alignment vertical="top" wrapText="1"/>
    </xf>
    <xf numFmtId="0" fontId="3" fillId="0" borderId="3" xfId="15" applyFont="1" applyBorder="1" applyAlignment="1">
      <alignment horizontal="left" vertical="top" wrapText="1"/>
    </xf>
    <xf numFmtId="0" fontId="3" fillId="0" borderId="4" xfId="15" applyFont="1" applyBorder="1" applyAlignment="1">
      <alignment horizontal="left" vertical="top" wrapText="1"/>
    </xf>
    <xf numFmtId="0" fontId="3" fillId="0" borderId="5" xfId="15" applyFont="1" applyBorder="1" applyAlignment="1">
      <alignment horizontal="left" vertical="top" wrapText="1"/>
    </xf>
    <xf numFmtId="49" fontId="3" fillId="0" borderId="3" xfId="15" applyNumberFormat="1" applyFont="1" applyBorder="1" applyAlignment="1">
      <alignment horizontal="right" vertical="top" wrapText="1"/>
    </xf>
    <xf numFmtId="49" fontId="3" fillId="0" borderId="5" xfId="15" applyNumberFormat="1" applyFont="1" applyBorder="1" applyAlignment="1">
      <alignment horizontal="right" vertical="top" wrapText="1"/>
    </xf>
    <xf numFmtId="0" fontId="2" fillId="0" borderId="5" xfId="15" applyBorder="1" applyAlignment="1">
      <alignment vertical="top" wrapText="1"/>
    </xf>
    <xf numFmtId="49" fontId="25" fillId="0" borderId="3" xfId="15" applyNumberFormat="1" applyFont="1" applyBorder="1" applyAlignment="1">
      <alignment horizontal="right" vertical="top" wrapText="1"/>
    </xf>
    <xf numFmtId="0" fontId="26" fillId="0" borderId="5" xfId="15" applyFont="1" applyBorder="1" applyAlignment="1">
      <alignment vertical="top" wrapText="1"/>
    </xf>
    <xf numFmtId="0" fontId="27" fillId="0" borderId="3" xfId="15" applyFont="1" applyBorder="1" applyAlignment="1">
      <alignment horizontal="right" vertical="top" wrapText="1"/>
    </xf>
    <xf numFmtId="0" fontId="27" fillId="0" borderId="5" xfId="15" applyFont="1" applyBorder="1" applyAlignment="1">
      <alignment horizontal="right" vertical="top" wrapText="1"/>
    </xf>
    <xf numFmtId="0" fontId="3" fillId="0" borderId="2" xfId="15" applyFont="1" applyBorder="1" applyAlignment="1">
      <alignment horizontal="left" vertical="top" wrapText="1"/>
    </xf>
    <xf numFmtId="0" fontId="2" fillId="0" borderId="2" xfId="15" applyBorder="1" applyAlignment="1">
      <alignment horizontal="left" vertical="top" wrapText="1"/>
    </xf>
    <xf numFmtId="49" fontId="25" fillId="0" borderId="5" xfId="15" applyNumberFormat="1" applyFont="1" applyBorder="1" applyAlignment="1">
      <alignment horizontal="right" vertical="top" wrapText="1"/>
    </xf>
    <xf numFmtId="49" fontId="3" fillId="0" borderId="2" xfId="15" applyNumberFormat="1" applyFont="1" applyBorder="1" applyAlignment="1">
      <alignment horizontal="right" vertical="top" wrapText="1"/>
    </xf>
    <xf numFmtId="0" fontId="2" fillId="0" borderId="2" xfId="15" applyBorder="1" applyAlignment="1">
      <alignment vertical="top" wrapText="1"/>
    </xf>
    <xf numFmtId="0" fontId="28" fillId="0" borderId="12" xfId="20" applyFont="1" applyBorder="1" applyAlignment="1">
      <alignment horizontal="center"/>
    </xf>
    <xf numFmtId="0" fontId="28" fillId="0" borderId="12" xfId="20" applyFont="1" applyBorder="1" applyAlignment="1">
      <alignment horizontal="left"/>
    </xf>
    <xf numFmtId="0" fontId="28" fillId="0" borderId="12" xfId="20" applyFont="1" applyBorder="1" applyAlignment="1">
      <alignment horizontal="center" wrapText="1"/>
    </xf>
    <xf numFmtId="0" fontId="10" fillId="0" borderId="12" xfId="20" applyFont="1" applyBorder="1" applyAlignment="1">
      <alignment horizontal="center" wrapText="1"/>
    </xf>
    <xf numFmtId="0" fontId="28" fillId="0" borderId="0" xfId="20" applyFont="1" applyBorder="1" applyAlignment="1">
      <alignment horizontal="center"/>
    </xf>
    <xf numFmtId="0" fontId="28" fillId="0" borderId="0" xfId="20" applyFont="1" applyBorder="1" applyAlignment="1">
      <alignment horizontal="left"/>
    </xf>
    <xf numFmtId="0" fontId="28" fillId="0" borderId="0" xfId="20" applyFont="1" applyBorder="1" applyAlignment="1">
      <alignment horizontal="center" wrapText="1"/>
    </xf>
    <xf numFmtId="0" fontId="10" fillId="0" borderId="0" xfId="20" applyFont="1" applyBorder="1" applyAlignment="1">
      <alignment horizontal="center" wrapText="1"/>
    </xf>
    <xf numFmtId="0" fontId="1" fillId="2" borderId="1" xfId="15" applyFont="1" applyFill="1" applyBorder="1" applyAlignment="1">
      <alignment horizontal="center" vertical="center"/>
    </xf>
    <xf numFmtId="0" fontId="1" fillId="6" borderId="1" xfId="15" applyFont="1" applyFill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0" xfId="1" applyAlignment="1">
      <alignment horizontal="left" vertical="top" wrapText="1"/>
    </xf>
    <xf numFmtId="4" fontId="3" fillId="0" borderId="0" xfId="1" applyNumberFormat="1" applyFont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1" fillId="0" borderId="0" xfId="1" applyAlignment="1">
      <alignment horizontal="left" wrapText="1"/>
    </xf>
    <xf numFmtId="0" fontId="38" fillId="0" borderId="0" xfId="1" applyFont="1" applyAlignment="1">
      <alignment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0" fontId="3" fillId="0" borderId="33" xfId="1" applyFont="1" applyBorder="1" applyAlignment="1">
      <alignment horizontal="left" vertical="top" wrapText="1"/>
    </xf>
    <xf numFmtId="0" fontId="3" fillId="0" borderId="30" xfId="17" applyFont="1" applyBorder="1" applyAlignment="1">
      <alignment horizontal="left" vertical="top" wrapText="1"/>
    </xf>
    <xf numFmtId="0" fontId="3" fillId="0" borderId="33" xfId="17" applyFont="1" applyBorder="1" applyAlignment="1">
      <alignment horizontal="left" vertical="top" wrapText="1"/>
    </xf>
    <xf numFmtId="0" fontId="1" fillId="0" borderId="10" xfId="1" applyBorder="1" applyAlignment="1">
      <alignment horizontal="left" vertical="top" wrapText="1"/>
    </xf>
    <xf numFmtId="0" fontId="1" fillId="0" borderId="25" xfId="1" applyBorder="1" applyAlignment="1">
      <alignment horizontal="left" vertical="top" wrapText="1"/>
    </xf>
    <xf numFmtId="0" fontId="1" fillId="0" borderId="27" xfId="1" applyBorder="1" applyAlignment="1">
      <alignment horizontal="left" vertical="top" wrapText="1"/>
    </xf>
    <xf numFmtId="0" fontId="1" fillId="0" borderId="28" xfId="1" applyBorder="1" applyAlignment="1">
      <alignment horizontal="left" vertical="top" wrapText="1"/>
    </xf>
    <xf numFmtId="0" fontId="1" fillId="0" borderId="29" xfId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1" fillId="0" borderId="22" xfId="1" applyNumberFormat="1" applyBorder="1" applyAlignment="1">
      <alignment horizontal="right" vertical="top" wrapText="1"/>
    </xf>
    <xf numFmtId="4" fontId="1" fillId="0" borderId="10" xfId="1" applyNumberFormat="1" applyBorder="1" applyAlignment="1">
      <alignment horizontal="right" vertical="top" wrapText="1"/>
    </xf>
    <xf numFmtId="49" fontId="3" fillId="0" borderId="21" xfId="1" applyNumberFormat="1" applyFont="1" applyBorder="1" applyAlignment="1">
      <alignment horizontal="right" vertical="top" wrapText="1"/>
    </xf>
    <xf numFmtId="49" fontId="3" fillId="0" borderId="7" xfId="1" applyNumberFormat="1" applyFont="1" applyBorder="1" applyAlignment="1">
      <alignment horizontal="right" vertical="top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0" fontId="1" fillId="0" borderId="22" xfId="1" applyBorder="1" applyAlignment="1">
      <alignment horizontal="left" vertical="top" wrapText="1"/>
    </xf>
    <xf numFmtId="0" fontId="1" fillId="0" borderId="24" xfId="1" applyBorder="1" applyAlignment="1">
      <alignment horizontal="left" vertical="top" wrapText="1"/>
    </xf>
    <xf numFmtId="0" fontId="1" fillId="0" borderId="23" xfId="1" applyBorder="1" applyAlignment="1">
      <alignment horizontal="left" vertical="top" wrapText="1"/>
    </xf>
    <xf numFmtId="0" fontId="1" fillId="0" borderId="21" xfId="1" applyBorder="1" applyAlignment="1">
      <alignment horizontal="left" vertical="top" wrapText="1"/>
    </xf>
    <xf numFmtId="0" fontId="1" fillId="0" borderId="7" xfId="1" applyBorder="1" applyAlignment="1">
      <alignment horizontal="left" vertical="top" wrapText="1"/>
    </xf>
    <xf numFmtId="0" fontId="1" fillId="0" borderId="18" xfId="1" applyBorder="1" applyAlignment="1">
      <alignment horizontal="center" wrapText="1"/>
    </xf>
    <xf numFmtId="0" fontId="1" fillId="0" borderId="19" xfId="1" applyBorder="1" applyAlignment="1">
      <alignment horizontal="center" wrapText="1"/>
    </xf>
    <xf numFmtId="0" fontId="1" fillId="0" borderId="20" xfId="1" applyBorder="1" applyAlignment="1">
      <alignment horizontal="center" wrapText="1"/>
    </xf>
    <xf numFmtId="0" fontId="1" fillId="0" borderId="2" xfId="1" applyBorder="1" applyAlignment="1">
      <alignment horizontal="left" vertical="top" wrapText="1"/>
    </xf>
    <xf numFmtId="0" fontId="1" fillId="0" borderId="13" xfId="1" applyBorder="1" applyAlignment="1">
      <alignment horizontal="left" vertical="top" wrapText="1"/>
    </xf>
    <xf numFmtId="0" fontId="37" fillId="0" borderId="15" xfId="1" applyFont="1" applyBorder="1" applyAlignment="1">
      <alignment horizontal="center" vertical="top" wrapText="1"/>
    </xf>
    <xf numFmtId="0" fontId="37" fillId="0" borderId="16" xfId="1" applyFont="1" applyBorder="1" applyAlignment="1">
      <alignment horizontal="center" vertical="top" wrapText="1"/>
    </xf>
    <xf numFmtId="0" fontId="37" fillId="0" borderId="17" xfId="1" applyFont="1" applyBorder="1" applyAlignment="1">
      <alignment horizontal="center" vertical="top" wrapText="1"/>
    </xf>
    <xf numFmtId="0" fontId="33" fillId="0" borderId="0" xfId="1" applyFont="1" applyAlignment="1">
      <alignment horizontal="left" vertical="top" wrapText="1"/>
    </xf>
    <xf numFmtId="0" fontId="34" fillId="0" borderId="0" xfId="1" applyFont="1" applyAlignment="1">
      <alignment horizontal="right" vertical="top" wrapText="1"/>
    </xf>
    <xf numFmtId="0" fontId="3" fillId="0" borderId="0" xfId="1" applyFont="1" applyAlignment="1">
      <alignment horizontal="center" vertical="top" wrapText="1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left"/>
    </xf>
    <xf numFmtId="0" fontId="36" fillId="0" borderId="2" xfId="1" applyFont="1" applyBorder="1" applyAlignment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</cellXfs>
  <cellStyles count="21">
    <cellStyle name="S0" xfId="4"/>
    <cellStyle name="S1" xfId="5"/>
    <cellStyle name="S10" xfId="13"/>
    <cellStyle name="S11" xfId="14"/>
    <cellStyle name="S2" xfId="6"/>
    <cellStyle name="S3" xfId="7"/>
    <cellStyle name="S5" xfId="8"/>
    <cellStyle name="S6" xfId="9"/>
    <cellStyle name="S7" xfId="10"/>
    <cellStyle name="S8" xfId="11"/>
    <cellStyle name="S9" xfId="12"/>
    <cellStyle name="Нейтральный" xfId="19" builtinId="28"/>
    <cellStyle name="Обычный" xfId="0" builtinId="0"/>
    <cellStyle name="Обычный 10" xfId="20"/>
    <cellStyle name="Обычный 2 2" xfId="17"/>
    <cellStyle name="Обычный 2 3" xfId="1"/>
    <cellStyle name="Обычный 3" xfId="2"/>
    <cellStyle name="Обычный 3 2" xfId="18"/>
    <cellStyle name="Обычный 4" xfId="15"/>
    <cellStyle name="Финансовый" xfId="3" builtinId="3"/>
    <cellStyle name="Финансовый 2" xfId="16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view="pageBreakPreview" zoomScale="60" zoomScaleNormal="100" workbookViewId="0">
      <selection activeCell="C12" sqref="A1:C12"/>
    </sheetView>
  </sheetViews>
  <sheetFormatPr defaultRowHeight="15" x14ac:dyDescent="0.25"/>
  <cols>
    <col min="1" max="1" width="16.28515625" customWidth="1"/>
    <col min="2" max="2" width="46.28515625" customWidth="1"/>
    <col min="3" max="3" width="38.85546875" customWidth="1"/>
  </cols>
  <sheetData>
    <row r="1" spans="1:3" ht="22.5" customHeight="1" x14ac:dyDescent="0.25">
      <c r="A1" s="245" t="s">
        <v>87</v>
      </c>
      <c r="B1" s="245"/>
      <c r="C1" s="245"/>
    </row>
    <row r="2" spans="1:3" ht="18.75" customHeight="1" x14ac:dyDescent="0.25">
      <c r="A2" s="245" t="s">
        <v>88</v>
      </c>
      <c r="B2" s="245"/>
      <c r="C2" s="245"/>
    </row>
    <row r="3" spans="1:3" ht="31.5" customHeight="1" x14ac:dyDescent="0.25">
      <c r="A3" s="240" t="s">
        <v>327</v>
      </c>
      <c r="B3" s="247" t="s">
        <v>326</v>
      </c>
      <c r="C3" s="247"/>
    </row>
    <row r="4" spans="1:3" ht="44.25" customHeight="1" x14ac:dyDescent="0.25">
      <c r="A4" s="241" t="s">
        <v>102</v>
      </c>
      <c r="B4" s="241"/>
      <c r="C4" s="241"/>
    </row>
    <row r="5" spans="1:3" ht="16.5" customHeight="1" x14ac:dyDescent="0.25">
      <c r="A5" s="246" t="s">
        <v>89</v>
      </c>
      <c r="B5" s="246"/>
      <c r="C5" s="246"/>
    </row>
    <row r="6" spans="1:3" ht="74.25" customHeight="1" x14ac:dyDescent="0.25">
      <c r="A6" s="243" t="s">
        <v>322</v>
      </c>
      <c r="B6" s="243"/>
      <c r="C6" s="243"/>
    </row>
    <row r="7" spans="1:3" ht="26.25" customHeight="1" x14ac:dyDescent="0.25">
      <c r="A7" s="242" t="s">
        <v>90</v>
      </c>
      <c r="B7" s="242"/>
      <c r="C7" s="242"/>
    </row>
    <row r="8" spans="1:3" ht="54" customHeight="1" x14ac:dyDescent="0.25">
      <c r="A8" s="243" t="s">
        <v>251</v>
      </c>
      <c r="B8" s="243"/>
      <c r="C8" s="243"/>
    </row>
    <row r="9" spans="1:3" ht="45" customHeight="1" x14ac:dyDescent="0.25">
      <c r="A9" s="244" t="s">
        <v>252</v>
      </c>
      <c r="B9" s="244"/>
      <c r="C9" s="244"/>
    </row>
    <row r="10" spans="1:3" ht="45" customHeight="1" x14ac:dyDescent="0.25">
      <c r="A10" s="241" t="s">
        <v>91</v>
      </c>
      <c r="B10" s="241"/>
      <c r="C10" s="241"/>
    </row>
    <row r="11" spans="1:3" ht="45" customHeight="1" x14ac:dyDescent="0.25">
      <c r="A11" s="49" t="s">
        <v>92</v>
      </c>
      <c r="B11" s="50"/>
      <c r="C11" s="49"/>
    </row>
    <row r="12" spans="1:3" ht="45" customHeight="1" x14ac:dyDescent="0.25">
      <c r="A12" s="51"/>
      <c r="B12" s="52">
        <f>НМЦ!E11</f>
        <v>28949158.059999999</v>
      </c>
      <c r="C12" s="51" t="s">
        <v>93</v>
      </c>
    </row>
    <row r="13" spans="1:3" ht="45" customHeight="1" x14ac:dyDescent="0.25"/>
    <row r="14" spans="1:3" ht="45" customHeight="1" x14ac:dyDescent="0.25"/>
    <row r="15" spans="1:3" ht="45" customHeight="1" x14ac:dyDescent="0.25"/>
  </sheetData>
  <mergeCells count="10">
    <mergeCell ref="A1:C1"/>
    <mergeCell ref="A2:C2"/>
    <mergeCell ref="A4:C4"/>
    <mergeCell ref="A5:C5"/>
    <mergeCell ref="B3:C3"/>
    <mergeCell ref="A10:C10"/>
    <mergeCell ref="A7:C7"/>
    <mergeCell ref="A8:C8"/>
    <mergeCell ref="A9:C9"/>
    <mergeCell ref="A6:C6"/>
  </mergeCells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workbookViewId="0">
      <selection activeCell="B1" sqref="B1"/>
    </sheetView>
  </sheetViews>
  <sheetFormatPr defaultColWidth="9.140625" defaultRowHeight="12.75" customHeight="1" x14ac:dyDescent="0.2"/>
  <cols>
    <col min="1" max="1" width="5" style="1" customWidth="1"/>
    <col min="2" max="2" width="17.85546875" style="2" customWidth="1"/>
    <col min="3" max="3" width="48.42578125" style="2" customWidth="1"/>
    <col min="4" max="4" width="12.28515625" style="3" customWidth="1"/>
    <col min="5" max="5" width="13" style="3" customWidth="1"/>
    <col min="6" max="6" width="13.28515625" style="3" customWidth="1"/>
    <col min="7" max="8" width="13.42578125" style="3" customWidth="1"/>
    <col min="9" max="9" width="9.5703125" style="3" customWidth="1"/>
    <col min="10" max="10" width="9.140625" style="4" bestFit="1" customWidth="1"/>
    <col min="11" max="16384" width="9.140625" style="4"/>
  </cols>
  <sheetData>
    <row r="1" spans="2:8" s="5" customFormat="1" x14ac:dyDescent="0.2">
      <c r="D1" s="6"/>
      <c r="E1" s="6"/>
      <c r="F1" s="6"/>
      <c r="G1" s="6"/>
      <c r="H1" s="7" t="s">
        <v>0</v>
      </c>
    </row>
    <row r="2" spans="2:8" s="5" customFormat="1" x14ac:dyDescent="0.2">
      <c r="B2" s="2" t="s">
        <v>1</v>
      </c>
      <c r="C2" s="8"/>
      <c r="D2" s="9"/>
      <c r="E2" s="9"/>
      <c r="F2" s="9"/>
      <c r="G2" s="9"/>
      <c r="H2" s="6"/>
    </row>
    <row r="3" spans="2:8" s="5" customFormat="1" x14ac:dyDescent="0.2">
      <c r="D3" s="10" t="s">
        <v>2</v>
      </c>
      <c r="F3" s="6"/>
      <c r="G3" s="6"/>
      <c r="H3" s="6"/>
    </row>
    <row r="4" spans="2:8" s="5" customFormat="1" x14ac:dyDescent="0.2">
      <c r="B4" s="2" t="s">
        <v>3</v>
      </c>
      <c r="D4" s="6"/>
      <c r="E4" s="10"/>
      <c r="F4" s="6"/>
      <c r="G4" s="6"/>
      <c r="H4" s="6"/>
    </row>
    <row r="5" spans="2:8" s="5" customFormat="1" x14ac:dyDescent="0.2">
      <c r="D5" s="6"/>
      <c r="E5" s="10"/>
      <c r="F5" s="6"/>
      <c r="G5" s="6"/>
      <c r="H5" s="6"/>
    </row>
    <row r="6" spans="2:8" s="5" customFormat="1" x14ac:dyDescent="0.2">
      <c r="B6" s="2" t="s">
        <v>21</v>
      </c>
      <c r="D6" s="6"/>
      <c r="E6" s="10"/>
      <c r="F6" s="6"/>
      <c r="G6" s="6"/>
      <c r="H6" s="6"/>
    </row>
    <row r="7" spans="2:8" s="5" customFormat="1" x14ac:dyDescent="0.2">
      <c r="B7" s="2" t="s">
        <v>22</v>
      </c>
      <c r="D7" s="6"/>
      <c r="E7" s="6"/>
      <c r="F7" s="6"/>
      <c r="G7" s="6"/>
      <c r="H7" s="6"/>
    </row>
    <row r="8" spans="2:8" s="5" customFormat="1" x14ac:dyDescent="0.2">
      <c r="C8" s="8"/>
      <c r="D8" s="9"/>
      <c r="E8" s="11"/>
      <c r="F8" s="9"/>
      <c r="G8" s="9"/>
      <c r="H8" s="6"/>
    </row>
    <row r="9" spans="2:8" s="5" customFormat="1" x14ac:dyDescent="0.2">
      <c r="D9" s="10" t="s">
        <v>4</v>
      </c>
      <c r="F9" s="6"/>
      <c r="G9" s="6"/>
      <c r="H9" s="6"/>
    </row>
    <row r="10" spans="2:8" s="5" customFormat="1" x14ac:dyDescent="0.2">
      <c r="D10" s="6"/>
      <c r="E10" s="10"/>
      <c r="F10" s="6"/>
      <c r="G10" s="6"/>
      <c r="H10" s="6"/>
    </row>
    <row r="11" spans="2:8" s="5" customFormat="1" x14ac:dyDescent="0.2">
      <c r="B11" s="2" t="s">
        <v>5</v>
      </c>
      <c r="H11" s="6"/>
    </row>
    <row r="12" spans="2:8" s="5" customFormat="1" x14ac:dyDescent="0.2">
      <c r="G12" s="6"/>
      <c r="H12" s="6"/>
    </row>
    <row r="13" spans="2:8" s="5" customFormat="1" x14ac:dyDescent="0.2">
      <c r="D13" s="12" t="s">
        <v>6</v>
      </c>
      <c r="F13" s="6"/>
      <c r="G13" s="6"/>
      <c r="H13" s="6"/>
    </row>
    <row r="14" spans="2:8" s="5" customFormat="1" x14ac:dyDescent="0.2">
      <c r="D14" s="13"/>
      <c r="F14" s="6"/>
      <c r="G14" s="6"/>
      <c r="H14" s="6"/>
    </row>
    <row r="15" spans="2:8" s="5" customFormat="1" x14ac:dyDescent="0.2">
      <c r="C15" s="8"/>
      <c r="D15" s="14"/>
      <c r="E15" s="11"/>
      <c r="F15" s="9"/>
      <c r="G15" s="9"/>
      <c r="H15" s="6"/>
    </row>
    <row r="16" spans="2:8" s="5" customFormat="1" x14ac:dyDescent="0.2">
      <c r="D16" s="15" t="s">
        <v>7</v>
      </c>
      <c r="F16" s="6"/>
      <c r="G16" s="6"/>
      <c r="H16" s="6"/>
    </row>
    <row r="17" spans="1:9" s="5" customFormat="1" x14ac:dyDescent="0.2">
      <c r="H17" s="6"/>
    </row>
    <row r="18" spans="1:9" s="5" customFormat="1" x14ac:dyDescent="0.2">
      <c r="B18" s="2" t="s">
        <v>23</v>
      </c>
      <c r="D18" s="13"/>
      <c r="E18" s="6"/>
      <c r="F18" s="6"/>
      <c r="G18" s="6"/>
      <c r="H18" s="6"/>
    </row>
    <row r="19" spans="1:9" s="5" customFormat="1" x14ac:dyDescent="0.2">
      <c r="D19" s="13"/>
      <c r="E19" s="6"/>
      <c r="F19" s="6"/>
      <c r="G19" s="6"/>
      <c r="H19" s="6"/>
    </row>
    <row r="20" spans="1:9" s="5" customFormat="1" x14ac:dyDescent="0.2">
      <c r="D20" s="6"/>
      <c r="E20" s="6"/>
      <c r="F20" s="6"/>
      <c r="G20" s="6"/>
      <c r="H20" s="6"/>
    </row>
    <row r="21" spans="1:9" s="5" customFormat="1" ht="12.75" customHeight="1" x14ac:dyDescent="0.2">
      <c r="A21" s="368" t="s">
        <v>8</v>
      </c>
      <c r="B21" s="367" t="s">
        <v>9</v>
      </c>
      <c r="C21" s="367" t="s">
        <v>10</v>
      </c>
      <c r="D21" s="361" t="s">
        <v>24</v>
      </c>
      <c r="E21" s="362"/>
      <c r="F21" s="362"/>
      <c r="G21" s="362"/>
      <c r="H21" s="363"/>
      <c r="I21" s="367" t="s">
        <v>25</v>
      </c>
    </row>
    <row r="22" spans="1:9" s="5" customFormat="1" x14ac:dyDescent="0.2">
      <c r="A22" s="368"/>
      <c r="B22" s="367"/>
      <c r="C22" s="367"/>
      <c r="D22" s="364" t="s">
        <v>26</v>
      </c>
      <c r="E22" s="368" t="s">
        <v>11</v>
      </c>
      <c r="F22" s="368" t="s">
        <v>12</v>
      </c>
      <c r="G22" s="368" t="s">
        <v>13</v>
      </c>
      <c r="H22" s="368" t="s">
        <v>14</v>
      </c>
      <c r="I22" s="367"/>
    </row>
    <row r="23" spans="1:9" s="5" customFormat="1" x14ac:dyDescent="0.2">
      <c r="A23" s="368"/>
      <c r="B23" s="367"/>
      <c r="C23" s="367"/>
      <c r="D23" s="365"/>
      <c r="E23" s="368"/>
      <c r="F23" s="368"/>
      <c r="G23" s="368"/>
      <c r="H23" s="368"/>
      <c r="I23" s="367"/>
    </row>
    <row r="24" spans="1:9" s="5" customFormat="1" x14ac:dyDescent="0.2">
      <c r="A24" s="368"/>
      <c r="B24" s="367"/>
      <c r="C24" s="367"/>
      <c r="D24" s="366"/>
      <c r="E24" s="368"/>
      <c r="F24" s="368"/>
      <c r="G24" s="368"/>
      <c r="H24" s="368"/>
      <c r="I24" s="367"/>
    </row>
    <row r="25" spans="1:9" s="5" customFormat="1" x14ac:dyDescent="0.2">
      <c r="A25" s="16">
        <v>1</v>
      </c>
      <c r="B25" s="17">
        <v>2</v>
      </c>
      <c r="C25" s="17">
        <v>3</v>
      </c>
      <c r="D25" s="17" t="s">
        <v>15</v>
      </c>
      <c r="E25" s="17" t="s">
        <v>16</v>
      </c>
      <c r="F25" s="17" t="s">
        <v>17</v>
      </c>
      <c r="G25" s="17" t="s">
        <v>18</v>
      </c>
      <c r="H25" s="17" t="s">
        <v>20</v>
      </c>
      <c r="I25" s="17" t="s">
        <v>19</v>
      </c>
    </row>
  </sheetData>
  <mergeCells count="10">
    <mergeCell ref="D21:H21"/>
    <mergeCell ref="D22:D24"/>
    <mergeCell ref="I21:I24"/>
    <mergeCell ref="A21:A24"/>
    <mergeCell ref="B21:B24"/>
    <mergeCell ref="E22:E24"/>
    <mergeCell ref="F22:F24"/>
    <mergeCell ref="G22:G24"/>
    <mergeCell ref="H22:H24"/>
    <mergeCell ref="C21:C24"/>
  </mergeCells>
  <pageMargins left="0.7" right="0.7" top="0.75" bottom="0.75" header="0.3" footer="0.3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view="pageBreakPreview" zoomScale="60" zoomScaleNormal="100" workbookViewId="0">
      <selection activeCell="E11" sqref="A1:E11"/>
    </sheetView>
  </sheetViews>
  <sheetFormatPr defaultRowHeight="15" x14ac:dyDescent="0.25"/>
  <cols>
    <col min="2" max="2" width="45.7109375" customWidth="1"/>
    <col min="3" max="3" width="17.5703125" customWidth="1"/>
    <col min="4" max="4" width="16.7109375" customWidth="1"/>
    <col min="5" max="5" width="18" customWidth="1"/>
  </cols>
  <sheetData>
    <row r="1" spans="1:5" ht="15.75" x14ac:dyDescent="0.25">
      <c r="A1" s="40"/>
      <c r="B1" s="40"/>
      <c r="C1" s="40"/>
      <c r="D1" s="40"/>
      <c r="E1" s="40"/>
    </row>
    <row r="2" spans="1:5" ht="15.75" x14ac:dyDescent="0.25">
      <c r="A2" s="248" t="s">
        <v>79</v>
      </c>
      <c r="B2" s="248"/>
      <c r="C2" s="248"/>
      <c r="D2" s="248"/>
      <c r="E2" s="248"/>
    </row>
    <row r="3" spans="1:5" ht="39.75" customHeight="1" x14ac:dyDescent="0.25">
      <c r="A3" s="249" t="str">
        <f>ПЗ!B3</f>
        <v>Всесезонный туристско-рекреационный комплекс "Ведучи", Чеченская Республика. Горнолыжная трасса VP-11. Этап 1</v>
      </c>
      <c r="B3" s="249"/>
      <c r="C3" s="249"/>
      <c r="D3" s="249"/>
      <c r="E3" s="249"/>
    </row>
    <row r="4" spans="1:5" ht="15.75" x14ac:dyDescent="0.25">
      <c r="A4" s="41"/>
      <c r="B4" s="42"/>
      <c r="C4" s="42"/>
      <c r="D4" s="40"/>
      <c r="E4" s="40"/>
    </row>
    <row r="5" spans="1:5" ht="15.75" x14ac:dyDescent="0.25">
      <c r="A5" s="250" t="s">
        <v>80</v>
      </c>
      <c r="B5" s="251" t="s">
        <v>81</v>
      </c>
      <c r="C5" s="250" t="s">
        <v>82</v>
      </c>
      <c r="D5" s="250"/>
      <c r="E5" s="250"/>
    </row>
    <row r="6" spans="1:5" ht="15.75" x14ac:dyDescent="0.25">
      <c r="A6" s="250"/>
      <c r="B6" s="252"/>
      <c r="C6" s="43" t="s">
        <v>83</v>
      </c>
      <c r="D6" s="43" t="s">
        <v>84</v>
      </c>
      <c r="E6" s="43" t="s">
        <v>85</v>
      </c>
    </row>
    <row r="7" spans="1:5" ht="15.75" x14ac:dyDescent="0.25">
      <c r="A7" s="43">
        <v>1</v>
      </c>
      <c r="B7" s="43">
        <v>2</v>
      </c>
      <c r="C7" s="43">
        <v>3</v>
      </c>
      <c r="D7" s="44">
        <v>4</v>
      </c>
      <c r="E7" s="44">
        <v>5</v>
      </c>
    </row>
    <row r="8" spans="1:5" ht="15.75" x14ac:dyDescent="0.25">
      <c r="A8" s="57">
        <v>1</v>
      </c>
      <c r="B8" s="186" t="s">
        <v>250</v>
      </c>
      <c r="C8" s="237">
        <f>C9+C10</f>
        <v>24124298.379999999</v>
      </c>
      <c r="D8" s="238">
        <f>D9+D10</f>
        <v>4824859.68</v>
      </c>
      <c r="E8" s="238">
        <f>E9+E10</f>
        <v>28949158.059999999</v>
      </c>
    </row>
    <row r="9" spans="1:5" ht="15.75" x14ac:dyDescent="0.25">
      <c r="A9" s="187" t="s">
        <v>50</v>
      </c>
      <c r="B9" s="45" t="s">
        <v>321</v>
      </c>
      <c r="C9" s="235">
        <f>'Смета контракта'!G7</f>
        <v>303736.28000000003</v>
      </c>
      <c r="D9" s="236">
        <f>C9*0.2</f>
        <v>60747.26</v>
      </c>
      <c r="E9" s="236">
        <f>C9+D9</f>
        <v>364483.54</v>
      </c>
    </row>
    <row r="10" spans="1:5" ht="157.5" x14ac:dyDescent="0.25">
      <c r="A10" s="187" t="s">
        <v>51</v>
      </c>
      <c r="B10" s="45" t="s">
        <v>325</v>
      </c>
      <c r="C10" s="235">
        <f>'Смета контракта'!G9</f>
        <v>23820562.100000001</v>
      </c>
      <c r="D10" s="173">
        <f>C10*0.2</f>
        <v>4764112.42</v>
      </c>
      <c r="E10" s="173">
        <f>C10+D10</f>
        <v>28584674.52</v>
      </c>
    </row>
    <row r="11" spans="1:5" ht="27" customHeight="1" x14ac:dyDescent="0.25">
      <c r="A11" s="46"/>
      <c r="B11" s="186" t="s">
        <v>320</v>
      </c>
      <c r="C11" s="237">
        <f>C8</f>
        <v>24124298.379999999</v>
      </c>
      <c r="D11" s="237">
        <f>D8</f>
        <v>4824859.68</v>
      </c>
      <c r="E11" s="237">
        <f>E8</f>
        <v>28949158.059999999</v>
      </c>
    </row>
    <row r="12" spans="1:5" ht="15.75" x14ac:dyDescent="0.25">
      <c r="A12" s="40"/>
      <c r="B12" s="40"/>
      <c r="C12" s="239"/>
      <c r="D12" s="40"/>
      <c r="E12" s="40"/>
    </row>
    <row r="13" spans="1:5" ht="15.75" hidden="1" x14ac:dyDescent="0.25">
      <c r="A13" s="40"/>
      <c r="B13" s="47" t="s">
        <v>86</v>
      </c>
      <c r="C13" s="48" t="e">
        <f>#REF!</f>
        <v>#REF!</v>
      </c>
      <c r="D13" s="48" t="e">
        <f>C13*0.2</f>
        <v>#REF!</v>
      </c>
      <c r="E13" s="48" t="e">
        <f>C13+D13</f>
        <v>#REF!</v>
      </c>
    </row>
    <row r="15" spans="1:5" x14ac:dyDescent="0.25">
      <c r="C15" s="233"/>
    </row>
    <row r="16" spans="1:5" x14ac:dyDescent="0.25">
      <c r="C16" s="234"/>
    </row>
  </sheetData>
  <mergeCells count="5">
    <mergeCell ref="A2:E2"/>
    <mergeCell ref="A3:E3"/>
    <mergeCell ref="A5:A6"/>
    <mergeCell ref="B5:B6"/>
    <mergeCell ref="C5:E5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view="pageBreakPreview" zoomScale="60" zoomScaleNormal="100" workbookViewId="0">
      <selection activeCell="O24" sqref="A1:O24"/>
    </sheetView>
  </sheetViews>
  <sheetFormatPr defaultRowHeight="15" x14ac:dyDescent="0.25"/>
  <cols>
    <col min="7" max="7" width="21.140625" customWidth="1"/>
  </cols>
  <sheetData>
    <row r="1" spans="1:15" x14ac:dyDescent="0.25">
      <c r="A1" s="254" t="s">
        <v>60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x14ac:dyDescent="0.25">
      <c r="A2" s="254" t="s">
        <v>61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15" x14ac:dyDescent="0.25">
      <c r="A3" s="31"/>
      <c r="B3" s="32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33.75" customHeight="1" x14ac:dyDescent="0.25">
      <c r="A4" s="33" t="s">
        <v>62</v>
      </c>
      <c r="B4" s="32"/>
      <c r="C4" s="255" t="str">
        <f>ПЗ!B3</f>
        <v>Всесезонный туристско-рекреационный комплекс "Ведучи", Чеченская Республика. Горнолыжная трасса VP-11. Этап 1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x14ac:dyDescent="0.25">
      <c r="A6" s="256" t="s">
        <v>63</v>
      </c>
      <c r="B6" s="256"/>
      <c r="C6" s="256"/>
      <c r="D6" s="256"/>
      <c r="E6" s="256"/>
      <c r="F6" s="256"/>
      <c r="G6" s="55">
        <f>'Смета контракта'!G18</f>
        <v>28949158.059999999</v>
      </c>
      <c r="H6" s="31"/>
      <c r="I6" s="31"/>
      <c r="J6" s="31"/>
      <c r="K6" s="31"/>
      <c r="L6" s="31"/>
      <c r="M6" s="31"/>
      <c r="N6" s="31"/>
      <c r="O6" s="31"/>
    </row>
    <row r="7" spans="1:15" x14ac:dyDescent="0.25">
      <c r="A7" s="257" t="s">
        <v>324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</row>
    <row r="8" spans="1:15" x14ac:dyDescent="0.25">
      <c r="A8" s="34" t="s">
        <v>64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x14ac:dyDescent="0.25">
      <c r="A9" s="35" t="s">
        <v>65</v>
      </c>
      <c r="B9" s="36"/>
      <c r="C9" s="36"/>
      <c r="D9" s="36"/>
      <c r="E9" s="36"/>
      <c r="F9" s="36"/>
      <c r="G9" s="36"/>
      <c r="H9" s="36"/>
      <c r="I9" s="36"/>
      <c r="J9" s="31"/>
      <c r="K9" s="31"/>
      <c r="L9" s="31"/>
      <c r="M9" s="31"/>
      <c r="N9" s="31"/>
      <c r="O9" s="31"/>
    </row>
    <row r="10" spans="1:15" x14ac:dyDescent="0.25">
      <c r="A10" s="35" t="s">
        <v>66</v>
      </c>
      <c r="B10" s="36"/>
      <c r="C10" s="36"/>
      <c r="D10" s="36"/>
      <c r="E10" s="36"/>
      <c r="F10" s="36"/>
      <c r="G10" s="36"/>
      <c r="H10" s="36"/>
      <c r="I10" s="36"/>
      <c r="J10" s="31"/>
      <c r="K10" s="31"/>
      <c r="L10" s="31"/>
      <c r="M10" s="31"/>
      <c r="N10" s="31"/>
      <c r="O10" s="31"/>
    </row>
    <row r="11" spans="1:15" x14ac:dyDescent="0.25">
      <c r="A11" s="35" t="s">
        <v>67</v>
      </c>
      <c r="B11" s="36"/>
      <c r="C11" s="36"/>
      <c r="D11" s="36"/>
      <c r="E11" s="36"/>
      <c r="F11" s="36"/>
      <c r="G11" s="36"/>
      <c r="H11" s="36"/>
      <c r="I11" s="36"/>
      <c r="J11" s="31"/>
      <c r="K11" s="31"/>
      <c r="L11" s="31"/>
      <c r="M11" s="31"/>
      <c r="N11" s="31"/>
      <c r="O11" s="31"/>
    </row>
    <row r="12" spans="1:15" x14ac:dyDescent="0.25">
      <c r="A12" s="35" t="s">
        <v>68</v>
      </c>
      <c r="B12" s="36"/>
      <c r="C12" s="36"/>
      <c r="D12" s="36"/>
      <c r="E12" s="36"/>
      <c r="F12" s="36"/>
      <c r="G12" s="36"/>
      <c r="H12" s="36"/>
      <c r="I12" s="36"/>
      <c r="J12" s="31"/>
      <c r="K12" s="31"/>
      <c r="L12" s="31"/>
      <c r="M12" s="31"/>
      <c r="N12" s="31"/>
      <c r="O12" s="31"/>
    </row>
    <row r="13" spans="1:15" x14ac:dyDescent="0.25">
      <c r="A13" s="35" t="s">
        <v>69</v>
      </c>
      <c r="B13" s="36"/>
      <c r="C13" s="36"/>
      <c r="D13" s="36"/>
      <c r="E13" s="36"/>
      <c r="F13" s="36"/>
      <c r="G13" s="36"/>
      <c r="H13" s="36"/>
      <c r="I13" s="36"/>
      <c r="J13" s="31"/>
      <c r="K13" s="31"/>
      <c r="L13" s="31"/>
      <c r="M13" s="31"/>
      <c r="N13" s="31"/>
      <c r="O13" s="31"/>
    </row>
    <row r="14" spans="1:15" x14ac:dyDescent="0.25">
      <c r="A14" s="35" t="s">
        <v>70</v>
      </c>
      <c r="B14" s="37"/>
      <c r="C14" s="37"/>
      <c r="D14" s="37"/>
      <c r="E14" s="37"/>
      <c r="F14" s="37"/>
      <c r="G14" s="37"/>
      <c r="H14" s="37"/>
      <c r="I14" s="37"/>
      <c r="J14" s="38"/>
      <c r="K14" s="38"/>
      <c r="L14" s="38"/>
      <c r="M14" s="38"/>
      <c r="N14" s="38"/>
      <c r="O14" s="38"/>
    </row>
    <row r="15" spans="1:15" x14ac:dyDescent="0.25">
      <c r="A15" s="35" t="s">
        <v>71</v>
      </c>
      <c r="B15" s="36"/>
      <c r="C15" s="36"/>
      <c r="D15" s="36"/>
      <c r="E15" s="36"/>
      <c r="F15" s="36"/>
      <c r="G15" s="36"/>
      <c r="H15" s="36"/>
      <c r="I15" s="36"/>
      <c r="J15" s="31"/>
      <c r="K15" s="31"/>
      <c r="L15" s="31"/>
      <c r="M15" s="31"/>
      <c r="N15" s="31"/>
      <c r="O15" s="31"/>
    </row>
    <row r="16" spans="1:15" x14ac:dyDescent="0.25">
      <c r="A16" s="35" t="s">
        <v>72</v>
      </c>
      <c r="B16" s="36"/>
      <c r="C16" s="36"/>
      <c r="D16" s="36"/>
      <c r="E16" s="36"/>
      <c r="F16" s="36"/>
      <c r="G16" s="36"/>
      <c r="H16" s="36"/>
      <c r="I16" s="36"/>
      <c r="J16" s="31"/>
      <c r="K16" s="31"/>
      <c r="L16" s="31"/>
      <c r="M16" s="31"/>
      <c r="N16" s="31"/>
      <c r="O16" s="31"/>
    </row>
    <row r="17" spans="1:15" x14ac:dyDescent="0.25">
      <c r="A17" s="35" t="s">
        <v>73</v>
      </c>
      <c r="B17" s="36"/>
      <c r="C17" s="36"/>
      <c r="D17" s="36"/>
      <c r="E17" s="36"/>
      <c r="F17" s="36"/>
      <c r="G17" s="36"/>
      <c r="H17" s="36"/>
      <c r="I17" s="36"/>
      <c r="J17" s="31"/>
      <c r="K17" s="31"/>
      <c r="L17" s="31"/>
      <c r="M17" s="31"/>
      <c r="N17" s="31"/>
      <c r="O17" s="31"/>
    </row>
    <row r="18" spans="1:15" x14ac:dyDescent="0.25">
      <c r="A18" s="35" t="s">
        <v>74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1"/>
      <c r="M18" s="31"/>
      <c r="N18" s="31"/>
      <c r="O18" s="31"/>
    </row>
    <row r="19" spans="1:15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1"/>
      <c r="M19" s="31"/>
      <c r="N19" s="31"/>
      <c r="O19" s="31"/>
    </row>
    <row r="20" spans="1:15" x14ac:dyDescent="0.25">
      <c r="A20" s="35" t="s">
        <v>75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1"/>
      <c r="M20" s="31"/>
      <c r="N20" s="31"/>
      <c r="O20" s="31"/>
    </row>
    <row r="21" spans="1:15" x14ac:dyDescent="0.25">
      <c r="A21" s="35" t="s">
        <v>76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1"/>
      <c r="M21" s="31"/>
      <c r="N21" s="31"/>
      <c r="O21" s="31"/>
    </row>
    <row r="22" spans="1:15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1"/>
      <c r="M22" s="31"/>
      <c r="N22" s="31"/>
      <c r="O22" s="31"/>
    </row>
    <row r="23" spans="1:15" x14ac:dyDescent="0.25">
      <c r="A23" s="34" t="s">
        <v>77</v>
      </c>
      <c r="B23" s="31"/>
      <c r="C23" s="31"/>
      <c r="D23" s="31"/>
      <c r="E23" s="31"/>
      <c r="F23" s="31"/>
      <c r="G23" s="36"/>
      <c r="H23" s="36"/>
      <c r="I23" s="36"/>
      <c r="J23" s="253"/>
      <c r="K23" s="253"/>
      <c r="L23" s="253"/>
      <c r="M23" s="253"/>
      <c r="N23" s="253"/>
      <c r="O23" s="253"/>
    </row>
    <row r="24" spans="1:15" x14ac:dyDescent="0.25">
      <c r="A24" s="34"/>
      <c r="B24" s="31"/>
      <c r="C24" s="31"/>
      <c r="D24" s="31"/>
      <c r="E24" s="31"/>
      <c r="F24" s="31"/>
      <c r="G24" s="36"/>
      <c r="H24" s="36"/>
      <c r="I24" s="36"/>
      <c r="J24" s="39" t="s">
        <v>78</v>
      </c>
      <c r="K24" s="39"/>
      <c r="L24" s="39"/>
      <c r="M24" s="31"/>
      <c r="N24" s="31"/>
      <c r="O24" s="31"/>
    </row>
    <row r="25" spans="1:15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</sheetData>
  <mergeCells count="6">
    <mergeCell ref="J23:O23"/>
    <mergeCell ref="A1:O1"/>
    <mergeCell ref="A2:O2"/>
    <mergeCell ref="C4:O4"/>
    <mergeCell ref="A6:F6"/>
    <mergeCell ref="A7:O7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6" sqref="C16"/>
    </sheetView>
  </sheetViews>
  <sheetFormatPr defaultRowHeight="34.5" customHeight="1" x14ac:dyDescent="0.25"/>
  <cols>
    <col min="2" max="2" width="22.5703125" customWidth="1"/>
    <col min="3" max="3" width="43.7109375" customWidth="1"/>
    <col min="4" max="4" width="25.7109375" customWidth="1"/>
    <col min="5" max="5" width="17.7109375" customWidth="1"/>
  </cols>
  <sheetData>
    <row r="1" spans="1:5" ht="22.5" customHeight="1" x14ac:dyDescent="0.25">
      <c r="A1" s="258" t="s">
        <v>54</v>
      </c>
      <c r="B1" s="258"/>
      <c r="C1" s="258"/>
      <c r="D1" s="258"/>
      <c r="E1" s="258"/>
    </row>
    <row r="2" spans="1:5" ht="34.5" customHeight="1" x14ac:dyDescent="0.25">
      <c r="A2" s="259" t="str">
        <f>ПЗ!B3</f>
        <v>Всесезонный туристско-рекреационный комплекс "Ведучи", Чеченская Республика. Горнолыжная трасса VP-11. Этап 1</v>
      </c>
      <c r="B2" s="259"/>
      <c r="C2" s="259"/>
      <c r="D2" s="259"/>
      <c r="E2" s="259"/>
    </row>
    <row r="3" spans="1:5" ht="34.5" customHeight="1" x14ac:dyDescent="0.25">
      <c r="A3" s="260" t="s">
        <v>8</v>
      </c>
      <c r="B3" s="263" t="s">
        <v>55</v>
      </c>
      <c r="C3" s="266" t="s">
        <v>56</v>
      </c>
      <c r="D3" s="269" t="s">
        <v>57</v>
      </c>
      <c r="E3" s="260" t="s">
        <v>58</v>
      </c>
    </row>
    <row r="4" spans="1:5" ht="34.5" customHeight="1" x14ac:dyDescent="0.25">
      <c r="A4" s="261"/>
      <c r="B4" s="264"/>
      <c r="C4" s="267"/>
      <c r="D4" s="270"/>
      <c r="E4" s="261"/>
    </row>
    <row r="5" spans="1:5" ht="34.5" customHeight="1" x14ac:dyDescent="0.25">
      <c r="A5" s="261"/>
      <c r="B5" s="264"/>
      <c r="C5" s="267"/>
      <c r="D5" s="270"/>
      <c r="E5" s="261"/>
    </row>
    <row r="6" spans="1:5" ht="34.5" customHeight="1" x14ac:dyDescent="0.25">
      <c r="A6" s="262"/>
      <c r="B6" s="265"/>
      <c r="C6" s="268"/>
      <c r="D6" s="271"/>
      <c r="E6" s="262"/>
    </row>
    <row r="7" spans="1:5" ht="34.5" customHeight="1" x14ac:dyDescent="0.25">
      <c r="A7" s="58">
        <v>1</v>
      </c>
      <c r="B7" s="28">
        <v>2</v>
      </c>
      <c r="C7" s="29">
        <v>3</v>
      </c>
      <c r="D7" s="30">
        <v>4</v>
      </c>
      <c r="E7" s="30">
        <v>5</v>
      </c>
    </row>
    <row r="8" spans="1:5" ht="34.5" customHeight="1" x14ac:dyDescent="0.25">
      <c r="A8" s="162">
        <v>1</v>
      </c>
      <c r="B8" s="178"/>
      <c r="C8" s="26" t="s">
        <v>177</v>
      </c>
      <c r="D8" s="164" t="s">
        <v>59</v>
      </c>
      <c r="E8" s="164">
        <v>1</v>
      </c>
    </row>
    <row r="9" spans="1:5" ht="34.5" customHeight="1" x14ac:dyDescent="0.25">
      <c r="A9" s="179" t="s">
        <v>50</v>
      </c>
      <c r="B9" s="27" t="s">
        <v>176</v>
      </c>
      <c r="C9" s="27" t="s">
        <v>177</v>
      </c>
      <c r="D9" s="173" t="s">
        <v>59</v>
      </c>
      <c r="E9" s="173">
        <v>1</v>
      </c>
    </row>
    <row r="10" spans="1:5" ht="47.25" customHeight="1" x14ac:dyDescent="0.25">
      <c r="A10" s="162">
        <v>2</v>
      </c>
      <c r="B10" s="180"/>
      <c r="C10" s="26" t="s">
        <v>243</v>
      </c>
      <c r="D10" s="164" t="s">
        <v>59</v>
      </c>
      <c r="E10" s="164">
        <v>1</v>
      </c>
    </row>
    <row r="11" spans="1:5" ht="34.5" customHeight="1" x14ac:dyDescent="0.25">
      <c r="A11" s="179" t="s">
        <v>240</v>
      </c>
      <c r="B11" s="27" t="s">
        <v>126</v>
      </c>
      <c r="C11" s="27" t="s">
        <v>127</v>
      </c>
      <c r="D11" s="173" t="s">
        <v>59</v>
      </c>
      <c r="E11" s="173">
        <v>1</v>
      </c>
    </row>
    <row r="12" spans="1:5" ht="34.5" customHeight="1" x14ac:dyDescent="0.25">
      <c r="A12" s="179" t="s">
        <v>241</v>
      </c>
      <c r="B12" s="27" t="s">
        <v>131</v>
      </c>
      <c r="C12" s="27" t="s">
        <v>132</v>
      </c>
      <c r="D12" s="173" t="s">
        <v>59</v>
      </c>
      <c r="E12" s="173">
        <v>1</v>
      </c>
    </row>
    <row r="13" spans="1:5" ht="34.5" customHeight="1" x14ac:dyDescent="0.25">
      <c r="A13" s="181" t="s">
        <v>244</v>
      </c>
      <c r="B13" s="182" t="s">
        <v>39</v>
      </c>
      <c r="C13" s="183" t="s">
        <v>221</v>
      </c>
      <c r="D13" s="174" t="s">
        <v>59</v>
      </c>
      <c r="E13" s="174">
        <v>1</v>
      </c>
    </row>
    <row r="14" spans="1:5" ht="34.5" customHeight="1" x14ac:dyDescent="0.25">
      <c r="A14" s="181" t="s">
        <v>245</v>
      </c>
      <c r="B14" s="182" t="s">
        <v>40</v>
      </c>
      <c r="C14" s="183" t="s">
        <v>222</v>
      </c>
      <c r="D14" s="174" t="s">
        <v>59</v>
      </c>
      <c r="E14" s="174">
        <v>1</v>
      </c>
    </row>
    <row r="15" spans="1:5" ht="34.5" customHeight="1" x14ac:dyDescent="0.25">
      <c r="A15" s="181" t="s">
        <v>246</v>
      </c>
      <c r="B15" s="182" t="s">
        <v>223</v>
      </c>
      <c r="C15" s="183" t="s">
        <v>224</v>
      </c>
      <c r="D15" s="174" t="s">
        <v>59</v>
      </c>
      <c r="E15" s="174">
        <v>1</v>
      </c>
    </row>
    <row r="16" spans="1:5" ht="34.5" customHeight="1" x14ac:dyDescent="0.25">
      <c r="A16" s="179" t="s">
        <v>242</v>
      </c>
      <c r="B16" s="27" t="s">
        <v>134</v>
      </c>
      <c r="C16" s="27" t="s">
        <v>135</v>
      </c>
      <c r="D16" s="173" t="s">
        <v>59</v>
      </c>
      <c r="E16" s="173">
        <v>1</v>
      </c>
    </row>
  </sheetData>
  <mergeCells count="7">
    <mergeCell ref="A1:E1"/>
    <mergeCell ref="A2:E2"/>
    <mergeCell ref="A3:A6"/>
    <mergeCell ref="B3:B6"/>
    <mergeCell ref="C3:C6"/>
    <mergeCell ref="D3:D6"/>
    <mergeCell ref="E3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H18" sqref="A1:H18"/>
    </sheetView>
  </sheetViews>
  <sheetFormatPr defaultRowHeight="15" x14ac:dyDescent="0.25"/>
  <cols>
    <col min="3" max="3" width="38" customWidth="1"/>
    <col min="4" max="4" width="15.7109375" customWidth="1"/>
    <col min="5" max="5" width="11" customWidth="1"/>
    <col min="6" max="6" width="19.28515625" customWidth="1"/>
    <col min="7" max="7" width="18.7109375" customWidth="1"/>
    <col min="8" max="8" width="17.42578125" customWidth="1"/>
  </cols>
  <sheetData>
    <row r="1" spans="1:8" ht="15.75" x14ac:dyDescent="0.25">
      <c r="A1" s="273" t="s">
        <v>94</v>
      </c>
      <c r="B1" s="273"/>
      <c r="C1" s="273"/>
      <c r="D1" s="273"/>
      <c r="E1" s="273"/>
      <c r="F1" s="273"/>
      <c r="G1" s="273"/>
      <c r="H1" s="18"/>
    </row>
    <row r="2" spans="1:8" ht="31.5" customHeight="1" x14ac:dyDescent="0.25">
      <c r="A2" s="19" t="s">
        <v>42</v>
      </c>
      <c r="B2" s="19"/>
      <c r="C2" s="274" t="str">
        <f>ПЗ!B3</f>
        <v>Всесезонный туристско-рекреационный комплекс "Ведучи", Чеченская Республика. Горнолыжная трасса VP-11. Этап 1</v>
      </c>
      <c r="D2" s="274"/>
      <c r="E2" s="274"/>
      <c r="F2" s="274"/>
      <c r="G2" s="274"/>
      <c r="H2" s="18"/>
    </row>
    <row r="3" spans="1:8" ht="15.75" x14ac:dyDescent="0.25">
      <c r="A3" s="23"/>
      <c r="B3" s="23"/>
      <c r="C3" s="23"/>
      <c r="D3" s="23"/>
      <c r="E3" s="23"/>
      <c r="F3" s="23"/>
      <c r="G3" s="18"/>
      <c r="H3" s="18"/>
    </row>
    <row r="4" spans="1:8" ht="15.75" x14ac:dyDescent="0.25">
      <c r="A4" s="275" t="s">
        <v>8</v>
      </c>
      <c r="B4" s="275"/>
      <c r="C4" s="276" t="s">
        <v>46</v>
      </c>
      <c r="D4" s="277" t="s">
        <v>57</v>
      </c>
      <c r="E4" s="277" t="s">
        <v>95</v>
      </c>
      <c r="F4" s="278" t="s">
        <v>96</v>
      </c>
      <c r="G4" s="278"/>
      <c r="H4" s="272" t="s">
        <v>97</v>
      </c>
    </row>
    <row r="5" spans="1:8" ht="31.5" x14ac:dyDescent="0.25">
      <c r="A5" s="275"/>
      <c r="B5" s="275"/>
      <c r="C5" s="276"/>
      <c r="D5" s="277"/>
      <c r="E5" s="277"/>
      <c r="F5" s="60" t="s">
        <v>98</v>
      </c>
      <c r="G5" s="60" t="s">
        <v>99</v>
      </c>
      <c r="H5" s="272"/>
    </row>
    <row r="6" spans="1:8" ht="15.75" x14ac:dyDescent="0.25">
      <c r="A6" s="59">
        <v>1</v>
      </c>
      <c r="B6" s="59"/>
      <c r="C6" s="59">
        <v>2</v>
      </c>
      <c r="D6" s="53">
        <v>3</v>
      </c>
      <c r="E6" s="53">
        <v>4</v>
      </c>
      <c r="F6" s="53">
        <v>5</v>
      </c>
      <c r="G6" s="53">
        <v>6</v>
      </c>
      <c r="H6" s="54">
        <v>7</v>
      </c>
    </row>
    <row r="7" spans="1:8" ht="15.75" x14ac:dyDescent="0.25">
      <c r="A7" s="162">
        <v>1</v>
      </c>
      <c r="B7" s="178"/>
      <c r="C7" s="26" t="s">
        <v>177</v>
      </c>
      <c r="D7" s="164" t="s">
        <v>59</v>
      </c>
      <c r="E7" s="164">
        <v>1</v>
      </c>
      <c r="F7" s="164">
        <f>НМЦК!M13</f>
        <v>303736.28000000003</v>
      </c>
      <c r="G7" s="164">
        <f t="shared" ref="G7:G12" si="0">E7*F7</f>
        <v>303736.28000000003</v>
      </c>
      <c r="H7" s="164"/>
    </row>
    <row r="8" spans="1:8" ht="31.5" x14ac:dyDescent="0.25">
      <c r="A8" s="179" t="s">
        <v>50</v>
      </c>
      <c r="B8" s="27" t="s">
        <v>176</v>
      </c>
      <c r="C8" s="27" t="s">
        <v>177</v>
      </c>
      <c r="D8" s="173" t="s">
        <v>59</v>
      </c>
      <c r="E8" s="173">
        <v>1</v>
      </c>
      <c r="F8" s="175">
        <f>НМЦК!M14</f>
        <v>303736.28000000003</v>
      </c>
      <c r="G8" s="176">
        <f t="shared" si="0"/>
        <v>303736.28000000003</v>
      </c>
      <c r="H8" s="176"/>
    </row>
    <row r="9" spans="1:8" ht="47.25" x14ac:dyDescent="0.25">
      <c r="A9" s="162">
        <v>2</v>
      </c>
      <c r="B9" s="178"/>
      <c r="C9" s="26" t="s">
        <v>243</v>
      </c>
      <c r="D9" s="164" t="s">
        <v>59</v>
      </c>
      <c r="E9" s="164">
        <v>1</v>
      </c>
      <c r="F9" s="164">
        <f>НМЦК!M15</f>
        <v>23820562.100000001</v>
      </c>
      <c r="G9" s="164">
        <f t="shared" si="0"/>
        <v>23820562.100000001</v>
      </c>
      <c r="H9" s="164">
        <f>H11</f>
        <v>262222</v>
      </c>
    </row>
    <row r="10" spans="1:8" ht="47.25" x14ac:dyDescent="0.25">
      <c r="A10" s="179" t="s">
        <v>240</v>
      </c>
      <c r="B10" s="27" t="s">
        <v>126</v>
      </c>
      <c r="C10" s="27" t="s">
        <v>127</v>
      </c>
      <c r="D10" s="173" t="s">
        <v>59</v>
      </c>
      <c r="E10" s="173">
        <v>1</v>
      </c>
      <c r="F10" s="176">
        <f>НМЦК!M16</f>
        <v>18286.59</v>
      </c>
      <c r="G10" s="176">
        <f t="shared" si="0"/>
        <v>18286.59</v>
      </c>
      <c r="H10" s="176"/>
    </row>
    <row r="11" spans="1:8" ht="15.75" x14ac:dyDescent="0.25">
      <c r="A11" s="179" t="s">
        <v>241</v>
      </c>
      <c r="B11" s="27" t="s">
        <v>131</v>
      </c>
      <c r="C11" s="27" t="s">
        <v>132</v>
      </c>
      <c r="D11" s="173" t="s">
        <v>59</v>
      </c>
      <c r="E11" s="173">
        <v>1</v>
      </c>
      <c r="F11" s="176">
        <f>НМЦК!M17</f>
        <v>6470831.8799999999</v>
      </c>
      <c r="G11" s="176">
        <f t="shared" si="0"/>
        <v>6470831.8799999999</v>
      </c>
      <c r="H11" s="176">
        <f>H14</f>
        <v>262222</v>
      </c>
    </row>
    <row r="12" spans="1:8" ht="31.5" x14ac:dyDescent="0.25">
      <c r="A12" s="181" t="s">
        <v>244</v>
      </c>
      <c r="B12" s="182" t="s">
        <v>39</v>
      </c>
      <c r="C12" s="183" t="s">
        <v>221</v>
      </c>
      <c r="D12" s="174" t="s">
        <v>59</v>
      </c>
      <c r="E12" s="174">
        <v>1</v>
      </c>
      <c r="F12" s="177">
        <f>НМЦК!M18</f>
        <v>5751306.0199999996</v>
      </c>
      <c r="G12" s="177">
        <f t="shared" si="0"/>
        <v>5751306.0199999996</v>
      </c>
      <c r="H12" s="177"/>
    </row>
    <row r="13" spans="1:8" ht="31.5" x14ac:dyDescent="0.25">
      <c r="A13" s="181" t="s">
        <v>245</v>
      </c>
      <c r="B13" s="182" t="s">
        <v>40</v>
      </c>
      <c r="C13" s="183" t="s">
        <v>222</v>
      </c>
      <c r="D13" s="174" t="s">
        <v>59</v>
      </c>
      <c r="E13" s="174">
        <v>1</v>
      </c>
      <c r="F13" s="177">
        <f>НМЦК!M19</f>
        <v>457303.86</v>
      </c>
      <c r="G13" s="177">
        <f t="shared" ref="G13:G14" si="1">E13*F13</f>
        <v>457303.86</v>
      </c>
      <c r="H13" s="177"/>
    </row>
    <row r="14" spans="1:8" ht="31.5" x14ac:dyDescent="0.25">
      <c r="A14" s="181" t="s">
        <v>246</v>
      </c>
      <c r="B14" s="182" t="s">
        <v>223</v>
      </c>
      <c r="C14" s="183" t="s">
        <v>224</v>
      </c>
      <c r="D14" s="174" t="s">
        <v>59</v>
      </c>
      <c r="E14" s="174">
        <v>1</v>
      </c>
      <c r="F14" s="177">
        <f>НМЦК!M20</f>
        <v>262222</v>
      </c>
      <c r="G14" s="177">
        <f t="shared" si="1"/>
        <v>262222</v>
      </c>
      <c r="H14" s="177">
        <f>G14</f>
        <v>262222</v>
      </c>
    </row>
    <row r="15" spans="1:8" ht="31.5" x14ac:dyDescent="0.25">
      <c r="A15" s="179" t="s">
        <v>242</v>
      </c>
      <c r="B15" s="27" t="s">
        <v>134</v>
      </c>
      <c r="C15" s="27" t="s">
        <v>135</v>
      </c>
      <c r="D15" s="173" t="s">
        <v>59</v>
      </c>
      <c r="E15" s="173">
        <v>1</v>
      </c>
      <c r="F15" s="176">
        <f>НМЦК!M21</f>
        <v>17331443.629999999</v>
      </c>
      <c r="G15" s="176">
        <f>E15*F15</f>
        <v>17331443.629999999</v>
      </c>
      <c r="H15" s="176"/>
    </row>
    <row r="16" spans="1:8" ht="15.75" x14ac:dyDescent="0.25">
      <c r="A16" s="184"/>
      <c r="B16" s="185"/>
      <c r="C16" s="185" t="s">
        <v>52</v>
      </c>
      <c r="D16" s="172"/>
      <c r="E16" s="172"/>
      <c r="F16" s="172">
        <f>F7+F9</f>
        <v>24124298.379999999</v>
      </c>
      <c r="G16" s="172">
        <f>G7+G9</f>
        <v>24124298.379999999</v>
      </c>
      <c r="H16" s="172">
        <f>H7+H9</f>
        <v>262222</v>
      </c>
    </row>
    <row r="17" spans="1:8" ht="15.75" x14ac:dyDescent="0.25">
      <c r="A17" s="184"/>
      <c r="B17" s="185"/>
      <c r="C17" s="185" t="s">
        <v>239</v>
      </c>
      <c r="D17" s="172"/>
      <c r="E17" s="172"/>
      <c r="F17" s="172">
        <f>F16*0.2</f>
        <v>4824859.68</v>
      </c>
      <c r="G17" s="172">
        <f>G16*0.2</f>
        <v>4824859.68</v>
      </c>
      <c r="H17" s="172">
        <f>H16*0.2</f>
        <v>52444.4</v>
      </c>
    </row>
    <row r="18" spans="1:8" ht="15.75" x14ac:dyDescent="0.25">
      <c r="A18" s="184"/>
      <c r="B18" s="185"/>
      <c r="C18" s="185" t="s">
        <v>53</v>
      </c>
      <c r="D18" s="172"/>
      <c r="E18" s="172"/>
      <c r="F18" s="172">
        <f>F16+F17</f>
        <v>28949158.059999999</v>
      </c>
      <c r="G18" s="172">
        <f>G16+G17</f>
        <v>28949158.059999999</v>
      </c>
      <c r="H18" s="172">
        <f>H16+H17</f>
        <v>314666.40000000002</v>
      </c>
    </row>
  </sheetData>
  <mergeCells count="9">
    <mergeCell ref="H4:H5"/>
    <mergeCell ref="A1:G1"/>
    <mergeCell ref="C2:G2"/>
    <mergeCell ref="A4:A5"/>
    <mergeCell ref="C4:C5"/>
    <mergeCell ref="D4:D5"/>
    <mergeCell ref="E4:E5"/>
    <mergeCell ref="F4:G4"/>
    <mergeCell ref="B4:B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autoPageBreaks="0"/>
  </sheetPr>
  <dimension ref="A1:M35"/>
  <sheetViews>
    <sheetView showGridLines="0" zoomScaleNormal="100" zoomScaleSheetLayoutView="85" workbookViewId="0">
      <selection activeCell="B4" sqref="B4"/>
    </sheetView>
  </sheetViews>
  <sheetFormatPr defaultColWidth="9.140625" defaultRowHeight="12.75" outlineLevelCol="1" x14ac:dyDescent="0.2"/>
  <cols>
    <col min="1" max="1" width="11.7109375" style="77" customWidth="1"/>
    <col min="2" max="2" width="22.140625" style="61" customWidth="1"/>
    <col min="3" max="3" width="61.85546875" style="61" customWidth="1"/>
    <col min="4" max="4" width="21.140625" style="62" hidden="1" customWidth="1" outlineLevel="1"/>
    <col min="5" max="5" width="18.85546875" style="62" hidden="1" customWidth="1" outlineLevel="1"/>
    <col min="6" max="6" width="16.7109375" style="62" hidden="1" customWidth="1" outlineLevel="1"/>
    <col min="7" max="7" width="17.5703125" style="62" hidden="1" customWidth="1" outlineLevel="1"/>
    <col min="8" max="8" width="25.42578125" style="62" customWidth="1" collapsed="1"/>
    <col min="9" max="9" width="19.7109375" style="63" customWidth="1"/>
    <col min="10" max="10" width="22.28515625" style="63" customWidth="1"/>
    <col min="11" max="11" width="17.7109375" style="63" customWidth="1"/>
    <col min="12" max="12" width="23.28515625" style="63" customWidth="1"/>
    <col min="13" max="13" width="25.42578125" style="63" hidden="1" customWidth="1"/>
    <col min="14" max="16384" width="9.140625" style="63"/>
  </cols>
  <sheetData>
    <row r="1" spans="1:13" customFormat="1" ht="39" customHeight="1" x14ac:dyDescent="0.25">
      <c r="A1" s="273" t="s">
        <v>41</v>
      </c>
      <c r="B1" s="273"/>
      <c r="C1" s="273"/>
      <c r="D1" s="273"/>
      <c r="E1" s="273"/>
      <c r="F1" s="273"/>
      <c r="G1" s="273"/>
      <c r="H1" s="273"/>
    </row>
    <row r="2" spans="1:13" customFormat="1" ht="15.75" x14ac:dyDescent="0.25">
      <c r="A2" s="56"/>
      <c r="B2" s="56"/>
      <c r="C2" s="56"/>
      <c r="D2" s="56"/>
      <c r="E2" s="56"/>
      <c r="F2" s="56"/>
      <c r="G2" s="56"/>
      <c r="H2" s="56"/>
    </row>
    <row r="3" spans="1:13" customFormat="1" ht="36" customHeight="1" x14ac:dyDescent="0.25">
      <c r="A3" s="19" t="s">
        <v>42</v>
      </c>
      <c r="B3" s="274" t="str">
        <f>ПЗ!B3</f>
        <v>Всесезонный туристско-рекреационный комплекс "Ведучи", Чеченская Республика. Горнолыжная трасса VP-11. Этап 1</v>
      </c>
      <c r="C3" s="274"/>
      <c r="D3" s="274"/>
      <c r="E3" s="274"/>
      <c r="F3" s="274"/>
      <c r="G3" s="274"/>
      <c r="H3" s="274"/>
    </row>
    <row r="4" spans="1:13" customFormat="1" ht="15.75" x14ac:dyDescent="0.25">
      <c r="A4" s="20" t="s">
        <v>43</v>
      </c>
      <c r="B4" s="20" t="s">
        <v>44</v>
      </c>
      <c r="C4" s="20"/>
      <c r="D4" s="20"/>
      <c r="E4" s="20"/>
      <c r="F4" s="20"/>
      <c r="G4" s="20"/>
      <c r="H4" s="21"/>
    </row>
    <row r="5" spans="1:13" customFormat="1" ht="15.75" x14ac:dyDescent="0.25">
      <c r="A5" s="22" t="s">
        <v>45</v>
      </c>
      <c r="B5" s="23"/>
      <c r="C5" s="23"/>
      <c r="D5" s="23"/>
      <c r="E5" s="23"/>
      <c r="F5" s="23"/>
      <c r="G5" s="23"/>
      <c r="H5" s="21"/>
    </row>
    <row r="6" spans="1:13" customFormat="1" ht="15.75" x14ac:dyDescent="0.25">
      <c r="A6" s="25" t="s">
        <v>249</v>
      </c>
      <c r="B6" s="25"/>
      <c r="C6" s="24"/>
      <c r="D6" s="24"/>
      <c r="E6" s="24"/>
      <c r="F6" s="24"/>
      <c r="G6" s="24"/>
      <c r="H6" s="24"/>
    </row>
    <row r="7" spans="1:13" customFormat="1" ht="37.5" customHeight="1" x14ac:dyDescent="0.25">
      <c r="A7" s="279" t="s">
        <v>248</v>
      </c>
      <c r="B7" s="279"/>
      <c r="C7" s="279"/>
      <c r="D7" s="279"/>
      <c r="E7" s="279"/>
      <c r="F7" s="279"/>
      <c r="G7" s="279"/>
      <c r="H7" s="279"/>
    </row>
    <row r="8" spans="1:13" customFormat="1" ht="40.5" customHeight="1" x14ac:dyDescent="0.25">
      <c r="A8" s="280" t="s">
        <v>236</v>
      </c>
      <c r="B8" s="280"/>
      <c r="C8" s="280"/>
      <c r="D8" s="280"/>
      <c r="E8" s="280"/>
      <c r="F8" s="280"/>
      <c r="G8" s="280"/>
      <c r="H8" s="280"/>
    </row>
    <row r="9" spans="1:13" x14ac:dyDescent="0.2">
      <c r="D9" s="87"/>
      <c r="E9" s="64"/>
      <c r="F9" s="64"/>
      <c r="G9" s="64"/>
      <c r="H9" s="64"/>
    </row>
    <row r="10" spans="1:13" x14ac:dyDescent="0.2">
      <c r="D10" s="282"/>
      <c r="E10" s="282"/>
      <c r="F10" s="282"/>
      <c r="G10" s="282"/>
      <c r="H10" s="282"/>
    </row>
    <row r="11" spans="1:13" ht="129" customHeight="1" x14ac:dyDescent="0.2">
      <c r="A11" s="189" t="s">
        <v>8</v>
      </c>
      <c r="B11" s="190" t="s">
        <v>122</v>
      </c>
      <c r="C11" s="190" t="s">
        <v>46</v>
      </c>
      <c r="D11" s="281" t="s">
        <v>238</v>
      </c>
      <c r="E11" s="281"/>
      <c r="F11" s="281"/>
      <c r="G11" s="281"/>
      <c r="H11" s="189" t="s">
        <v>237</v>
      </c>
      <c r="I11" s="191" t="s">
        <v>47</v>
      </c>
      <c r="J11" s="191" t="s">
        <v>100</v>
      </c>
      <c r="K11" s="191" t="s">
        <v>48</v>
      </c>
      <c r="L11" s="191" t="s">
        <v>49</v>
      </c>
      <c r="M11" s="161" t="s">
        <v>101</v>
      </c>
    </row>
    <row r="12" spans="1:13" ht="15.75" x14ac:dyDescent="0.25">
      <c r="A12" s="192">
        <v>1</v>
      </c>
      <c r="B12" s="193">
        <v>2</v>
      </c>
      <c r="C12" s="193">
        <v>3</v>
      </c>
      <c r="D12" s="192">
        <v>4</v>
      </c>
      <c r="E12" s="192">
        <v>5</v>
      </c>
      <c r="F12" s="192">
        <v>6</v>
      </c>
      <c r="G12" s="192">
        <v>7</v>
      </c>
      <c r="H12" s="194">
        <v>4</v>
      </c>
      <c r="I12" s="194">
        <v>5</v>
      </c>
      <c r="J12" s="194">
        <v>6</v>
      </c>
      <c r="K12" s="194">
        <v>7</v>
      </c>
      <c r="L12" s="194">
        <v>8</v>
      </c>
      <c r="M12" s="188">
        <v>9</v>
      </c>
    </row>
    <row r="13" spans="1:13" customFormat="1" ht="15.75" x14ac:dyDescent="0.25">
      <c r="A13" s="162">
        <v>1</v>
      </c>
      <c r="B13" s="178"/>
      <c r="C13" s="26" t="s">
        <v>177</v>
      </c>
      <c r="D13" s="164"/>
      <c r="E13" s="164"/>
      <c r="F13" s="165"/>
      <c r="G13" s="164">
        <f>G14</f>
        <v>303736.28000000003</v>
      </c>
      <c r="H13" s="164">
        <f>SUM(D13:G13)</f>
        <v>303736.28000000003</v>
      </c>
      <c r="I13" s="164"/>
      <c r="J13" s="164">
        <f>J14</f>
        <v>303736.28000000003</v>
      </c>
      <c r="K13" s="164"/>
      <c r="L13" s="164">
        <f>L14</f>
        <v>303736.28000000003</v>
      </c>
      <c r="M13" s="164">
        <f>M14</f>
        <v>303736.28000000003</v>
      </c>
    </row>
    <row r="14" spans="1:13" ht="15.75" x14ac:dyDescent="0.2">
      <c r="A14" s="179" t="s">
        <v>50</v>
      </c>
      <c r="B14" s="27" t="s">
        <v>176</v>
      </c>
      <c r="C14" s="27" t="s">
        <v>177</v>
      </c>
      <c r="D14" s="167"/>
      <c r="E14" s="167"/>
      <c r="F14" s="167"/>
      <c r="G14" s="168">
        <f>'ПИР РД_тц'!J64</f>
        <v>303736.28000000003</v>
      </c>
      <c r="H14" s="168">
        <f t="shared" ref="H14:H20" si="0">SUM(D14:G14)</f>
        <v>303736.28000000003</v>
      </c>
      <c r="I14" s="168">
        <v>1</v>
      </c>
      <c r="J14" s="168">
        <f>H14*I14</f>
        <v>303736.28000000003</v>
      </c>
      <c r="K14" s="168">
        <v>1</v>
      </c>
      <c r="L14" s="168">
        <f>J14*K14</f>
        <v>303736.28000000003</v>
      </c>
      <c r="M14" s="168">
        <f t="shared" ref="M14:M21" si="1">J14+(L14-J14)*(1-30/100)</f>
        <v>303736.28000000003</v>
      </c>
    </row>
    <row r="15" spans="1:13" customFormat="1" ht="31.5" x14ac:dyDescent="0.25">
      <c r="A15" s="162">
        <v>2</v>
      </c>
      <c r="B15" s="180"/>
      <c r="C15" s="26" t="s">
        <v>243</v>
      </c>
      <c r="D15" s="164">
        <f>D16+D17+D21</f>
        <v>23540053.5</v>
      </c>
      <c r="E15" s="164">
        <f>E16+E17+E21</f>
        <v>0</v>
      </c>
      <c r="F15" s="164">
        <f>F16+F17+F21</f>
        <v>262222</v>
      </c>
      <c r="G15" s="164">
        <f>G16+G17+G21</f>
        <v>18286.59</v>
      </c>
      <c r="H15" s="164">
        <f>H16+H17+H21</f>
        <v>23820562.100000001</v>
      </c>
      <c r="I15" s="164"/>
      <c r="J15" s="164">
        <f>J16+J17+J21</f>
        <v>23820562.100000001</v>
      </c>
      <c r="K15" s="164"/>
      <c r="L15" s="164">
        <f>L16+L17+L21</f>
        <v>23820562.100000001</v>
      </c>
      <c r="M15" s="164">
        <f>M16+M17+M21</f>
        <v>23820562.100000001</v>
      </c>
    </row>
    <row r="16" spans="1:13" ht="38.25" customHeight="1" x14ac:dyDescent="0.2">
      <c r="A16" s="179" t="s">
        <v>240</v>
      </c>
      <c r="B16" s="27" t="s">
        <v>126</v>
      </c>
      <c r="C16" s="27" t="s">
        <v>127</v>
      </c>
      <c r="D16" s="168"/>
      <c r="E16" s="168"/>
      <c r="F16" s="168"/>
      <c r="G16" s="167">
        <f>18286.59</f>
        <v>18286.59</v>
      </c>
      <c r="H16" s="168">
        <f t="shared" si="0"/>
        <v>18286.59</v>
      </c>
      <c r="I16" s="168">
        <v>1</v>
      </c>
      <c r="J16" s="168">
        <f>H16*I16</f>
        <v>18286.59</v>
      </c>
      <c r="K16" s="168">
        <v>1</v>
      </c>
      <c r="L16" s="168">
        <f>J16*K16</f>
        <v>18286.59</v>
      </c>
      <c r="M16" s="168">
        <f t="shared" si="1"/>
        <v>18286.59</v>
      </c>
    </row>
    <row r="17" spans="1:13" ht="15.75" x14ac:dyDescent="0.2">
      <c r="A17" s="179" t="s">
        <v>241</v>
      </c>
      <c r="B17" s="27" t="s">
        <v>131</v>
      </c>
      <c r="C17" s="27" t="s">
        <v>132</v>
      </c>
      <c r="D17" s="168">
        <f>D18+D19+D20</f>
        <v>6208609.8799999999</v>
      </c>
      <c r="E17" s="168"/>
      <c r="F17" s="168">
        <f>F18+F19+F20</f>
        <v>262222</v>
      </c>
      <c r="G17" s="167"/>
      <c r="H17" s="168">
        <f t="shared" si="0"/>
        <v>6470831.8799999999</v>
      </c>
      <c r="I17" s="168">
        <v>1</v>
      </c>
      <c r="J17" s="168">
        <f t="shared" ref="J17:J21" si="2">H17*I17</f>
        <v>6470831.8799999999</v>
      </c>
      <c r="K17" s="168">
        <v>1</v>
      </c>
      <c r="L17" s="168">
        <f t="shared" ref="L17:L21" si="3">J17*K17</f>
        <v>6470831.8799999999</v>
      </c>
      <c r="M17" s="168">
        <f t="shared" si="1"/>
        <v>6470831.8799999999</v>
      </c>
    </row>
    <row r="18" spans="1:13" s="135" customFormat="1" ht="15.75" x14ac:dyDescent="0.25">
      <c r="A18" s="181" t="s">
        <v>244</v>
      </c>
      <c r="B18" s="182" t="s">
        <v>39</v>
      </c>
      <c r="C18" s="183" t="s">
        <v>221</v>
      </c>
      <c r="D18" s="166">
        <f>5641024*1.023-5641024*0.023*0.15</f>
        <v>5751306.0199999996</v>
      </c>
      <c r="E18" s="166"/>
      <c r="F18" s="166"/>
      <c r="G18" s="166"/>
      <c r="H18" s="166">
        <f t="shared" si="0"/>
        <v>5751306.0199999996</v>
      </c>
      <c r="I18" s="166">
        <v>1</v>
      </c>
      <c r="J18" s="166">
        <f t="shared" si="2"/>
        <v>5751306.0199999996</v>
      </c>
      <c r="K18" s="166">
        <v>1</v>
      </c>
      <c r="L18" s="166">
        <f t="shared" si="3"/>
        <v>5751306.0199999996</v>
      </c>
      <c r="M18" s="166">
        <f t="shared" si="1"/>
        <v>5751306.0199999996</v>
      </c>
    </row>
    <row r="19" spans="1:13" s="135" customFormat="1" ht="31.5" x14ac:dyDescent="0.25">
      <c r="A19" s="181" t="s">
        <v>245</v>
      </c>
      <c r="B19" s="182" t="s">
        <v>40</v>
      </c>
      <c r="C19" s="183" t="s">
        <v>222</v>
      </c>
      <c r="D19" s="166">
        <f>448535*1.023-448535*0.023*0.15</f>
        <v>457303.86</v>
      </c>
      <c r="E19" s="166"/>
      <c r="F19" s="166"/>
      <c r="G19" s="166"/>
      <c r="H19" s="166">
        <f t="shared" si="0"/>
        <v>457303.86</v>
      </c>
      <c r="I19" s="166">
        <v>1</v>
      </c>
      <c r="J19" s="166">
        <f t="shared" si="2"/>
        <v>457303.86</v>
      </c>
      <c r="K19" s="166">
        <v>1</v>
      </c>
      <c r="L19" s="166">
        <f t="shared" si="3"/>
        <v>457303.86</v>
      </c>
      <c r="M19" s="166">
        <f t="shared" si="1"/>
        <v>457303.86</v>
      </c>
    </row>
    <row r="20" spans="1:13" s="135" customFormat="1" ht="15.75" x14ac:dyDescent="0.25">
      <c r="A20" s="181" t="s">
        <v>246</v>
      </c>
      <c r="B20" s="182" t="s">
        <v>223</v>
      </c>
      <c r="C20" s="183" t="s">
        <v>224</v>
      </c>
      <c r="D20" s="166"/>
      <c r="E20" s="166"/>
      <c r="F20" s="166">
        <f>262222</f>
        <v>262222</v>
      </c>
      <c r="G20" s="166"/>
      <c r="H20" s="166">
        <f t="shared" si="0"/>
        <v>262222</v>
      </c>
      <c r="I20" s="166">
        <v>1</v>
      </c>
      <c r="J20" s="166">
        <f t="shared" si="2"/>
        <v>262222</v>
      </c>
      <c r="K20" s="166">
        <v>1</v>
      </c>
      <c r="L20" s="166">
        <f t="shared" si="3"/>
        <v>262222</v>
      </c>
      <c r="M20" s="166">
        <f t="shared" si="1"/>
        <v>262222</v>
      </c>
    </row>
    <row r="21" spans="1:13" ht="15.75" x14ac:dyDescent="0.2">
      <c r="A21" s="179" t="s">
        <v>242</v>
      </c>
      <c r="B21" s="27" t="s">
        <v>134</v>
      </c>
      <c r="C21" s="27" t="s">
        <v>135</v>
      </c>
      <c r="D21" s="168">
        <f>16999111*1.023-16999111*0.023*0.15</f>
        <v>17331443.620000001</v>
      </c>
      <c r="E21" s="168"/>
      <c r="F21" s="168"/>
      <c r="G21" s="167"/>
      <c r="H21" s="168">
        <f>SUM(D21:G21)+0.01</f>
        <v>17331443.629999999</v>
      </c>
      <c r="I21" s="168">
        <v>1</v>
      </c>
      <c r="J21" s="168">
        <f t="shared" si="2"/>
        <v>17331443.629999999</v>
      </c>
      <c r="K21" s="168">
        <v>1</v>
      </c>
      <c r="L21" s="168">
        <f t="shared" si="3"/>
        <v>17331443.629999999</v>
      </c>
      <c r="M21" s="168">
        <f t="shared" si="1"/>
        <v>17331443.629999999</v>
      </c>
    </row>
    <row r="22" spans="1:13" ht="15.75" x14ac:dyDescent="0.2">
      <c r="A22" s="184"/>
      <c r="B22" s="185"/>
      <c r="C22" s="185" t="s">
        <v>52</v>
      </c>
      <c r="D22" s="232">
        <f>D13+D15</f>
        <v>23540053.5</v>
      </c>
      <c r="E22" s="232">
        <f>E13+E15</f>
        <v>0</v>
      </c>
      <c r="F22" s="232">
        <f>F13+F15</f>
        <v>262222</v>
      </c>
      <c r="G22" s="232">
        <f>G13+G15</f>
        <v>322022.87</v>
      </c>
      <c r="H22" s="169">
        <f>H13+H15</f>
        <v>24124298.379999999</v>
      </c>
      <c r="I22" s="172"/>
      <c r="J22" s="169">
        <f>J13+J15</f>
        <v>24124298.379999999</v>
      </c>
      <c r="K22" s="172"/>
      <c r="L22" s="169">
        <f>L13+L15</f>
        <v>24124298.379999999</v>
      </c>
      <c r="M22" s="172" t="e">
        <f>M13+M15+#REF!</f>
        <v>#REF!</v>
      </c>
    </row>
    <row r="23" spans="1:13" ht="15.75" x14ac:dyDescent="0.2">
      <c r="A23" s="184"/>
      <c r="B23" s="185"/>
      <c r="C23" s="185" t="s">
        <v>239</v>
      </c>
      <c r="D23" s="232">
        <f>D22*0.2</f>
        <v>4708010.7</v>
      </c>
      <c r="E23" s="232">
        <f>E22*0.2</f>
        <v>0</v>
      </c>
      <c r="F23" s="232">
        <f>F22*0.2</f>
        <v>52444.4</v>
      </c>
      <c r="G23" s="232">
        <f>G22*0.2</f>
        <v>64404.57</v>
      </c>
      <c r="H23" s="231">
        <f>H22*0.2</f>
        <v>4824859.68</v>
      </c>
      <c r="I23" s="172"/>
      <c r="J23" s="172">
        <f>J22*0.2</f>
        <v>4824859.68</v>
      </c>
      <c r="K23" s="172"/>
      <c r="L23" s="172">
        <f>L22*0.2</f>
        <v>4824859.68</v>
      </c>
      <c r="M23" s="172" t="e">
        <f>M22*0.2</f>
        <v>#REF!</v>
      </c>
    </row>
    <row r="24" spans="1:13" ht="15.75" x14ac:dyDescent="0.2">
      <c r="A24" s="184"/>
      <c r="B24" s="185"/>
      <c r="C24" s="185" t="s">
        <v>53</v>
      </c>
      <c r="D24" s="232">
        <f>D22+D23</f>
        <v>28248064.199999999</v>
      </c>
      <c r="E24" s="232">
        <f>E22+E23</f>
        <v>0</v>
      </c>
      <c r="F24" s="232">
        <f>F22+F23</f>
        <v>314666.40000000002</v>
      </c>
      <c r="G24" s="232">
        <f>G22+G23</f>
        <v>386427.44</v>
      </c>
      <c r="H24" s="231">
        <f>H22+H23</f>
        <v>28949158.059999999</v>
      </c>
      <c r="I24" s="172"/>
      <c r="J24" s="172">
        <f>J22+J23</f>
        <v>28949158.059999999</v>
      </c>
      <c r="K24" s="172"/>
      <c r="L24" s="172">
        <f>L22+L23</f>
        <v>28949158.059999999</v>
      </c>
      <c r="M24" s="172" t="e">
        <f>M22+M23</f>
        <v>#REF!</v>
      </c>
    </row>
    <row r="25" spans="1:13" x14ac:dyDescent="0.2">
      <c r="A25" s="129"/>
      <c r="B25" s="130"/>
      <c r="C25" s="130"/>
      <c r="D25" s="130"/>
      <c r="E25" s="130"/>
      <c r="F25" s="130"/>
      <c r="G25" s="130"/>
      <c r="H25" s="130"/>
    </row>
    <row r="35" spans="8:8" x14ac:dyDescent="0.2">
      <c r="H35" s="170"/>
    </row>
  </sheetData>
  <mergeCells count="6">
    <mergeCell ref="A1:H1"/>
    <mergeCell ref="B3:H3"/>
    <mergeCell ref="A7:H7"/>
    <mergeCell ref="A8:H8"/>
    <mergeCell ref="D11:G11"/>
    <mergeCell ref="D10:H10"/>
  </mergeCells>
  <conditionalFormatting sqref="D30:H32">
    <cfRule type="containsText" dxfId="12" priority="6" operator="containsText" text="ложь">
      <formula>NOT(ISERROR(SEARCH("ложь",D30)))</formula>
    </cfRule>
    <cfRule type="containsText" dxfId="11" priority="7" operator="containsText" text="истина">
      <formula>NOT(ISERROR(SEARCH("истина",D30)))</formula>
    </cfRule>
  </conditionalFormatting>
  <printOptions horizontalCentered="1"/>
  <pageMargins left="0.39370078740157483" right="0.39370078740157483" top="0.98425196850393704" bottom="0.39370078740157483" header="0.31496062992125984" footer="0.31496062992125984"/>
  <pageSetup paperSize="9" fitToHeight="20" orientation="landscape" r:id="rId1"/>
  <headerFooter alignWithMargins="0">
    <oddHeader>&amp;LГРАНД-Смета 2021</oddHeader>
  </headerFooter>
  <rowBreaks count="1" manualBreakCount="1">
    <brk id="1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autoPageBreaks="0"/>
  </sheetPr>
  <dimension ref="A1:W145"/>
  <sheetViews>
    <sheetView showGridLines="0" tabSelected="1" topLeftCell="A10" zoomScaleNormal="100" zoomScaleSheetLayoutView="85" workbookViewId="0">
      <pane ySplit="13365" topLeftCell="A143"/>
      <selection activeCell="C40" sqref="C40"/>
      <selection pane="bottomLeft" activeCell="F147" sqref="F147"/>
    </sheetView>
  </sheetViews>
  <sheetFormatPr defaultColWidth="9.140625" defaultRowHeight="12.75" x14ac:dyDescent="0.2"/>
  <cols>
    <col min="1" max="1" width="5" style="77" customWidth="1"/>
    <col min="2" max="2" width="22.140625" style="61" customWidth="1"/>
    <col min="3" max="3" width="42.28515625" style="61" customWidth="1"/>
    <col min="4" max="4" width="13.7109375" style="62" customWidth="1"/>
    <col min="5" max="5" width="13" style="62" customWidth="1"/>
    <col min="6" max="6" width="13.42578125" style="62" customWidth="1"/>
    <col min="7" max="7" width="12.5703125" style="62" customWidth="1"/>
    <col min="8" max="8" width="13.85546875" style="62" customWidth="1"/>
    <col min="9" max="9" width="9.140625" style="63"/>
    <col min="10" max="10" width="13.7109375" style="62" customWidth="1"/>
    <col min="11" max="11" width="13" style="62" customWidth="1"/>
    <col min="12" max="12" width="13.42578125" style="62" customWidth="1"/>
    <col min="13" max="13" width="12.5703125" style="62" customWidth="1"/>
    <col min="14" max="14" width="13.85546875" style="62" customWidth="1"/>
    <col min="15" max="15" width="10.28515625" style="63" bestFit="1" customWidth="1"/>
    <col min="16" max="16" width="13.7109375" style="62" customWidth="1"/>
    <col min="17" max="17" width="13" style="62" customWidth="1"/>
    <col min="18" max="18" width="13.42578125" style="62" customWidth="1"/>
    <col min="19" max="19" width="12.5703125" style="62" customWidth="1"/>
    <col min="20" max="20" width="13.85546875" style="62" customWidth="1"/>
    <col min="21" max="21" width="9.140625" style="63"/>
    <col min="22" max="22" width="10.28515625" style="63" bestFit="1" customWidth="1"/>
    <col min="23" max="16384" width="9.140625" style="63"/>
  </cols>
  <sheetData>
    <row r="1" spans="2:20" x14ac:dyDescent="0.2">
      <c r="H1" s="62" t="s">
        <v>103</v>
      </c>
      <c r="J1" s="141"/>
      <c r="K1" s="141"/>
      <c r="L1" s="141"/>
      <c r="M1" s="141"/>
      <c r="N1" s="141"/>
      <c r="O1" s="137"/>
      <c r="P1" s="141"/>
      <c r="Q1" s="141"/>
      <c r="R1" s="141"/>
      <c r="S1" s="141"/>
      <c r="T1" s="141"/>
    </row>
    <row r="2" spans="2:20" x14ac:dyDescent="0.2">
      <c r="H2" s="62" t="s">
        <v>104</v>
      </c>
      <c r="J2" s="141"/>
      <c r="K2" s="141"/>
      <c r="L2" s="141"/>
      <c r="M2" s="141"/>
      <c r="N2" s="141"/>
      <c r="O2" s="137"/>
      <c r="P2" s="141"/>
      <c r="Q2" s="141"/>
      <c r="R2" s="141"/>
      <c r="S2" s="141"/>
      <c r="T2" s="141"/>
    </row>
    <row r="3" spans="2:20" x14ac:dyDescent="0.2">
      <c r="H3" s="62" t="s">
        <v>105</v>
      </c>
      <c r="J3" s="141"/>
      <c r="K3" s="141"/>
      <c r="L3" s="141"/>
      <c r="M3" s="141"/>
      <c r="N3" s="141"/>
      <c r="O3" s="137"/>
      <c r="P3" s="141"/>
      <c r="Q3" s="141"/>
      <c r="R3" s="141"/>
      <c r="S3" s="141"/>
      <c r="T3" s="141"/>
    </row>
    <row r="4" spans="2:20" x14ac:dyDescent="0.2">
      <c r="H4" s="62" t="s">
        <v>106</v>
      </c>
      <c r="J4" s="141"/>
      <c r="K4" s="141"/>
      <c r="L4" s="141"/>
      <c r="M4" s="141"/>
      <c r="N4" s="141"/>
      <c r="O4" s="137"/>
      <c r="P4" s="141"/>
      <c r="Q4" s="141"/>
      <c r="R4" s="141"/>
      <c r="S4" s="141"/>
      <c r="T4" s="141"/>
    </row>
    <row r="5" spans="2:20" x14ac:dyDescent="0.2">
      <c r="H5" s="62" t="s">
        <v>107</v>
      </c>
      <c r="J5" s="141"/>
      <c r="K5" s="141"/>
      <c r="L5" s="141"/>
      <c r="M5" s="141"/>
      <c r="N5" s="141"/>
      <c r="O5" s="137"/>
      <c r="P5" s="141"/>
      <c r="Q5" s="141"/>
      <c r="R5" s="141"/>
      <c r="S5" s="141"/>
      <c r="T5" s="141"/>
    </row>
    <row r="6" spans="2:20" x14ac:dyDescent="0.2">
      <c r="H6" s="62" t="s">
        <v>108</v>
      </c>
      <c r="J6" s="141"/>
      <c r="K6" s="141"/>
      <c r="L6" s="141"/>
      <c r="M6" s="141"/>
      <c r="N6" s="141"/>
      <c r="O6" s="137"/>
      <c r="P6" s="141"/>
      <c r="Q6" s="141"/>
      <c r="R6" s="141"/>
      <c r="S6" s="141"/>
      <c r="T6" s="141"/>
    </row>
    <row r="7" spans="2:20" x14ac:dyDescent="0.2">
      <c r="H7" s="62" t="s">
        <v>109</v>
      </c>
      <c r="J7" s="141"/>
      <c r="K7" s="141"/>
      <c r="L7" s="141"/>
      <c r="M7" s="141"/>
      <c r="N7" s="141"/>
      <c r="O7" s="137"/>
      <c r="P7" s="141"/>
      <c r="Q7" s="141"/>
      <c r="R7" s="141"/>
      <c r="S7" s="141"/>
      <c r="T7" s="141"/>
    </row>
    <row r="8" spans="2:20" x14ac:dyDescent="0.2">
      <c r="H8" s="62" t="s">
        <v>110</v>
      </c>
      <c r="J8" s="141"/>
      <c r="K8" s="141"/>
      <c r="L8" s="141"/>
      <c r="M8" s="141"/>
      <c r="N8" s="141"/>
      <c r="O8" s="137"/>
      <c r="P8" s="141"/>
      <c r="Q8" s="141"/>
      <c r="R8" s="141"/>
      <c r="S8" s="141"/>
      <c r="T8" s="141"/>
    </row>
    <row r="9" spans="2:20" x14ac:dyDescent="0.2">
      <c r="J9" s="141"/>
      <c r="K9" s="141"/>
      <c r="L9" s="141"/>
      <c r="M9" s="141"/>
      <c r="N9" s="141"/>
      <c r="O9" s="137"/>
      <c r="P9" s="141"/>
      <c r="Q9" s="141"/>
      <c r="R9" s="141"/>
      <c r="S9" s="141"/>
      <c r="T9" s="141"/>
    </row>
    <row r="10" spans="2:20" x14ac:dyDescent="0.2">
      <c r="J10" s="141"/>
      <c r="K10" s="141"/>
      <c r="L10" s="141"/>
      <c r="M10" s="141"/>
      <c r="N10" s="141"/>
      <c r="O10" s="137"/>
      <c r="P10" s="141"/>
      <c r="Q10" s="141"/>
      <c r="R10" s="141"/>
      <c r="S10" s="141"/>
      <c r="T10" s="141"/>
    </row>
    <row r="11" spans="2:20" x14ac:dyDescent="0.2">
      <c r="B11" s="61" t="s">
        <v>1</v>
      </c>
      <c r="C11" s="283" t="s">
        <v>111</v>
      </c>
      <c r="D11" s="284"/>
      <c r="E11" s="284"/>
      <c r="F11" s="284"/>
      <c r="G11" s="284"/>
      <c r="H11" s="64"/>
      <c r="J11" s="137"/>
      <c r="K11" s="137"/>
      <c r="L11" s="137"/>
      <c r="M11" s="137"/>
      <c r="N11" s="139"/>
      <c r="O11" s="137"/>
      <c r="P11" s="137"/>
      <c r="Q11" s="137"/>
      <c r="R11" s="137"/>
      <c r="S11" s="137"/>
      <c r="T11" s="139"/>
    </row>
    <row r="12" spans="2:20" x14ac:dyDescent="0.2">
      <c r="C12" s="65"/>
      <c r="D12" s="66" t="s">
        <v>2</v>
      </c>
      <c r="E12" s="67"/>
      <c r="F12" s="68"/>
      <c r="G12" s="68"/>
      <c r="H12" s="64"/>
      <c r="J12" s="140"/>
      <c r="K12" s="141"/>
      <c r="L12" s="139"/>
      <c r="M12" s="139"/>
      <c r="N12" s="139"/>
      <c r="O12" s="137"/>
      <c r="P12" s="140"/>
      <c r="Q12" s="141"/>
      <c r="R12" s="139"/>
      <c r="S12" s="139"/>
      <c r="T12" s="139"/>
    </row>
    <row r="13" spans="2:20" x14ac:dyDescent="0.2">
      <c r="B13" s="61" t="s">
        <v>112</v>
      </c>
      <c r="D13" s="64"/>
      <c r="E13" s="69"/>
      <c r="F13" s="64"/>
      <c r="G13" s="64"/>
      <c r="H13" s="64"/>
      <c r="J13" s="139"/>
      <c r="K13" s="140"/>
      <c r="L13" s="139"/>
      <c r="M13" s="139"/>
      <c r="N13" s="139"/>
      <c r="O13" s="137"/>
      <c r="P13" s="139"/>
      <c r="Q13" s="140"/>
      <c r="R13" s="139"/>
      <c r="S13" s="139"/>
      <c r="T13" s="139"/>
    </row>
    <row r="14" spans="2:20" x14ac:dyDescent="0.2">
      <c r="D14" s="64"/>
      <c r="E14" s="69"/>
      <c r="F14" s="64"/>
      <c r="G14" s="64"/>
      <c r="H14" s="64"/>
      <c r="J14" s="139"/>
      <c r="K14" s="140"/>
      <c r="L14" s="139"/>
      <c r="M14" s="139"/>
      <c r="N14" s="139"/>
      <c r="O14" s="137"/>
      <c r="P14" s="139"/>
      <c r="Q14" s="140"/>
      <c r="R14" s="139"/>
      <c r="S14" s="139"/>
      <c r="T14" s="139"/>
    </row>
    <row r="15" spans="2:20" x14ac:dyDescent="0.2">
      <c r="B15" s="70" t="s">
        <v>113</v>
      </c>
      <c r="D15" s="71">
        <v>622369.12</v>
      </c>
      <c r="E15" s="72"/>
      <c r="F15" s="73"/>
      <c r="G15" s="63" t="s">
        <v>114</v>
      </c>
      <c r="H15" s="64"/>
      <c r="J15" s="157"/>
      <c r="K15" s="137"/>
      <c r="L15" s="158"/>
      <c r="M15" s="137"/>
      <c r="N15" s="139"/>
      <c r="O15" s="137"/>
      <c r="P15" s="157"/>
      <c r="Q15" s="137"/>
      <c r="R15" s="158"/>
      <c r="S15" s="137"/>
      <c r="T15" s="139"/>
    </row>
    <row r="16" spans="2:20" ht="52.9" customHeight="1" x14ac:dyDescent="0.2">
      <c r="B16" s="74" t="s">
        <v>115</v>
      </c>
      <c r="C16" s="73"/>
      <c r="D16" s="75">
        <v>43411.360000000001</v>
      </c>
      <c r="E16" s="72"/>
      <c r="F16" s="73"/>
      <c r="G16" s="76" t="s">
        <v>114</v>
      </c>
      <c r="H16" s="70"/>
      <c r="J16" s="159"/>
      <c r="K16" s="137"/>
      <c r="L16" s="158"/>
      <c r="M16" s="160"/>
      <c r="N16" s="158"/>
      <c r="O16" s="137"/>
      <c r="P16" s="159"/>
      <c r="Q16" s="137"/>
      <c r="R16" s="158"/>
      <c r="S16" s="160"/>
      <c r="T16" s="158"/>
    </row>
    <row r="17" spans="1:20" ht="39.6" customHeight="1" x14ac:dyDescent="0.2">
      <c r="B17" s="74" t="s">
        <v>116</v>
      </c>
      <c r="C17" s="78"/>
      <c r="D17" s="75">
        <v>578957.76</v>
      </c>
      <c r="E17" s="72"/>
      <c r="F17" s="73"/>
      <c r="G17" s="76" t="s">
        <v>114</v>
      </c>
      <c r="H17" s="70"/>
      <c r="J17" s="159"/>
      <c r="K17" s="137"/>
      <c r="L17" s="158"/>
      <c r="M17" s="160"/>
      <c r="N17" s="158"/>
      <c r="O17" s="137"/>
      <c r="P17" s="159"/>
      <c r="Q17" s="137"/>
      <c r="R17" s="158"/>
      <c r="S17" s="160"/>
      <c r="T17" s="158"/>
    </row>
    <row r="18" spans="1:20" x14ac:dyDescent="0.2">
      <c r="D18" s="64"/>
      <c r="E18" s="64"/>
      <c r="F18" s="64"/>
      <c r="G18" s="64"/>
      <c r="H18" s="64"/>
      <c r="J18" s="139"/>
      <c r="K18" s="139"/>
      <c r="L18" s="139"/>
      <c r="M18" s="139"/>
      <c r="N18" s="139"/>
      <c r="O18" s="137"/>
      <c r="P18" s="139"/>
      <c r="Q18" s="139"/>
      <c r="R18" s="139"/>
      <c r="S18" s="139"/>
      <c r="T18" s="139"/>
    </row>
    <row r="19" spans="1:20" x14ac:dyDescent="0.2">
      <c r="B19" s="79"/>
      <c r="C19" s="80"/>
      <c r="D19" s="81"/>
      <c r="E19" s="81"/>
      <c r="F19" s="81"/>
      <c r="G19" s="81"/>
      <c r="H19" s="64"/>
      <c r="J19" s="138"/>
      <c r="K19" s="138"/>
      <c r="L19" s="138"/>
      <c r="M19" s="138"/>
      <c r="N19" s="139"/>
      <c r="O19" s="137"/>
      <c r="P19" s="138"/>
      <c r="Q19" s="138"/>
      <c r="R19" s="138"/>
      <c r="S19" s="138"/>
      <c r="T19" s="139"/>
    </row>
    <row r="20" spans="1:20" x14ac:dyDescent="0.2">
      <c r="D20" s="69" t="s">
        <v>4</v>
      </c>
      <c r="F20" s="64"/>
      <c r="G20" s="64"/>
      <c r="H20" s="64"/>
      <c r="J20" s="140"/>
      <c r="K20" s="141"/>
      <c r="L20" s="139"/>
      <c r="M20" s="139"/>
      <c r="N20" s="139"/>
      <c r="O20" s="137"/>
      <c r="P20" s="140"/>
      <c r="Q20" s="141"/>
      <c r="R20" s="139"/>
      <c r="S20" s="139"/>
      <c r="T20" s="139"/>
    </row>
    <row r="21" spans="1:20" x14ac:dyDescent="0.2">
      <c r="D21" s="64"/>
      <c r="E21" s="69"/>
      <c r="F21" s="64"/>
      <c r="G21" s="64"/>
      <c r="H21" s="64"/>
      <c r="J21" s="139"/>
      <c r="K21" s="140"/>
      <c r="L21" s="139"/>
      <c r="M21" s="139"/>
      <c r="N21" s="139"/>
      <c r="O21" s="137"/>
      <c r="P21" s="139"/>
      <c r="Q21" s="140"/>
      <c r="R21" s="139"/>
      <c r="S21" s="139"/>
      <c r="T21" s="139"/>
    </row>
    <row r="22" spans="1:20" x14ac:dyDescent="0.2">
      <c r="H22" s="64"/>
      <c r="J22" s="141"/>
      <c r="K22" s="141"/>
      <c r="L22" s="141"/>
      <c r="M22" s="141"/>
      <c r="N22" s="139"/>
      <c r="O22" s="137"/>
      <c r="P22" s="141"/>
      <c r="Q22" s="141"/>
      <c r="R22" s="141"/>
      <c r="S22" s="141"/>
      <c r="T22" s="139"/>
    </row>
    <row r="23" spans="1:20" x14ac:dyDescent="0.2">
      <c r="G23" s="64"/>
      <c r="H23" s="64"/>
      <c r="J23" s="141"/>
      <c r="K23" s="141"/>
      <c r="L23" s="141"/>
      <c r="M23" s="139"/>
      <c r="N23" s="139"/>
      <c r="O23" s="137"/>
      <c r="P23" s="141"/>
      <c r="Q23" s="141"/>
      <c r="R23" s="141"/>
      <c r="S23" s="139"/>
      <c r="T23" s="139"/>
    </row>
    <row r="24" spans="1:20" x14ac:dyDescent="0.2">
      <c r="D24" s="82" t="s">
        <v>117</v>
      </c>
      <c r="F24" s="64"/>
      <c r="G24" s="64"/>
      <c r="H24" s="64"/>
      <c r="J24" s="142"/>
      <c r="K24" s="141"/>
      <c r="L24" s="139"/>
      <c r="M24" s="139"/>
      <c r="N24" s="139"/>
      <c r="O24" s="137"/>
      <c r="P24" s="142"/>
      <c r="Q24" s="141"/>
      <c r="R24" s="139"/>
      <c r="S24" s="139"/>
      <c r="T24" s="139"/>
    </row>
    <row r="25" spans="1:20" x14ac:dyDescent="0.2">
      <c r="D25" s="82"/>
      <c r="F25" s="64"/>
      <c r="G25" s="64"/>
      <c r="H25" s="64"/>
      <c r="J25" s="142"/>
      <c r="K25" s="141"/>
      <c r="L25" s="139"/>
      <c r="M25" s="139"/>
      <c r="N25" s="139"/>
      <c r="O25" s="137"/>
      <c r="P25" s="142"/>
      <c r="Q25" s="141"/>
      <c r="R25" s="139"/>
      <c r="S25" s="139"/>
      <c r="T25" s="139"/>
    </row>
    <row r="26" spans="1:20" x14ac:dyDescent="0.2">
      <c r="A26" s="285" t="s">
        <v>118</v>
      </c>
      <c r="B26" s="285"/>
      <c r="C26" s="285"/>
      <c r="D26" s="285"/>
      <c r="E26" s="285"/>
      <c r="F26" s="285"/>
      <c r="G26" s="285"/>
      <c r="H26" s="285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</row>
    <row r="27" spans="1:20" x14ac:dyDescent="0.2">
      <c r="D27" s="83"/>
      <c r="F27" s="64"/>
      <c r="G27" s="64"/>
      <c r="H27" s="64"/>
      <c r="J27" s="143"/>
      <c r="K27" s="141"/>
      <c r="L27" s="139"/>
      <c r="M27" s="139"/>
      <c r="N27" s="139"/>
      <c r="O27" s="137"/>
      <c r="P27" s="143"/>
      <c r="Q27" s="141"/>
      <c r="R27" s="139"/>
      <c r="S27" s="139"/>
      <c r="T27" s="139"/>
    </row>
    <row r="28" spans="1:20" ht="12.75" customHeight="1" x14ac:dyDescent="0.2">
      <c r="B28" s="286" t="s">
        <v>119</v>
      </c>
      <c r="C28" s="286"/>
      <c r="D28" s="286"/>
      <c r="E28" s="286"/>
      <c r="F28" s="286"/>
      <c r="G28" s="286"/>
      <c r="H28" s="286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</row>
    <row r="29" spans="1:20" x14ac:dyDescent="0.2">
      <c r="D29" s="84" t="s">
        <v>7</v>
      </c>
      <c r="F29" s="64"/>
      <c r="G29" s="64"/>
      <c r="H29" s="64"/>
      <c r="J29" s="144"/>
      <c r="K29" s="141"/>
      <c r="L29" s="139"/>
      <c r="M29" s="139"/>
      <c r="N29" s="139"/>
      <c r="O29" s="137"/>
      <c r="P29" s="144"/>
      <c r="Q29" s="141"/>
      <c r="R29" s="139"/>
      <c r="S29" s="139"/>
      <c r="T29" s="139"/>
    </row>
    <row r="30" spans="1:20" x14ac:dyDescent="0.2">
      <c r="H30" s="64"/>
      <c r="J30" s="141"/>
      <c r="K30" s="141"/>
      <c r="L30" s="141"/>
      <c r="M30" s="141"/>
      <c r="N30" s="139"/>
      <c r="O30" s="137"/>
      <c r="P30" s="141"/>
      <c r="Q30" s="141"/>
      <c r="R30" s="141"/>
      <c r="S30" s="141"/>
      <c r="T30" s="139"/>
    </row>
    <row r="31" spans="1:20" x14ac:dyDescent="0.2">
      <c r="B31" s="61" t="s">
        <v>120</v>
      </c>
      <c r="D31" s="85" t="s">
        <v>121</v>
      </c>
      <c r="E31" s="86"/>
      <c r="F31" s="64"/>
      <c r="G31" s="64"/>
      <c r="H31" s="64"/>
      <c r="J31" s="145"/>
      <c r="K31" s="139"/>
      <c r="L31" s="139"/>
      <c r="M31" s="139"/>
      <c r="N31" s="139"/>
      <c r="O31" s="137"/>
      <c r="P31" s="145"/>
      <c r="Q31" s="139"/>
      <c r="R31" s="139"/>
      <c r="S31" s="139"/>
      <c r="T31" s="139"/>
    </row>
    <row r="32" spans="1:20" x14ac:dyDescent="0.2">
      <c r="D32" s="87"/>
      <c r="E32" s="64"/>
      <c r="F32" s="64"/>
      <c r="G32" s="64"/>
      <c r="H32" s="64"/>
      <c r="J32" s="87"/>
      <c r="K32" s="64"/>
      <c r="L32" s="64"/>
      <c r="M32" s="64"/>
      <c r="N32" s="64"/>
      <c r="P32" s="87"/>
      <c r="Q32" s="64"/>
      <c r="R32" s="64"/>
      <c r="S32" s="64"/>
      <c r="T32" s="64"/>
    </row>
    <row r="33" spans="1:23" x14ac:dyDescent="0.2">
      <c r="D33" s="64"/>
      <c r="E33" s="64"/>
      <c r="F33" s="64"/>
      <c r="G33" s="64"/>
      <c r="H33" s="64"/>
      <c r="J33" s="315" t="s">
        <v>234</v>
      </c>
      <c r="K33" s="315"/>
      <c r="L33" s="315"/>
      <c r="M33" s="315"/>
      <c r="N33" s="315"/>
      <c r="P33" s="316" t="s">
        <v>235</v>
      </c>
      <c r="Q33" s="316"/>
      <c r="R33" s="316"/>
      <c r="S33" s="316"/>
      <c r="T33" s="316"/>
    </row>
    <row r="34" spans="1:23" ht="12.75" customHeight="1" x14ac:dyDescent="0.2">
      <c r="A34" s="287" t="s">
        <v>8</v>
      </c>
      <c r="B34" s="288" t="s">
        <v>122</v>
      </c>
      <c r="C34" s="288" t="s">
        <v>123</v>
      </c>
      <c r="D34" s="289" t="s">
        <v>27</v>
      </c>
      <c r="E34" s="289"/>
      <c r="F34" s="289"/>
      <c r="G34" s="289"/>
      <c r="H34" s="287" t="s">
        <v>124</v>
      </c>
      <c r="J34" s="289" t="s">
        <v>27</v>
      </c>
      <c r="K34" s="289"/>
      <c r="L34" s="289"/>
      <c r="M34" s="289"/>
      <c r="N34" s="287" t="s">
        <v>124</v>
      </c>
      <c r="P34" s="289" t="s">
        <v>27</v>
      </c>
      <c r="Q34" s="289"/>
      <c r="R34" s="289"/>
      <c r="S34" s="289"/>
      <c r="T34" s="287" t="s">
        <v>124</v>
      </c>
    </row>
    <row r="35" spans="1:23" ht="12.75" customHeight="1" x14ac:dyDescent="0.2">
      <c r="A35" s="287"/>
      <c r="B35" s="288"/>
      <c r="C35" s="288"/>
      <c r="D35" s="287" t="s">
        <v>125</v>
      </c>
      <c r="E35" s="287" t="s">
        <v>12</v>
      </c>
      <c r="F35" s="287" t="s">
        <v>13</v>
      </c>
      <c r="G35" s="287" t="s">
        <v>14</v>
      </c>
      <c r="H35" s="287"/>
      <c r="J35" s="287" t="s">
        <v>125</v>
      </c>
      <c r="K35" s="287" t="s">
        <v>12</v>
      </c>
      <c r="L35" s="287" t="s">
        <v>13</v>
      </c>
      <c r="M35" s="287" t="s">
        <v>14</v>
      </c>
      <c r="N35" s="287"/>
      <c r="P35" s="287" t="s">
        <v>125</v>
      </c>
      <c r="Q35" s="287" t="s">
        <v>12</v>
      </c>
      <c r="R35" s="287" t="s">
        <v>13</v>
      </c>
      <c r="S35" s="287" t="s">
        <v>14</v>
      </c>
      <c r="T35" s="287"/>
    </row>
    <row r="36" spans="1:23" x14ac:dyDescent="0.2">
      <c r="A36" s="287"/>
      <c r="B36" s="288"/>
      <c r="C36" s="288"/>
      <c r="D36" s="287"/>
      <c r="E36" s="287"/>
      <c r="F36" s="287"/>
      <c r="G36" s="287"/>
      <c r="H36" s="287"/>
      <c r="J36" s="287"/>
      <c r="K36" s="287"/>
      <c r="L36" s="287"/>
      <c r="M36" s="287"/>
      <c r="N36" s="287"/>
      <c r="P36" s="287"/>
      <c r="Q36" s="287"/>
      <c r="R36" s="287"/>
      <c r="S36" s="287"/>
      <c r="T36" s="287"/>
    </row>
    <row r="37" spans="1:23" x14ac:dyDescent="0.2">
      <c r="A37" s="287"/>
      <c r="B37" s="288"/>
      <c r="C37" s="288"/>
      <c r="D37" s="287"/>
      <c r="E37" s="287"/>
      <c r="F37" s="287"/>
      <c r="G37" s="287"/>
      <c r="H37" s="287"/>
      <c r="J37" s="287"/>
      <c r="K37" s="287"/>
      <c r="L37" s="287"/>
      <c r="M37" s="287"/>
      <c r="N37" s="287"/>
      <c r="P37" s="287"/>
      <c r="Q37" s="287"/>
      <c r="R37" s="287"/>
      <c r="S37" s="287"/>
      <c r="T37" s="287"/>
    </row>
    <row r="38" spans="1:23" x14ac:dyDescent="0.2">
      <c r="A38" s="88">
        <v>1</v>
      </c>
      <c r="B38" s="89">
        <v>2</v>
      </c>
      <c r="C38" s="89">
        <v>3</v>
      </c>
      <c r="D38" s="88">
        <v>4</v>
      </c>
      <c r="E38" s="88">
        <v>5</v>
      </c>
      <c r="F38" s="88">
        <v>6</v>
      </c>
      <c r="G38" s="88">
        <v>7</v>
      </c>
      <c r="H38" s="88">
        <v>8</v>
      </c>
      <c r="J38" s="88">
        <v>4</v>
      </c>
      <c r="K38" s="88">
        <v>5</v>
      </c>
      <c r="L38" s="88">
        <v>6</v>
      </c>
      <c r="M38" s="88">
        <v>7</v>
      </c>
      <c r="N38" s="88">
        <v>8</v>
      </c>
      <c r="P38" s="88">
        <v>4</v>
      </c>
      <c r="Q38" s="88">
        <v>5</v>
      </c>
      <c r="R38" s="88">
        <v>6</v>
      </c>
      <c r="S38" s="88">
        <v>7</v>
      </c>
      <c r="T38" s="88">
        <v>8</v>
      </c>
    </row>
    <row r="39" spans="1:23" ht="12.75" customHeight="1" x14ac:dyDescent="0.2">
      <c r="A39" s="292" t="s">
        <v>29</v>
      </c>
      <c r="B39" s="293"/>
      <c r="C39" s="293"/>
      <c r="D39" s="293"/>
      <c r="E39" s="293"/>
      <c r="F39" s="293"/>
      <c r="G39" s="293"/>
      <c r="H39" s="294"/>
      <c r="J39" s="63"/>
      <c r="K39" s="63"/>
      <c r="L39" s="63"/>
      <c r="M39" s="63"/>
      <c r="N39" s="63"/>
      <c r="P39" s="63"/>
      <c r="Q39" s="63"/>
      <c r="R39" s="63"/>
      <c r="S39" s="63"/>
      <c r="T39" s="63"/>
    </row>
    <row r="40" spans="1:23" ht="27" customHeight="1" x14ac:dyDescent="0.2">
      <c r="A40" s="90">
        <v>1</v>
      </c>
      <c r="B40" s="91" t="s">
        <v>126</v>
      </c>
      <c r="C40" s="91" t="s">
        <v>127</v>
      </c>
      <c r="D40" s="92"/>
      <c r="E40" s="92"/>
      <c r="F40" s="92"/>
      <c r="G40" s="93">
        <f>18286.59/1000</f>
        <v>18.29</v>
      </c>
      <c r="H40" s="92">
        <f t="shared" ref="H40:H45" si="0">SUM(D40:G40)</f>
        <v>18.29</v>
      </c>
      <c r="J40" s="92"/>
      <c r="K40" s="92"/>
      <c r="L40" s="92"/>
      <c r="M40" s="93">
        <f>18286.59/1000</f>
        <v>18.29</v>
      </c>
      <c r="N40" s="92">
        <f t="shared" ref="N40:N45" si="1">SUM(J40:M40)</f>
        <v>18.29</v>
      </c>
      <c r="O40" s="63">
        <f>N40*1000</f>
        <v>18290</v>
      </c>
      <c r="P40" s="92"/>
      <c r="Q40" s="92"/>
      <c r="R40" s="92"/>
      <c r="S40" s="93"/>
      <c r="T40" s="92">
        <f t="shared" ref="T40:T45" si="2">SUM(P40:S40)</f>
        <v>0</v>
      </c>
      <c r="V40" s="152">
        <f>N40+T40-H40</f>
        <v>0</v>
      </c>
    </row>
    <row r="41" spans="1:23" ht="27" customHeight="1" x14ac:dyDescent="0.2">
      <c r="A41" s="90">
        <v>2</v>
      </c>
      <c r="B41" s="91" t="s">
        <v>126</v>
      </c>
      <c r="C41" s="91" t="s">
        <v>128</v>
      </c>
      <c r="D41" s="92"/>
      <c r="E41" s="92"/>
      <c r="F41" s="92"/>
      <c r="G41" s="93">
        <f>32963.16/1000</f>
        <v>32.96</v>
      </c>
      <c r="H41" s="92">
        <f t="shared" si="0"/>
        <v>32.96</v>
      </c>
      <c r="J41" s="92"/>
      <c r="K41" s="92"/>
      <c r="L41" s="92"/>
      <c r="M41" s="93">
        <f>32963.16/1000</f>
        <v>32.96</v>
      </c>
      <c r="N41" s="92">
        <f t="shared" si="1"/>
        <v>32.96</v>
      </c>
      <c r="O41" s="63">
        <f t="shared" ref="O41:O104" si="3">N41*1000</f>
        <v>32960</v>
      </c>
      <c r="P41" s="92"/>
      <c r="Q41" s="92"/>
      <c r="R41" s="92"/>
      <c r="S41" s="93"/>
      <c r="T41" s="92">
        <f t="shared" si="2"/>
        <v>0</v>
      </c>
      <c r="V41" s="152">
        <f t="shared" ref="V41:V104" si="4">N41+T41-H41</f>
        <v>0</v>
      </c>
    </row>
    <row r="42" spans="1:23" x14ac:dyDescent="0.2">
      <c r="A42" s="90"/>
      <c r="B42" s="295" t="s">
        <v>30</v>
      </c>
      <c r="C42" s="296"/>
      <c r="D42" s="92"/>
      <c r="E42" s="92"/>
      <c r="F42" s="92"/>
      <c r="G42" s="93">
        <f>G40+G41</f>
        <v>51.25</v>
      </c>
      <c r="H42" s="94">
        <f t="shared" si="0"/>
        <v>51.25</v>
      </c>
      <c r="J42" s="92"/>
      <c r="K42" s="92"/>
      <c r="L42" s="92"/>
      <c r="M42" s="93">
        <f>M40+M41</f>
        <v>51.25</v>
      </c>
      <c r="N42" s="94">
        <f t="shared" si="1"/>
        <v>51.25</v>
      </c>
      <c r="O42" s="63">
        <f t="shared" si="3"/>
        <v>51250</v>
      </c>
      <c r="P42" s="92"/>
      <c r="Q42" s="92"/>
      <c r="R42" s="92"/>
      <c r="S42" s="93">
        <f>S40+S41</f>
        <v>0</v>
      </c>
      <c r="T42" s="94">
        <f t="shared" si="2"/>
        <v>0</v>
      </c>
      <c r="V42" s="152">
        <f t="shared" si="4"/>
        <v>0</v>
      </c>
    </row>
    <row r="43" spans="1:23" ht="27.95" customHeight="1" x14ac:dyDescent="0.2">
      <c r="A43" s="95"/>
      <c r="B43" s="290" t="s">
        <v>129</v>
      </c>
      <c r="C43" s="291"/>
      <c r="D43" s="92"/>
      <c r="E43" s="92"/>
      <c r="F43" s="92"/>
      <c r="G43" s="96">
        <f>G40</f>
        <v>18.29</v>
      </c>
      <c r="H43" s="94">
        <f t="shared" si="0"/>
        <v>18.29</v>
      </c>
      <c r="J43" s="92"/>
      <c r="K43" s="92"/>
      <c r="L43" s="92"/>
      <c r="M43" s="96">
        <f>M40</f>
        <v>18.29</v>
      </c>
      <c r="N43" s="94">
        <f t="shared" si="1"/>
        <v>18.29</v>
      </c>
      <c r="O43" s="63">
        <f t="shared" si="3"/>
        <v>18290</v>
      </c>
      <c r="P43" s="92"/>
      <c r="Q43" s="92"/>
      <c r="R43" s="92"/>
      <c r="S43" s="96">
        <f>S40</f>
        <v>0</v>
      </c>
      <c r="T43" s="94">
        <f t="shared" si="2"/>
        <v>0</v>
      </c>
      <c r="V43" s="152">
        <f t="shared" si="4"/>
        <v>0</v>
      </c>
    </row>
    <row r="44" spans="1:23" ht="27.95" customHeight="1" x14ac:dyDescent="0.2">
      <c r="A44" s="95"/>
      <c r="B44" s="290" t="s">
        <v>130</v>
      </c>
      <c r="C44" s="291"/>
      <c r="D44" s="92"/>
      <c r="E44" s="92"/>
      <c r="F44" s="92"/>
      <c r="G44" s="96">
        <f>G41</f>
        <v>32.96</v>
      </c>
      <c r="H44" s="94">
        <f t="shared" si="0"/>
        <v>32.96</v>
      </c>
      <c r="J44" s="92"/>
      <c r="K44" s="92"/>
      <c r="L44" s="92"/>
      <c r="M44" s="96">
        <f>M41</f>
        <v>32.96</v>
      </c>
      <c r="N44" s="94">
        <f t="shared" si="1"/>
        <v>32.96</v>
      </c>
      <c r="O44" s="63">
        <f t="shared" si="3"/>
        <v>32960</v>
      </c>
      <c r="P44" s="92"/>
      <c r="Q44" s="92"/>
      <c r="R44" s="92"/>
      <c r="S44" s="96">
        <f>S41</f>
        <v>0</v>
      </c>
      <c r="T44" s="94">
        <f t="shared" si="2"/>
        <v>0</v>
      </c>
      <c r="V44" s="152">
        <f t="shared" si="4"/>
        <v>0</v>
      </c>
    </row>
    <row r="45" spans="1:23" x14ac:dyDescent="0.2">
      <c r="A45" s="90">
        <v>3</v>
      </c>
      <c r="B45" s="91" t="s">
        <v>131</v>
      </c>
      <c r="C45" s="91" t="s">
        <v>132</v>
      </c>
      <c r="D45" s="92">
        <f>D46+D47+D48</f>
        <v>6089.56</v>
      </c>
      <c r="E45" s="92"/>
      <c r="F45" s="92">
        <f>F46+F47+F48</f>
        <v>262.22000000000003</v>
      </c>
      <c r="G45" s="93"/>
      <c r="H45" s="92">
        <f t="shared" si="0"/>
        <v>6351.78</v>
      </c>
      <c r="J45" s="92">
        <f>J46+J47+J48</f>
        <v>6089.56</v>
      </c>
      <c r="K45" s="92"/>
      <c r="L45" s="92">
        <f>L46+L47+L48</f>
        <v>262.22000000000003</v>
      </c>
      <c r="M45" s="93"/>
      <c r="N45" s="92">
        <f t="shared" si="1"/>
        <v>6351.78</v>
      </c>
      <c r="O45" s="63">
        <f t="shared" si="3"/>
        <v>6351780</v>
      </c>
      <c r="P45" s="92">
        <f>P46+P47+P48</f>
        <v>0</v>
      </c>
      <c r="Q45" s="92"/>
      <c r="R45" s="92">
        <f>R46+R47+R48</f>
        <v>0</v>
      </c>
      <c r="S45" s="93"/>
      <c r="T45" s="92">
        <f t="shared" si="2"/>
        <v>0</v>
      </c>
      <c r="V45" s="152">
        <f t="shared" si="4"/>
        <v>0</v>
      </c>
    </row>
    <row r="46" spans="1:23" s="135" customFormat="1" ht="15" x14ac:dyDescent="0.25">
      <c r="A46" s="136" t="s">
        <v>225</v>
      </c>
      <c r="B46" s="131" t="s">
        <v>39</v>
      </c>
      <c r="C46" s="132" t="s">
        <v>221</v>
      </c>
      <c r="D46" s="133">
        <v>5641.02</v>
      </c>
      <c r="E46" s="133"/>
      <c r="F46" s="133"/>
      <c r="G46" s="133"/>
      <c r="H46" s="133">
        <f t="shared" ref="H46:H105" si="5">SUM(D46:G46)</f>
        <v>5641.02</v>
      </c>
      <c r="J46" s="133">
        <v>5641.02</v>
      </c>
      <c r="K46" s="133"/>
      <c r="L46" s="133"/>
      <c r="M46" s="133"/>
      <c r="N46" s="133">
        <f t="shared" ref="N46:N62" si="6">SUM(J46:M46)</f>
        <v>5641.02</v>
      </c>
      <c r="O46" s="63">
        <f t="shared" si="3"/>
        <v>5641020</v>
      </c>
      <c r="P46" s="133"/>
      <c r="Q46" s="133"/>
      <c r="R46" s="133"/>
      <c r="S46" s="133"/>
      <c r="T46" s="133">
        <f t="shared" ref="T46:T62" si="7">SUM(P46:S46)</f>
        <v>0</v>
      </c>
      <c r="V46" s="152">
        <f t="shared" si="4"/>
        <v>0</v>
      </c>
      <c r="W46" s="63"/>
    </row>
    <row r="47" spans="1:23" s="135" customFormat="1" ht="25.5" x14ac:dyDescent="0.25">
      <c r="A47" s="136" t="s">
        <v>226</v>
      </c>
      <c r="B47" s="131" t="s">
        <v>40</v>
      </c>
      <c r="C47" s="132" t="s">
        <v>222</v>
      </c>
      <c r="D47" s="133">
        <v>448.54</v>
      </c>
      <c r="E47" s="133"/>
      <c r="F47" s="133"/>
      <c r="G47" s="133"/>
      <c r="H47" s="133">
        <f t="shared" si="5"/>
        <v>448.54</v>
      </c>
      <c r="J47" s="133">
        <v>448.54</v>
      </c>
      <c r="K47" s="133"/>
      <c r="L47" s="133"/>
      <c r="M47" s="133"/>
      <c r="N47" s="133">
        <f t="shared" si="6"/>
        <v>448.54</v>
      </c>
      <c r="O47" s="63">
        <f t="shared" si="3"/>
        <v>448540</v>
      </c>
      <c r="P47" s="133"/>
      <c r="Q47" s="133"/>
      <c r="R47" s="133"/>
      <c r="S47" s="133"/>
      <c r="T47" s="133">
        <f t="shared" si="7"/>
        <v>0</v>
      </c>
      <c r="V47" s="152">
        <f t="shared" si="4"/>
        <v>0</v>
      </c>
      <c r="W47" s="63"/>
    </row>
    <row r="48" spans="1:23" s="135" customFormat="1" ht="15" x14ac:dyDescent="0.25">
      <c r="A48" s="136" t="s">
        <v>227</v>
      </c>
      <c r="B48" s="131" t="s">
        <v>223</v>
      </c>
      <c r="C48" s="132" t="s">
        <v>224</v>
      </c>
      <c r="D48" s="133"/>
      <c r="E48" s="133"/>
      <c r="F48" s="133">
        <v>262.22000000000003</v>
      </c>
      <c r="G48" s="133"/>
      <c r="H48" s="133">
        <f t="shared" si="5"/>
        <v>262.22000000000003</v>
      </c>
      <c r="J48" s="133"/>
      <c r="K48" s="133"/>
      <c r="L48" s="133">
        <v>262.22000000000003</v>
      </c>
      <c r="M48" s="133"/>
      <c r="N48" s="133">
        <f t="shared" si="6"/>
        <v>262.22000000000003</v>
      </c>
      <c r="O48" s="63">
        <f t="shared" si="3"/>
        <v>262220</v>
      </c>
      <c r="P48" s="133"/>
      <c r="Q48" s="133"/>
      <c r="R48" s="133"/>
      <c r="S48" s="133"/>
      <c r="T48" s="133">
        <f t="shared" si="7"/>
        <v>0</v>
      </c>
      <c r="V48" s="152">
        <f t="shared" si="4"/>
        <v>0</v>
      </c>
      <c r="W48" s="63"/>
    </row>
    <row r="49" spans="1:23" x14ac:dyDescent="0.2">
      <c r="A49" s="90">
        <v>4</v>
      </c>
      <c r="B49" s="91" t="s">
        <v>131</v>
      </c>
      <c r="C49" s="91" t="s">
        <v>133</v>
      </c>
      <c r="D49" s="92">
        <f>D50+D51+D52</f>
        <v>28588.47</v>
      </c>
      <c r="E49" s="92"/>
      <c r="F49" s="92">
        <f>F50+F51+F52</f>
        <v>93.54</v>
      </c>
      <c r="G49" s="93"/>
      <c r="H49" s="92">
        <f t="shared" si="5"/>
        <v>28682.01</v>
      </c>
      <c r="J49" s="92">
        <f>J50+J51+J52</f>
        <v>28588.47</v>
      </c>
      <c r="K49" s="92"/>
      <c r="L49" s="92">
        <f>L50+L51+L52</f>
        <v>93.54</v>
      </c>
      <c r="M49" s="93"/>
      <c r="N49" s="92">
        <f t="shared" si="6"/>
        <v>28682.01</v>
      </c>
      <c r="O49" s="63">
        <f t="shared" si="3"/>
        <v>28682010</v>
      </c>
      <c r="P49" s="92">
        <f>P50+P51+P52</f>
        <v>0</v>
      </c>
      <c r="Q49" s="92"/>
      <c r="R49" s="92">
        <f>R50+R51+R52</f>
        <v>0</v>
      </c>
      <c r="S49" s="93"/>
      <c r="T49" s="92">
        <f t="shared" si="7"/>
        <v>0</v>
      </c>
      <c r="V49" s="152">
        <f t="shared" si="4"/>
        <v>0</v>
      </c>
    </row>
    <row r="50" spans="1:23" s="135" customFormat="1" ht="15" x14ac:dyDescent="0.25">
      <c r="A50" s="136" t="s">
        <v>231</v>
      </c>
      <c r="B50" s="131" t="s">
        <v>39</v>
      </c>
      <c r="C50" s="132" t="s">
        <v>228</v>
      </c>
      <c r="D50" s="133">
        <v>25072.18</v>
      </c>
      <c r="E50" s="133"/>
      <c r="F50" s="133"/>
      <c r="G50" s="133"/>
      <c r="H50" s="133">
        <f t="shared" si="5"/>
        <v>25072.18</v>
      </c>
      <c r="J50" s="133">
        <v>25072.18</v>
      </c>
      <c r="K50" s="133"/>
      <c r="L50" s="133"/>
      <c r="M50" s="133"/>
      <c r="N50" s="133">
        <f t="shared" si="6"/>
        <v>25072.18</v>
      </c>
      <c r="O50" s="63">
        <f t="shared" si="3"/>
        <v>25072180</v>
      </c>
      <c r="P50" s="133"/>
      <c r="Q50" s="133"/>
      <c r="R50" s="133"/>
      <c r="S50" s="133"/>
      <c r="T50" s="133">
        <f t="shared" si="7"/>
        <v>0</v>
      </c>
      <c r="V50" s="152">
        <f t="shared" si="4"/>
        <v>0</v>
      </c>
      <c r="W50" s="63"/>
    </row>
    <row r="51" spans="1:23" s="135" customFormat="1" ht="25.5" x14ac:dyDescent="0.25">
      <c r="A51" s="136" t="s">
        <v>232</v>
      </c>
      <c r="B51" s="131" t="s">
        <v>40</v>
      </c>
      <c r="C51" s="132" t="s">
        <v>229</v>
      </c>
      <c r="D51" s="133">
        <v>3516.29</v>
      </c>
      <c r="E51" s="133"/>
      <c r="F51" s="133"/>
      <c r="G51" s="133"/>
      <c r="H51" s="133">
        <f t="shared" si="5"/>
        <v>3516.29</v>
      </c>
      <c r="J51" s="133">
        <v>3516.29</v>
      </c>
      <c r="K51" s="133"/>
      <c r="L51" s="133"/>
      <c r="M51" s="133"/>
      <c r="N51" s="133">
        <f t="shared" si="6"/>
        <v>3516.29</v>
      </c>
      <c r="O51" s="63">
        <f t="shared" si="3"/>
        <v>3516290</v>
      </c>
      <c r="P51" s="133"/>
      <c r="Q51" s="133"/>
      <c r="R51" s="133"/>
      <c r="S51" s="133"/>
      <c r="T51" s="133">
        <f t="shared" si="7"/>
        <v>0</v>
      </c>
      <c r="V51" s="152">
        <f t="shared" si="4"/>
        <v>0</v>
      </c>
      <c r="W51" s="63"/>
    </row>
    <row r="52" spans="1:23" s="135" customFormat="1" ht="15" x14ac:dyDescent="0.25">
      <c r="A52" s="136" t="s">
        <v>233</v>
      </c>
      <c r="B52" s="131" t="s">
        <v>223</v>
      </c>
      <c r="C52" s="132" t="s">
        <v>230</v>
      </c>
      <c r="D52" s="133"/>
      <c r="E52" s="133"/>
      <c r="F52" s="133">
        <v>93.54</v>
      </c>
      <c r="G52" s="133"/>
      <c r="H52" s="133">
        <f t="shared" si="5"/>
        <v>93.54</v>
      </c>
      <c r="J52" s="133"/>
      <c r="K52" s="133"/>
      <c r="L52" s="133">
        <v>93.54</v>
      </c>
      <c r="M52" s="133"/>
      <c r="N52" s="133">
        <f t="shared" si="6"/>
        <v>93.54</v>
      </c>
      <c r="O52" s="63">
        <f t="shared" si="3"/>
        <v>93540</v>
      </c>
      <c r="P52" s="133"/>
      <c r="Q52" s="133"/>
      <c r="R52" s="133"/>
      <c r="S52" s="133"/>
      <c r="T52" s="133">
        <f t="shared" si="7"/>
        <v>0</v>
      </c>
      <c r="V52" s="152">
        <f t="shared" si="4"/>
        <v>0</v>
      </c>
      <c r="W52" s="63"/>
    </row>
    <row r="53" spans="1:23" x14ac:dyDescent="0.2">
      <c r="A53" s="90">
        <v>5</v>
      </c>
      <c r="B53" s="91" t="s">
        <v>134</v>
      </c>
      <c r="C53" s="91" t="s">
        <v>135</v>
      </c>
      <c r="D53" s="92">
        <f>16999111/1000</f>
        <v>16999.11</v>
      </c>
      <c r="E53" s="92"/>
      <c r="F53" s="92"/>
      <c r="G53" s="93"/>
      <c r="H53" s="92">
        <f t="shared" si="5"/>
        <v>16999.11</v>
      </c>
      <c r="J53" s="92">
        <f>16999111/1000</f>
        <v>16999.11</v>
      </c>
      <c r="K53" s="92"/>
      <c r="L53" s="92"/>
      <c r="M53" s="93"/>
      <c r="N53" s="92">
        <f t="shared" si="6"/>
        <v>16999.11</v>
      </c>
      <c r="O53" s="63">
        <f t="shared" si="3"/>
        <v>16999110</v>
      </c>
      <c r="P53" s="92"/>
      <c r="Q53" s="92"/>
      <c r="R53" s="92"/>
      <c r="S53" s="93"/>
      <c r="T53" s="92">
        <f t="shared" si="7"/>
        <v>0</v>
      </c>
      <c r="V53" s="152">
        <f t="shared" si="4"/>
        <v>0</v>
      </c>
    </row>
    <row r="54" spans="1:23" x14ac:dyDescent="0.2">
      <c r="A54" s="90">
        <v>6</v>
      </c>
      <c r="B54" s="91" t="s">
        <v>134</v>
      </c>
      <c r="C54" s="91" t="s">
        <v>136</v>
      </c>
      <c r="D54" s="92">
        <f>5491769/1000</f>
        <v>5491.77</v>
      </c>
      <c r="E54" s="92"/>
      <c r="F54" s="92"/>
      <c r="G54" s="93"/>
      <c r="H54" s="92">
        <f t="shared" si="5"/>
        <v>5491.77</v>
      </c>
      <c r="J54" s="92">
        <f>5491769/1000</f>
        <v>5491.77</v>
      </c>
      <c r="K54" s="92"/>
      <c r="L54" s="92"/>
      <c r="M54" s="93"/>
      <c r="N54" s="92">
        <f t="shared" si="6"/>
        <v>5491.77</v>
      </c>
      <c r="O54" s="63">
        <f t="shared" si="3"/>
        <v>5491770</v>
      </c>
      <c r="P54" s="92"/>
      <c r="Q54" s="92"/>
      <c r="R54" s="92"/>
      <c r="S54" s="93"/>
      <c r="T54" s="92">
        <f t="shared" si="7"/>
        <v>0</v>
      </c>
      <c r="V54" s="152">
        <f t="shared" si="4"/>
        <v>0</v>
      </c>
    </row>
    <row r="55" spans="1:23" ht="39" customHeight="1" x14ac:dyDescent="0.2">
      <c r="A55" s="90">
        <v>7</v>
      </c>
      <c r="B55" s="91" t="s">
        <v>137</v>
      </c>
      <c r="C55" s="91" t="s">
        <v>138</v>
      </c>
      <c r="D55" s="92">
        <f>196414652.64/1000</f>
        <v>196414.65</v>
      </c>
      <c r="E55" s="92">
        <f>1443757.94/1000</f>
        <v>1443.76</v>
      </c>
      <c r="F55" s="92"/>
      <c r="G55" s="93"/>
      <c r="H55" s="92">
        <f t="shared" si="5"/>
        <v>197858.41</v>
      </c>
      <c r="J55" s="92">
        <f>196414652.64/1000</f>
        <v>196414.65</v>
      </c>
      <c r="K55" s="92">
        <f>1443757.94/1000</f>
        <v>1443.76</v>
      </c>
      <c r="L55" s="92"/>
      <c r="M55" s="93"/>
      <c r="N55" s="92">
        <f t="shared" si="6"/>
        <v>197858.41</v>
      </c>
      <c r="O55" s="63">
        <f t="shared" si="3"/>
        <v>197858410</v>
      </c>
      <c r="P55" s="92"/>
      <c r="Q55" s="92"/>
      <c r="R55" s="92"/>
      <c r="S55" s="93"/>
      <c r="T55" s="92">
        <f t="shared" si="7"/>
        <v>0</v>
      </c>
      <c r="V55" s="152">
        <f t="shared" si="4"/>
        <v>0</v>
      </c>
    </row>
    <row r="56" spans="1:23" ht="25.5" x14ac:dyDescent="0.2">
      <c r="A56" s="90">
        <v>8</v>
      </c>
      <c r="B56" s="91" t="s">
        <v>139</v>
      </c>
      <c r="C56" s="91" t="s">
        <v>140</v>
      </c>
      <c r="D56" s="92">
        <f>216726453/1000</f>
        <v>216726.45</v>
      </c>
      <c r="E56" s="92"/>
      <c r="F56" s="92"/>
      <c r="G56" s="93"/>
      <c r="H56" s="92">
        <f t="shared" si="5"/>
        <v>216726.45</v>
      </c>
      <c r="J56" s="92">
        <f>216726453/1000</f>
        <v>216726.45</v>
      </c>
      <c r="K56" s="92"/>
      <c r="L56" s="92"/>
      <c r="M56" s="93"/>
      <c r="N56" s="92">
        <f t="shared" si="6"/>
        <v>216726.45</v>
      </c>
      <c r="O56" s="63">
        <f t="shared" si="3"/>
        <v>216726450</v>
      </c>
      <c r="P56" s="92"/>
      <c r="Q56" s="92"/>
      <c r="R56" s="92"/>
      <c r="S56" s="93"/>
      <c r="T56" s="92">
        <f t="shared" si="7"/>
        <v>0</v>
      </c>
      <c r="V56" s="152">
        <f t="shared" si="4"/>
        <v>0</v>
      </c>
    </row>
    <row r="57" spans="1:23" x14ac:dyDescent="0.2">
      <c r="A57" s="90"/>
      <c r="B57" s="295" t="s">
        <v>31</v>
      </c>
      <c r="C57" s="297"/>
      <c r="D57" s="94">
        <f>D58+D59</f>
        <v>470310.01</v>
      </c>
      <c r="E57" s="94">
        <f>E58+E59</f>
        <v>1443.76</v>
      </c>
      <c r="F57" s="94">
        <f>F58+F59</f>
        <v>355.76</v>
      </c>
      <c r="G57" s="97"/>
      <c r="H57" s="94">
        <f t="shared" si="5"/>
        <v>472109.53</v>
      </c>
      <c r="J57" s="94">
        <f>J58+J59</f>
        <v>470310.01</v>
      </c>
      <c r="K57" s="94">
        <f>K58+K59</f>
        <v>1443.76</v>
      </c>
      <c r="L57" s="94">
        <f>L58+L59</f>
        <v>355.76</v>
      </c>
      <c r="M57" s="97"/>
      <c r="N57" s="94">
        <f t="shared" si="6"/>
        <v>472109.53</v>
      </c>
      <c r="O57" s="63">
        <f t="shared" si="3"/>
        <v>472109530</v>
      </c>
      <c r="P57" s="94">
        <f>P58+P59</f>
        <v>0</v>
      </c>
      <c r="Q57" s="94">
        <f>Q58+Q59</f>
        <v>0</v>
      </c>
      <c r="R57" s="94">
        <f>R58+R59</f>
        <v>0</v>
      </c>
      <c r="S57" s="97"/>
      <c r="T57" s="94">
        <f t="shared" si="7"/>
        <v>0</v>
      </c>
      <c r="V57" s="152">
        <f t="shared" si="4"/>
        <v>0</v>
      </c>
    </row>
    <row r="58" spans="1:23" ht="27.95" customHeight="1" x14ac:dyDescent="0.2">
      <c r="A58" s="95"/>
      <c r="B58" s="298" t="s">
        <v>141</v>
      </c>
      <c r="C58" s="299"/>
      <c r="D58" s="96">
        <f>D45+D53</f>
        <v>23088.67</v>
      </c>
      <c r="E58" s="96"/>
      <c r="F58" s="96">
        <f>F45</f>
        <v>262.22000000000003</v>
      </c>
      <c r="G58" s="96"/>
      <c r="H58" s="96">
        <f t="shared" si="5"/>
        <v>23350.89</v>
      </c>
      <c r="J58" s="96">
        <f>J45+J53</f>
        <v>23088.67</v>
      </c>
      <c r="K58" s="96"/>
      <c r="L58" s="96">
        <f>L45</f>
        <v>262.22000000000003</v>
      </c>
      <c r="M58" s="96"/>
      <c r="N58" s="96">
        <f t="shared" si="6"/>
        <v>23350.89</v>
      </c>
      <c r="O58" s="63">
        <f t="shared" si="3"/>
        <v>23350890</v>
      </c>
      <c r="P58" s="96">
        <f>P45+P53</f>
        <v>0</v>
      </c>
      <c r="Q58" s="96"/>
      <c r="R58" s="96">
        <f>R45</f>
        <v>0</v>
      </c>
      <c r="S58" s="96"/>
      <c r="T58" s="96">
        <f t="shared" si="7"/>
        <v>0</v>
      </c>
      <c r="V58" s="152">
        <f t="shared" si="4"/>
        <v>0</v>
      </c>
    </row>
    <row r="59" spans="1:23" ht="27.75" customHeight="1" x14ac:dyDescent="0.2">
      <c r="A59" s="95"/>
      <c r="B59" s="298" t="s">
        <v>142</v>
      </c>
      <c r="C59" s="299"/>
      <c r="D59" s="96">
        <f>D49+D54+D55+D56</f>
        <v>447221.34</v>
      </c>
      <c r="E59" s="96">
        <f>E55</f>
        <v>1443.76</v>
      </c>
      <c r="F59" s="96">
        <f>F49</f>
        <v>93.54</v>
      </c>
      <c r="G59" s="96"/>
      <c r="H59" s="96">
        <f t="shared" si="5"/>
        <v>448758.64</v>
      </c>
      <c r="J59" s="96">
        <f>J49+J54+J55+J56</f>
        <v>447221.34</v>
      </c>
      <c r="K59" s="96">
        <f>K55</f>
        <v>1443.76</v>
      </c>
      <c r="L59" s="96">
        <f>L49</f>
        <v>93.54</v>
      </c>
      <c r="M59" s="96"/>
      <c r="N59" s="96">
        <f t="shared" si="6"/>
        <v>448758.64</v>
      </c>
      <c r="O59" s="63">
        <f t="shared" si="3"/>
        <v>448758640</v>
      </c>
      <c r="P59" s="96">
        <f>P49+P54+P55+P56</f>
        <v>0</v>
      </c>
      <c r="Q59" s="96">
        <f>Q55</f>
        <v>0</v>
      </c>
      <c r="R59" s="96">
        <f>R49</f>
        <v>0</v>
      </c>
      <c r="S59" s="96"/>
      <c r="T59" s="96">
        <f t="shared" si="7"/>
        <v>0</v>
      </c>
      <c r="V59" s="152">
        <f t="shared" si="4"/>
        <v>0</v>
      </c>
    </row>
    <row r="60" spans="1:23" x14ac:dyDescent="0.2">
      <c r="A60" s="95"/>
      <c r="B60" s="300" t="s">
        <v>32</v>
      </c>
      <c r="C60" s="301"/>
      <c r="D60" s="94">
        <f>D62+D61</f>
        <v>470310.01</v>
      </c>
      <c r="E60" s="94">
        <f>E62</f>
        <v>1443.76</v>
      </c>
      <c r="F60" s="94">
        <f>F61+F62</f>
        <v>355.76</v>
      </c>
      <c r="G60" s="94">
        <f>G61+G62</f>
        <v>51.25</v>
      </c>
      <c r="H60" s="94">
        <f t="shared" si="5"/>
        <v>472160.78</v>
      </c>
      <c r="J60" s="94">
        <f>J62+J61</f>
        <v>470310.01</v>
      </c>
      <c r="K60" s="94">
        <f>K62</f>
        <v>1443.76</v>
      </c>
      <c r="L60" s="94">
        <f>L61+L62</f>
        <v>355.76</v>
      </c>
      <c r="M60" s="94">
        <f>M61+M62</f>
        <v>51.25</v>
      </c>
      <c r="N60" s="94">
        <f t="shared" si="6"/>
        <v>472160.78</v>
      </c>
      <c r="O60" s="63">
        <f t="shared" si="3"/>
        <v>472160780</v>
      </c>
      <c r="P60" s="94">
        <f>P62+P61</f>
        <v>0</v>
      </c>
      <c r="Q60" s="94">
        <f>Q62</f>
        <v>0</v>
      </c>
      <c r="R60" s="94">
        <f>R61+R62</f>
        <v>0</v>
      </c>
      <c r="S60" s="94">
        <f>S61+S62</f>
        <v>0</v>
      </c>
      <c r="T60" s="94">
        <f t="shared" si="7"/>
        <v>0</v>
      </c>
      <c r="V60" s="152">
        <f t="shared" si="4"/>
        <v>0</v>
      </c>
    </row>
    <row r="61" spans="1:23" x14ac:dyDescent="0.2">
      <c r="A61" s="95"/>
      <c r="B61" s="290" t="s">
        <v>143</v>
      </c>
      <c r="C61" s="291"/>
      <c r="D61" s="96">
        <f>D43+D58</f>
        <v>23088.67</v>
      </c>
      <c r="E61" s="96"/>
      <c r="F61" s="96">
        <f>F43+F58</f>
        <v>262.22000000000003</v>
      </c>
      <c r="G61" s="96">
        <f>G43+G58</f>
        <v>18.29</v>
      </c>
      <c r="H61" s="96">
        <f t="shared" si="5"/>
        <v>23369.18</v>
      </c>
      <c r="J61" s="96">
        <f>J43+J58</f>
        <v>23088.67</v>
      </c>
      <c r="K61" s="96"/>
      <c r="L61" s="96">
        <f>L43+L58</f>
        <v>262.22000000000003</v>
      </c>
      <c r="M61" s="96">
        <f>M43+M58</f>
        <v>18.29</v>
      </c>
      <c r="N61" s="96">
        <f t="shared" si="6"/>
        <v>23369.18</v>
      </c>
      <c r="O61" s="63">
        <f t="shared" si="3"/>
        <v>23369180</v>
      </c>
      <c r="P61" s="96">
        <f>P43+P58</f>
        <v>0</v>
      </c>
      <c r="Q61" s="96"/>
      <c r="R61" s="96">
        <f>R43+R58</f>
        <v>0</v>
      </c>
      <c r="S61" s="96">
        <f>S43+S58</f>
        <v>0</v>
      </c>
      <c r="T61" s="96">
        <f t="shared" si="7"/>
        <v>0</v>
      </c>
      <c r="V61" s="152">
        <f t="shared" si="4"/>
        <v>0</v>
      </c>
    </row>
    <row r="62" spans="1:23" ht="12.75" customHeight="1" x14ac:dyDescent="0.2">
      <c r="A62" s="95"/>
      <c r="B62" s="290" t="s">
        <v>144</v>
      </c>
      <c r="C62" s="291"/>
      <c r="D62" s="96">
        <f>D44+D59</f>
        <v>447221.34</v>
      </c>
      <c r="E62" s="96">
        <f>E44+E59</f>
        <v>1443.76</v>
      </c>
      <c r="F62" s="96">
        <f>F59</f>
        <v>93.54</v>
      </c>
      <c r="G62" s="96">
        <f>G44</f>
        <v>32.96</v>
      </c>
      <c r="H62" s="96">
        <f t="shared" si="5"/>
        <v>448791.6</v>
      </c>
      <c r="J62" s="96">
        <f>J44+J59</f>
        <v>447221.34</v>
      </c>
      <c r="K62" s="96">
        <f>K44+K59</f>
        <v>1443.76</v>
      </c>
      <c r="L62" s="96">
        <f>L59</f>
        <v>93.54</v>
      </c>
      <c r="M62" s="96">
        <f>M44</f>
        <v>32.96</v>
      </c>
      <c r="N62" s="96">
        <f t="shared" si="6"/>
        <v>448791.6</v>
      </c>
      <c r="O62" s="63">
        <f t="shared" si="3"/>
        <v>448791600</v>
      </c>
      <c r="P62" s="96">
        <f>P44+P59</f>
        <v>0</v>
      </c>
      <c r="Q62" s="96">
        <f>Q44+Q59</f>
        <v>0</v>
      </c>
      <c r="R62" s="96">
        <f>R59</f>
        <v>0</v>
      </c>
      <c r="S62" s="96">
        <f>S44</f>
        <v>0</v>
      </c>
      <c r="T62" s="96">
        <f t="shared" si="7"/>
        <v>0</v>
      </c>
      <c r="V62" s="152">
        <f t="shared" si="4"/>
        <v>0</v>
      </c>
    </row>
    <row r="63" spans="1:23" x14ac:dyDescent="0.2">
      <c r="A63" s="302" t="s">
        <v>33</v>
      </c>
      <c r="B63" s="303"/>
      <c r="C63" s="303"/>
      <c r="D63" s="303"/>
      <c r="E63" s="303"/>
      <c r="F63" s="303"/>
      <c r="G63" s="303"/>
      <c r="H63" s="303"/>
      <c r="J63" s="63"/>
      <c r="K63" s="63"/>
      <c r="L63" s="63"/>
      <c r="M63" s="63"/>
      <c r="N63" s="63"/>
      <c r="O63" s="63">
        <f t="shared" si="3"/>
        <v>0</v>
      </c>
      <c r="P63" s="63"/>
      <c r="Q63" s="63"/>
      <c r="R63" s="63"/>
      <c r="S63" s="63"/>
      <c r="T63" s="63"/>
      <c r="V63" s="152">
        <f t="shared" si="4"/>
        <v>0</v>
      </c>
    </row>
    <row r="64" spans="1:23" ht="136.15" customHeight="1" x14ac:dyDescent="0.2">
      <c r="A64" s="90">
        <v>9</v>
      </c>
      <c r="B64" s="91" t="s">
        <v>145</v>
      </c>
      <c r="C64" s="91" t="s">
        <v>146</v>
      </c>
      <c r="D64" s="92">
        <f>D61*0.023</f>
        <v>531.04</v>
      </c>
      <c r="E64" s="92">
        <f>E61*0.031</f>
        <v>0</v>
      </c>
      <c r="F64" s="93"/>
      <c r="G64" s="93"/>
      <c r="H64" s="92">
        <f t="shared" si="5"/>
        <v>531.04</v>
      </c>
      <c r="J64" s="92">
        <f>J61*0.023</f>
        <v>531.04</v>
      </c>
      <c r="K64" s="92">
        <f>K61*0.031</f>
        <v>0</v>
      </c>
      <c r="L64" s="93"/>
      <c r="M64" s="93"/>
      <c r="N64" s="92">
        <f t="shared" ref="N64:N73" si="8">SUM(J64:M64)</f>
        <v>531.04</v>
      </c>
      <c r="O64" s="63">
        <f t="shared" si="3"/>
        <v>531040</v>
      </c>
      <c r="P64" s="92">
        <f>P61*0.023</f>
        <v>0</v>
      </c>
      <c r="Q64" s="92">
        <f>Q61*0.031</f>
        <v>0</v>
      </c>
      <c r="R64" s="93"/>
      <c r="S64" s="93"/>
      <c r="T64" s="92">
        <f t="shared" ref="T64:T73" si="9">SUM(P64:S64)</f>
        <v>0</v>
      </c>
      <c r="V64" s="152">
        <f t="shared" si="4"/>
        <v>0</v>
      </c>
    </row>
    <row r="65" spans="1:22" x14ac:dyDescent="0.2">
      <c r="A65" s="90"/>
      <c r="B65" s="91"/>
      <c r="C65" s="98" t="s">
        <v>147</v>
      </c>
      <c r="D65" s="92">
        <f>D64*0.15</f>
        <v>79.66</v>
      </c>
      <c r="E65" s="92"/>
      <c r="F65" s="93"/>
      <c r="G65" s="93"/>
      <c r="H65" s="92">
        <f t="shared" si="5"/>
        <v>79.66</v>
      </c>
      <c r="J65" s="92">
        <f>J64*0.15</f>
        <v>79.66</v>
      </c>
      <c r="K65" s="92"/>
      <c r="L65" s="93"/>
      <c r="M65" s="93"/>
      <c r="N65" s="92">
        <f t="shared" si="8"/>
        <v>79.66</v>
      </c>
      <c r="O65" s="63">
        <f t="shared" si="3"/>
        <v>79660</v>
      </c>
      <c r="P65" s="92">
        <f>P64*0.15</f>
        <v>0</v>
      </c>
      <c r="Q65" s="92"/>
      <c r="R65" s="93"/>
      <c r="S65" s="93"/>
      <c r="T65" s="92">
        <f t="shared" si="9"/>
        <v>0</v>
      </c>
      <c r="V65" s="152">
        <f t="shared" si="4"/>
        <v>0</v>
      </c>
    </row>
    <row r="66" spans="1:22" ht="144" customHeight="1" x14ac:dyDescent="0.2">
      <c r="A66" s="90">
        <v>10</v>
      </c>
      <c r="B66" s="91" t="s">
        <v>145</v>
      </c>
      <c r="C66" s="91" t="s">
        <v>148</v>
      </c>
      <c r="D66" s="92">
        <f>D62*0.023</f>
        <v>10286.09</v>
      </c>
      <c r="E66" s="92">
        <f>E62*0.023</f>
        <v>33.21</v>
      </c>
      <c r="F66" s="93"/>
      <c r="G66" s="93"/>
      <c r="H66" s="92">
        <f t="shared" si="5"/>
        <v>10319.299999999999</v>
      </c>
      <c r="J66" s="92">
        <f>J62*0.023</f>
        <v>10286.09</v>
      </c>
      <c r="K66" s="92">
        <f>K62*0.023</f>
        <v>33.21</v>
      </c>
      <c r="L66" s="93"/>
      <c r="M66" s="93"/>
      <c r="N66" s="92">
        <f t="shared" si="8"/>
        <v>10319.299999999999</v>
      </c>
      <c r="O66" s="63">
        <f t="shared" si="3"/>
        <v>10319300</v>
      </c>
      <c r="P66" s="92">
        <f>P62*0.023</f>
        <v>0</v>
      </c>
      <c r="Q66" s="92">
        <f>Q62*0.023</f>
        <v>0</v>
      </c>
      <c r="R66" s="93"/>
      <c r="S66" s="93"/>
      <c r="T66" s="92">
        <f t="shared" si="9"/>
        <v>0</v>
      </c>
      <c r="V66" s="152">
        <f t="shared" si="4"/>
        <v>0</v>
      </c>
    </row>
    <row r="67" spans="1:22" x14ac:dyDescent="0.2">
      <c r="A67" s="90"/>
      <c r="B67" s="91"/>
      <c r="C67" s="98" t="s">
        <v>149</v>
      </c>
      <c r="D67" s="92">
        <f>D66*0.15</f>
        <v>1542.91</v>
      </c>
      <c r="E67" s="92">
        <f>E66*0.15</f>
        <v>4.9800000000000004</v>
      </c>
      <c r="F67" s="93"/>
      <c r="G67" s="93"/>
      <c r="H67" s="92">
        <f t="shared" si="5"/>
        <v>1547.89</v>
      </c>
      <c r="J67" s="92">
        <f>J66*0.15</f>
        <v>1542.91</v>
      </c>
      <c r="K67" s="92">
        <f>K66*0.15</f>
        <v>4.9800000000000004</v>
      </c>
      <c r="L67" s="93"/>
      <c r="M67" s="93"/>
      <c r="N67" s="92">
        <f t="shared" si="8"/>
        <v>1547.89</v>
      </c>
      <c r="O67" s="63">
        <f t="shared" si="3"/>
        <v>1547890</v>
      </c>
      <c r="P67" s="92">
        <f>P66*0.15</f>
        <v>0</v>
      </c>
      <c r="Q67" s="92">
        <f>Q66*0.15</f>
        <v>0</v>
      </c>
      <c r="R67" s="93"/>
      <c r="S67" s="93"/>
      <c r="T67" s="92">
        <f t="shared" si="9"/>
        <v>0</v>
      </c>
      <c r="V67" s="152">
        <f t="shared" si="4"/>
        <v>0</v>
      </c>
    </row>
    <row r="68" spans="1:22" x14ac:dyDescent="0.2">
      <c r="A68" s="90"/>
      <c r="B68" s="295" t="s">
        <v>34</v>
      </c>
      <c r="C68" s="296"/>
      <c r="D68" s="92">
        <f>D69+D70</f>
        <v>10817.13</v>
      </c>
      <c r="E68" s="92">
        <f>E70</f>
        <v>33.21</v>
      </c>
      <c r="F68" s="93"/>
      <c r="G68" s="93"/>
      <c r="H68" s="92">
        <f t="shared" si="5"/>
        <v>10850.34</v>
      </c>
      <c r="J68" s="92">
        <f>J69+J70</f>
        <v>10817.13</v>
      </c>
      <c r="K68" s="92">
        <f>K70</f>
        <v>33.21</v>
      </c>
      <c r="L68" s="93"/>
      <c r="M68" s="93"/>
      <c r="N68" s="92">
        <f t="shared" si="8"/>
        <v>10850.34</v>
      </c>
      <c r="O68" s="63">
        <f t="shared" si="3"/>
        <v>10850340</v>
      </c>
      <c r="P68" s="92">
        <f>P69+P70</f>
        <v>0</v>
      </c>
      <c r="Q68" s="92">
        <f>Q70</f>
        <v>0</v>
      </c>
      <c r="R68" s="93"/>
      <c r="S68" s="93"/>
      <c r="T68" s="92">
        <f t="shared" si="9"/>
        <v>0</v>
      </c>
      <c r="V68" s="152">
        <f t="shared" si="4"/>
        <v>0</v>
      </c>
    </row>
    <row r="69" spans="1:22" ht="27.75" customHeight="1" x14ac:dyDescent="0.2">
      <c r="A69" s="95"/>
      <c r="B69" s="290" t="s">
        <v>150</v>
      </c>
      <c r="C69" s="291"/>
      <c r="D69" s="99">
        <f>SUM(D64)</f>
        <v>531.04</v>
      </c>
      <c r="E69" s="99"/>
      <c r="F69" s="99"/>
      <c r="G69" s="99"/>
      <c r="H69" s="92">
        <f t="shared" si="5"/>
        <v>531.04</v>
      </c>
      <c r="J69" s="99">
        <f>SUM(J64)</f>
        <v>531.04</v>
      </c>
      <c r="K69" s="99"/>
      <c r="L69" s="99"/>
      <c r="M69" s="99"/>
      <c r="N69" s="92">
        <f t="shared" si="8"/>
        <v>531.04</v>
      </c>
      <c r="O69" s="63">
        <f t="shared" si="3"/>
        <v>531040</v>
      </c>
      <c r="P69" s="99">
        <f>SUM(P64)</f>
        <v>0</v>
      </c>
      <c r="Q69" s="99"/>
      <c r="R69" s="99"/>
      <c r="S69" s="99"/>
      <c r="T69" s="92">
        <f t="shared" si="9"/>
        <v>0</v>
      </c>
      <c r="V69" s="152">
        <f t="shared" si="4"/>
        <v>0</v>
      </c>
    </row>
    <row r="70" spans="1:22" ht="25.5" customHeight="1" x14ac:dyDescent="0.2">
      <c r="A70" s="95"/>
      <c r="B70" s="290" t="s">
        <v>151</v>
      </c>
      <c r="C70" s="291"/>
      <c r="D70" s="99">
        <f>D66</f>
        <v>10286.09</v>
      </c>
      <c r="E70" s="99">
        <f t="shared" ref="E70" si="10">E66</f>
        <v>33.21</v>
      </c>
      <c r="F70" s="99"/>
      <c r="G70" s="99"/>
      <c r="H70" s="92">
        <f t="shared" si="5"/>
        <v>10319.299999999999</v>
      </c>
      <c r="J70" s="99">
        <f>J66</f>
        <v>10286.09</v>
      </c>
      <c r="K70" s="99">
        <f t="shared" ref="K70" si="11">K66</f>
        <v>33.21</v>
      </c>
      <c r="L70" s="99"/>
      <c r="M70" s="99"/>
      <c r="N70" s="92">
        <f t="shared" si="8"/>
        <v>10319.299999999999</v>
      </c>
      <c r="O70" s="63">
        <f t="shared" si="3"/>
        <v>10319300</v>
      </c>
      <c r="P70" s="99">
        <f>P66</f>
        <v>0</v>
      </c>
      <c r="Q70" s="99">
        <f t="shared" ref="Q70" si="12">Q66</f>
        <v>0</v>
      </c>
      <c r="R70" s="99"/>
      <c r="S70" s="99"/>
      <c r="T70" s="92">
        <f t="shared" si="9"/>
        <v>0</v>
      </c>
      <c r="V70" s="152">
        <f t="shared" si="4"/>
        <v>0</v>
      </c>
    </row>
    <row r="71" spans="1:22" x14ac:dyDescent="0.2">
      <c r="A71" s="95"/>
      <c r="B71" s="295" t="s">
        <v>35</v>
      </c>
      <c r="C71" s="296"/>
      <c r="D71" s="94">
        <f>D72+D73</f>
        <v>481127.14</v>
      </c>
      <c r="E71" s="94">
        <f t="shared" ref="E71:G71" si="13">E72+E73</f>
        <v>1476.97</v>
      </c>
      <c r="F71" s="94">
        <f t="shared" si="13"/>
        <v>355.76</v>
      </c>
      <c r="G71" s="94">
        <f t="shared" si="13"/>
        <v>51.25</v>
      </c>
      <c r="H71" s="94">
        <f t="shared" si="5"/>
        <v>483011.12</v>
      </c>
      <c r="J71" s="94">
        <f>J72+J73</f>
        <v>481127.14</v>
      </c>
      <c r="K71" s="94">
        <f t="shared" ref="K71:M71" si="14">K72+K73</f>
        <v>1476.97</v>
      </c>
      <c r="L71" s="94">
        <f t="shared" si="14"/>
        <v>355.76</v>
      </c>
      <c r="M71" s="94">
        <f t="shared" si="14"/>
        <v>51.25</v>
      </c>
      <c r="N71" s="94">
        <f t="shared" si="8"/>
        <v>483011.12</v>
      </c>
      <c r="O71" s="63">
        <f t="shared" si="3"/>
        <v>483011120</v>
      </c>
      <c r="P71" s="94">
        <f>P72+P73</f>
        <v>0</v>
      </c>
      <c r="Q71" s="94">
        <f t="shared" ref="Q71:S71" si="15">Q72+Q73</f>
        <v>0</v>
      </c>
      <c r="R71" s="94">
        <f t="shared" si="15"/>
        <v>0</v>
      </c>
      <c r="S71" s="94">
        <f t="shared" si="15"/>
        <v>0</v>
      </c>
      <c r="T71" s="94">
        <f t="shared" si="9"/>
        <v>0</v>
      </c>
      <c r="V71" s="152">
        <f t="shared" si="4"/>
        <v>0</v>
      </c>
    </row>
    <row r="72" spans="1:22" x14ac:dyDescent="0.2">
      <c r="A72" s="95"/>
      <c r="B72" s="298" t="s">
        <v>152</v>
      </c>
      <c r="C72" s="304"/>
      <c r="D72" s="96">
        <f>D61+D69</f>
        <v>23619.71</v>
      </c>
      <c r="E72" s="96">
        <f t="shared" ref="E72:G73" si="16">E61+E69</f>
        <v>0</v>
      </c>
      <c r="F72" s="96">
        <f t="shared" si="16"/>
        <v>262.22000000000003</v>
      </c>
      <c r="G72" s="96">
        <f t="shared" si="16"/>
        <v>18.29</v>
      </c>
      <c r="H72" s="94">
        <f t="shared" si="5"/>
        <v>23900.22</v>
      </c>
      <c r="J72" s="96">
        <f>J61+J69</f>
        <v>23619.71</v>
      </c>
      <c r="K72" s="96">
        <f t="shared" ref="K72:M72" si="17">K61+K69</f>
        <v>0</v>
      </c>
      <c r="L72" s="96">
        <f t="shared" si="17"/>
        <v>262.22000000000003</v>
      </c>
      <c r="M72" s="96">
        <f t="shared" si="17"/>
        <v>18.29</v>
      </c>
      <c r="N72" s="94">
        <f t="shared" si="8"/>
        <v>23900.22</v>
      </c>
      <c r="O72" s="63">
        <f t="shared" si="3"/>
        <v>23900220</v>
      </c>
      <c r="P72" s="96">
        <f>P61+P69</f>
        <v>0</v>
      </c>
      <c r="Q72" s="96">
        <f t="shared" ref="Q72:S72" si="18">Q61+Q69</f>
        <v>0</v>
      </c>
      <c r="R72" s="96">
        <f t="shared" si="18"/>
        <v>0</v>
      </c>
      <c r="S72" s="96">
        <f t="shared" si="18"/>
        <v>0</v>
      </c>
      <c r="T72" s="94">
        <f t="shared" si="9"/>
        <v>0</v>
      </c>
      <c r="V72" s="152">
        <f t="shared" si="4"/>
        <v>0</v>
      </c>
    </row>
    <row r="73" spans="1:22" ht="12.75" customHeight="1" x14ac:dyDescent="0.2">
      <c r="A73" s="95"/>
      <c r="B73" s="298" t="s">
        <v>153</v>
      </c>
      <c r="C73" s="304"/>
      <c r="D73" s="96">
        <f>D62+D70</f>
        <v>457507.43</v>
      </c>
      <c r="E73" s="96">
        <f t="shared" si="16"/>
        <v>1476.97</v>
      </c>
      <c r="F73" s="96">
        <f t="shared" si="16"/>
        <v>93.54</v>
      </c>
      <c r="G73" s="96">
        <f t="shared" si="16"/>
        <v>32.96</v>
      </c>
      <c r="H73" s="94">
        <f t="shared" si="5"/>
        <v>459110.9</v>
      </c>
      <c r="J73" s="96">
        <f>J62+J70</f>
        <v>457507.43</v>
      </c>
      <c r="K73" s="96">
        <f t="shared" ref="K73:M73" si="19">K62+K70</f>
        <v>1476.97</v>
      </c>
      <c r="L73" s="96">
        <f t="shared" si="19"/>
        <v>93.54</v>
      </c>
      <c r="M73" s="96">
        <f t="shared" si="19"/>
        <v>32.96</v>
      </c>
      <c r="N73" s="94">
        <f t="shared" si="8"/>
        <v>459110.9</v>
      </c>
      <c r="O73" s="63">
        <f t="shared" si="3"/>
        <v>459110900</v>
      </c>
      <c r="P73" s="96">
        <f>P62+P70</f>
        <v>0</v>
      </c>
      <c r="Q73" s="96">
        <f t="shared" ref="Q73:S73" si="20">Q62+Q70</f>
        <v>0</v>
      </c>
      <c r="R73" s="96">
        <f t="shared" si="20"/>
        <v>0</v>
      </c>
      <c r="S73" s="96">
        <f t="shared" si="20"/>
        <v>0</v>
      </c>
      <c r="T73" s="94">
        <f t="shared" si="9"/>
        <v>0</v>
      </c>
      <c r="V73" s="152">
        <f t="shared" si="4"/>
        <v>0</v>
      </c>
    </row>
    <row r="74" spans="1:22" x14ac:dyDescent="0.2">
      <c r="A74" s="302" t="s">
        <v>36</v>
      </c>
      <c r="B74" s="303"/>
      <c r="C74" s="303"/>
      <c r="D74" s="303"/>
      <c r="E74" s="303"/>
      <c r="F74" s="303"/>
      <c r="G74" s="303"/>
      <c r="H74" s="303"/>
      <c r="J74" s="63"/>
      <c r="K74" s="63"/>
      <c r="L74" s="63"/>
      <c r="M74" s="63"/>
      <c r="N74" s="63"/>
      <c r="O74" s="63">
        <f t="shared" si="3"/>
        <v>0</v>
      </c>
      <c r="P74" s="63"/>
      <c r="Q74" s="63"/>
      <c r="R74" s="63"/>
      <c r="S74" s="63"/>
      <c r="T74" s="63"/>
      <c r="V74" s="152">
        <f t="shared" si="4"/>
        <v>0</v>
      </c>
    </row>
    <row r="75" spans="1:22" ht="25.5" x14ac:dyDescent="0.2">
      <c r="A75" s="147">
        <v>11</v>
      </c>
      <c r="B75" s="148" t="s">
        <v>154</v>
      </c>
      <c r="C75" s="148" t="s">
        <v>155</v>
      </c>
      <c r="D75" s="149"/>
      <c r="E75" s="149"/>
      <c r="F75" s="149"/>
      <c r="G75" s="146">
        <f>(5164.35+105964.35)/1000</f>
        <v>111.13</v>
      </c>
      <c r="H75" s="150">
        <f t="shared" si="5"/>
        <v>111.13</v>
      </c>
      <c r="J75" s="149"/>
      <c r="K75" s="149"/>
      <c r="L75" s="149"/>
      <c r="M75" s="146"/>
      <c r="N75" s="150">
        <f t="shared" ref="N75:N85" si="21">SUM(J75:M75)</f>
        <v>0</v>
      </c>
      <c r="O75" s="63">
        <f t="shared" si="3"/>
        <v>0</v>
      </c>
      <c r="P75" s="149"/>
      <c r="Q75" s="149"/>
      <c r="R75" s="149"/>
      <c r="S75" s="146">
        <f>(5164.35+105964.35)/1000</f>
        <v>111.13</v>
      </c>
      <c r="T75" s="150">
        <f t="shared" ref="T75:T85" si="22">SUM(P75:S75)</f>
        <v>111.13</v>
      </c>
      <c r="V75" s="152">
        <f t="shared" si="4"/>
        <v>0</v>
      </c>
    </row>
    <row r="76" spans="1:22" ht="25.5" x14ac:dyDescent="0.2">
      <c r="A76" s="147">
        <v>12</v>
      </c>
      <c r="B76" s="148" t="s">
        <v>154</v>
      </c>
      <c r="C76" s="148" t="s">
        <v>156</v>
      </c>
      <c r="D76" s="149"/>
      <c r="E76" s="149"/>
      <c r="F76" s="149"/>
      <c r="G76" s="146">
        <f>(10328.69+111128.69)/1000</f>
        <v>121.46</v>
      </c>
      <c r="H76" s="150">
        <f t="shared" si="5"/>
        <v>121.46</v>
      </c>
      <c r="J76" s="149"/>
      <c r="K76" s="149"/>
      <c r="L76" s="149"/>
      <c r="M76" s="146"/>
      <c r="N76" s="150">
        <f t="shared" si="21"/>
        <v>0</v>
      </c>
      <c r="O76" s="63">
        <f t="shared" si="3"/>
        <v>0</v>
      </c>
      <c r="P76" s="149"/>
      <c r="Q76" s="149"/>
      <c r="R76" s="149"/>
      <c r="S76" s="146">
        <f>(10328.69+111128.69)/1000</f>
        <v>121.46</v>
      </c>
      <c r="T76" s="150">
        <f t="shared" si="22"/>
        <v>121.46</v>
      </c>
      <c r="V76" s="152">
        <f t="shared" si="4"/>
        <v>0</v>
      </c>
    </row>
    <row r="77" spans="1:22" ht="63.75" x14ac:dyDescent="0.2">
      <c r="A77" s="147">
        <v>13</v>
      </c>
      <c r="B77" s="148" t="s">
        <v>157</v>
      </c>
      <c r="C77" s="148" t="s">
        <v>158</v>
      </c>
      <c r="D77" s="149"/>
      <c r="E77" s="149"/>
      <c r="F77" s="149"/>
      <c r="G77" s="92">
        <f>(6.45+10.15+9.25+36)/1000</f>
        <v>0.06</v>
      </c>
      <c r="H77" s="150">
        <f t="shared" si="5"/>
        <v>0.06</v>
      </c>
      <c r="J77" s="149"/>
      <c r="K77" s="149"/>
      <c r="L77" s="149"/>
      <c r="M77" s="92">
        <f>(6.45+10.15+9.25+36)/1000</f>
        <v>0.06</v>
      </c>
      <c r="N77" s="150">
        <f t="shared" si="21"/>
        <v>0.06</v>
      </c>
      <c r="O77" s="63">
        <f t="shared" si="3"/>
        <v>60</v>
      </c>
      <c r="P77" s="149"/>
      <c r="Q77" s="149"/>
      <c r="R77" s="149"/>
      <c r="S77" s="92"/>
      <c r="T77" s="150">
        <f t="shared" si="22"/>
        <v>0</v>
      </c>
      <c r="V77" s="152">
        <f t="shared" si="4"/>
        <v>0</v>
      </c>
    </row>
    <row r="78" spans="1:22" ht="25.5" x14ac:dyDescent="0.2">
      <c r="A78" s="147">
        <v>18</v>
      </c>
      <c r="B78" s="148" t="s">
        <v>159</v>
      </c>
      <c r="C78" s="148" t="s">
        <v>160</v>
      </c>
      <c r="D78" s="149"/>
      <c r="E78" s="149"/>
      <c r="F78" s="149"/>
      <c r="G78" s="146">
        <f>61367.13*4.55/1000</f>
        <v>279.22000000000003</v>
      </c>
      <c r="H78" s="150">
        <f t="shared" si="5"/>
        <v>279.22000000000003</v>
      </c>
      <c r="J78" s="149"/>
      <c r="K78" s="149"/>
      <c r="L78" s="149"/>
      <c r="M78" s="146"/>
      <c r="N78" s="150">
        <f t="shared" si="21"/>
        <v>0</v>
      </c>
      <c r="O78" s="63">
        <f t="shared" si="3"/>
        <v>0</v>
      </c>
      <c r="P78" s="149"/>
      <c r="Q78" s="149"/>
      <c r="R78" s="149"/>
      <c r="S78" s="146">
        <f>61367.13*4.55/1000</f>
        <v>279.22000000000003</v>
      </c>
      <c r="T78" s="150">
        <f t="shared" si="22"/>
        <v>279.22000000000003</v>
      </c>
      <c r="V78" s="152">
        <f t="shared" si="4"/>
        <v>0</v>
      </c>
    </row>
    <row r="79" spans="1:22" ht="25.5" x14ac:dyDescent="0.2">
      <c r="A79" s="147">
        <v>19</v>
      </c>
      <c r="B79" s="148" t="s">
        <v>159</v>
      </c>
      <c r="C79" s="148" t="s">
        <v>161</v>
      </c>
      <c r="D79" s="149"/>
      <c r="E79" s="149"/>
      <c r="F79" s="149"/>
      <c r="G79" s="146">
        <f>75957.76*4.55/1000</f>
        <v>345.61</v>
      </c>
      <c r="H79" s="150">
        <f t="shared" si="5"/>
        <v>345.61</v>
      </c>
      <c r="J79" s="149"/>
      <c r="K79" s="149"/>
      <c r="L79" s="149"/>
      <c r="M79" s="146"/>
      <c r="N79" s="150">
        <f t="shared" si="21"/>
        <v>0</v>
      </c>
      <c r="O79" s="63">
        <f t="shared" si="3"/>
        <v>0</v>
      </c>
      <c r="P79" s="149"/>
      <c r="Q79" s="149"/>
      <c r="R79" s="149"/>
      <c r="S79" s="146">
        <f>75957.76*4.55/1000</f>
        <v>345.61</v>
      </c>
      <c r="T79" s="150">
        <f t="shared" si="22"/>
        <v>345.61</v>
      </c>
      <c r="V79" s="152">
        <f t="shared" si="4"/>
        <v>0</v>
      </c>
    </row>
    <row r="80" spans="1:22" x14ac:dyDescent="0.2">
      <c r="A80" s="90"/>
      <c r="B80" s="305" t="s">
        <v>162</v>
      </c>
      <c r="C80" s="306"/>
      <c r="D80" s="97"/>
      <c r="E80" s="97"/>
      <c r="F80" s="97"/>
      <c r="G80" s="94">
        <f>G81+G82</f>
        <v>857.48</v>
      </c>
      <c r="H80" s="94">
        <f t="shared" si="5"/>
        <v>857.48</v>
      </c>
      <c r="J80" s="97"/>
      <c r="K80" s="97"/>
      <c r="L80" s="97"/>
      <c r="M80" s="94">
        <f>M81+M82</f>
        <v>0.06</v>
      </c>
      <c r="N80" s="94">
        <f t="shared" si="21"/>
        <v>0.06</v>
      </c>
      <c r="O80" s="63">
        <f t="shared" si="3"/>
        <v>60</v>
      </c>
      <c r="P80" s="97"/>
      <c r="Q80" s="97"/>
      <c r="R80" s="97"/>
      <c r="S80" s="94">
        <f>S81+S82</f>
        <v>857.42</v>
      </c>
      <c r="T80" s="94">
        <f t="shared" si="22"/>
        <v>857.42</v>
      </c>
      <c r="V80" s="152">
        <f t="shared" si="4"/>
        <v>0</v>
      </c>
    </row>
    <row r="81" spans="1:22" ht="26.25" customHeight="1" x14ac:dyDescent="0.2">
      <c r="A81" s="95"/>
      <c r="B81" s="290" t="s">
        <v>163</v>
      </c>
      <c r="C81" s="291"/>
      <c r="D81" s="96"/>
      <c r="E81" s="96"/>
      <c r="F81" s="96"/>
      <c r="G81" s="96">
        <f>G75+G77+G78</f>
        <v>390.41</v>
      </c>
      <c r="H81" s="96">
        <f t="shared" si="5"/>
        <v>390.41</v>
      </c>
      <c r="J81" s="96"/>
      <c r="K81" s="96"/>
      <c r="L81" s="96"/>
      <c r="M81" s="96">
        <f>M75+M77+M78</f>
        <v>0.06</v>
      </c>
      <c r="N81" s="96">
        <f t="shared" si="21"/>
        <v>0.06</v>
      </c>
      <c r="O81" s="63">
        <f t="shared" si="3"/>
        <v>60</v>
      </c>
      <c r="P81" s="96"/>
      <c r="Q81" s="96"/>
      <c r="R81" s="96"/>
      <c r="S81" s="96">
        <f>S75+S77+S78</f>
        <v>390.35</v>
      </c>
      <c r="T81" s="96">
        <f t="shared" si="22"/>
        <v>390.35</v>
      </c>
      <c r="V81" s="152">
        <f t="shared" si="4"/>
        <v>0</v>
      </c>
    </row>
    <row r="82" spans="1:22" ht="24.75" customHeight="1" x14ac:dyDescent="0.2">
      <c r="A82" s="95"/>
      <c r="B82" s="290" t="s">
        <v>164</v>
      </c>
      <c r="C82" s="291"/>
      <c r="D82" s="96"/>
      <c r="E82" s="96"/>
      <c r="F82" s="96"/>
      <c r="G82" s="96">
        <f>G76+G79</f>
        <v>467.07</v>
      </c>
      <c r="H82" s="96">
        <f t="shared" si="5"/>
        <v>467.07</v>
      </c>
      <c r="J82" s="96"/>
      <c r="K82" s="96"/>
      <c r="L82" s="96"/>
      <c r="M82" s="96">
        <f>M76+M79</f>
        <v>0</v>
      </c>
      <c r="N82" s="96">
        <f t="shared" si="21"/>
        <v>0</v>
      </c>
      <c r="O82" s="63">
        <f t="shared" si="3"/>
        <v>0</v>
      </c>
      <c r="P82" s="96"/>
      <c r="Q82" s="96"/>
      <c r="R82" s="96"/>
      <c r="S82" s="96">
        <f>S76+S79</f>
        <v>467.07</v>
      </c>
      <c r="T82" s="96">
        <f t="shared" si="22"/>
        <v>467.07</v>
      </c>
      <c r="V82" s="152">
        <f t="shared" si="4"/>
        <v>0</v>
      </c>
    </row>
    <row r="83" spans="1:22" x14ac:dyDescent="0.2">
      <c r="A83" s="95"/>
      <c r="B83" s="295" t="s">
        <v>37</v>
      </c>
      <c r="C83" s="296"/>
      <c r="D83" s="96">
        <f>D84+D85</f>
        <v>481127.14</v>
      </c>
      <c r="E83" s="96">
        <f t="shared" ref="E83:G83" si="23">E84+E85</f>
        <v>1476.97</v>
      </c>
      <c r="F83" s="96">
        <f t="shared" si="23"/>
        <v>355.76</v>
      </c>
      <c r="G83" s="96">
        <f t="shared" si="23"/>
        <v>908.73</v>
      </c>
      <c r="H83" s="96">
        <f t="shared" si="5"/>
        <v>483868.6</v>
      </c>
      <c r="J83" s="96">
        <f>J84+J85</f>
        <v>481127.14</v>
      </c>
      <c r="K83" s="96">
        <f t="shared" ref="K83:M83" si="24">K84+K85</f>
        <v>1476.97</v>
      </c>
      <c r="L83" s="96">
        <f t="shared" si="24"/>
        <v>355.76</v>
      </c>
      <c r="M83" s="96">
        <f t="shared" si="24"/>
        <v>51.31</v>
      </c>
      <c r="N83" s="96">
        <f t="shared" si="21"/>
        <v>483011.18</v>
      </c>
      <c r="O83" s="63">
        <f t="shared" si="3"/>
        <v>483011180</v>
      </c>
      <c r="P83" s="96">
        <f>P84+P85</f>
        <v>0</v>
      </c>
      <c r="Q83" s="96">
        <f t="shared" ref="Q83:S83" si="25">Q84+Q85</f>
        <v>0</v>
      </c>
      <c r="R83" s="96">
        <f t="shared" si="25"/>
        <v>0</v>
      </c>
      <c r="S83" s="96">
        <f t="shared" si="25"/>
        <v>857.42</v>
      </c>
      <c r="T83" s="96">
        <f t="shared" si="22"/>
        <v>857.42</v>
      </c>
      <c r="V83" s="152">
        <f t="shared" si="4"/>
        <v>0</v>
      </c>
    </row>
    <row r="84" spans="1:22" x14ac:dyDescent="0.2">
      <c r="A84" s="95"/>
      <c r="B84" s="290" t="s">
        <v>165</v>
      </c>
      <c r="C84" s="291"/>
      <c r="D84" s="96">
        <f t="shared" ref="D84:G85" si="26">D72+D81</f>
        <v>23619.71</v>
      </c>
      <c r="E84" s="96">
        <f t="shared" si="26"/>
        <v>0</v>
      </c>
      <c r="F84" s="96">
        <f t="shared" si="26"/>
        <v>262.22000000000003</v>
      </c>
      <c r="G84" s="96">
        <f t="shared" si="26"/>
        <v>408.7</v>
      </c>
      <c r="H84" s="96">
        <f t="shared" si="5"/>
        <v>24290.63</v>
      </c>
      <c r="J84" s="96">
        <f t="shared" ref="J84:M84" si="27">J72+J81</f>
        <v>23619.71</v>
      </c>
      <c r="K84" s="96">
        <f t="shared" si="27"/>
        <v>0</v>
      </c>
      <c r="L84" s="96">
        <f t="shared" si="27"/>
        <v>262.22000000000003</v>
      </c>
      <c r="M84" s="96">
        <f t="shared" si="27"/>
        <v>18.350000000000001</v>
      </c>
      <c r="N84" s="96">
        <f t="shared" si="21"/>
        <v>23900.28</v>
      </c>
      <c r="O84" s="63">
        <f t="shared" si="3"/>
        <v>23900280</v>
      </c>
      <c r="P84" s="96">
        <f t="shared" ref="P84:S84" si="28">P72+P81</f>
        <v>0</v>
      </c>
      <c r="Q84" s="96">
        <f t="shared" si="28"/>
        <v>0</v>
      </c>
      <c r="R84" s="96">
        <f t="shared" si="28"/>
        <v>0</v>
      </c>
      <c r="S84" s="96">
        <f t="shared" si="28"/>
        <v>390.35</v>
      </c>
      <c r="T84" s="96">
        <f t="shared" si="22"/>
        <v>390.35</v>
      </c>
      <c r="V84" s="152">
        <f t="shared" si="4"/>
        <v>0</v>
      </c>
    </row>
    <row r="85" spans="1:22" x14ac:dyDescent="0.2">
      <c r="A85" s="95"/>
      <c r="B85" s="290" t="s">
        <v>166</v>
      </c>
      <c r="C85" s="291"/>
      <c r="D85" s="96">
        <f t="shared" si="26"/>
        <v>457507.43</v>
      </c>
      <c r="E85" s="96">
        <f t="shared" si="26"/>
        <v>1476.97</v>
      </c>
      <c r="F85" s="96">
        <f t="shared" si="26"/>
        <v>93.54</v>
      </c>
      <c r="G85" s="96">
        <f t="shared" si="26"/>
        <v>500.03</v>
      </c>
      <c r="H85" s="96">
        <f t="shared" si="5"/>
        <v>459577.97</v>
      </c>
      <c r="J85" s="96">
        <f t="shared" ref="J85:M85" si="29">J73+J82</f>
        <v>457507.43</v>
      </c>
      <c r="K85" s="96">
        <f t="shared" si="29"/>
        <v>1476.97</v>
      </c>
      <c r="L85" s="96">
        <f t="shared" si="29"/>
        <v>93.54</v>
      </c>
      <c r="M85" s="96">
        <f t="shared" si="29"/>
        <v>32.96</v>
      </c>
      <c r="N85" s="96">
        <f t="shared" si="21"/>
        <v>459110.9</v>
      </c>
      <c r="O85" s="63">
        <f t="shared" si="3"/>
        <v>459110900</v>
      </c>
      <c r="P85" s="96">
        <f t="shared" ref="P85:S85" si="30">P73+P82</f>
        <v>0</v>
      </c>
      <c r="Q85" s="96">
        <f t="shared" si="30"/>
        <v>0</v>
      </c>
      <c r="R85" s="96">
        <f t="shared" si="30"/>
        <v>0</v>
      </c>
      <c r="S85" s="96">
        <f t="shared" si="30"/>
        <v>467.07</v>
      </c>
      <c r="T85" s="96">
        <f t="shared" si="22"/>
        <v>467.07</v>
      </c>
      <c r="V85" s="152">
        <f t="shared" si="4"/>
        <v>0</v>
      </c>
    </row>
    <row r="86" spans="1:22" x14ac:dyDescent="0.2">
      <c r="A86" s="302" t="s">
        <v>167</v>
      </c>
      <c r="B86" s="303"/>
      <c r="C86" s="303"/>
      <c r="D86" s="303"/>
      <c r="E86" s="303"/>
      <c r="F86" s="303"/>
      <c r="G86" s="303"/>
      <c r="H86" s="303"/>
      <c r="J86" s="63"/>
      <c r="K86" s="63"/>
      <c r="L86" s="63"/>
      <c r="M86" s="63"/>
      <c r="N86" s="63"/>
      <c r="O86" s="63">
        <f t="shared" si="3"/>
        <v>0</v>
      </c>
      <c r="P86" s="63"/>
      <c r="Q86" s="63"/>
      <c r="R86" s="63"/>
      <c r="S86" s="63"/>
      <c r="T86" s="63"/>
      <c r="V86" s="152">
        <f t="shared" si="4"/>
        <v>0</v>
      </c>
    </row>
    <row r="87" spans="1:22" ht="38.25" x14ac:dyDescent="0.2">
      <c r="A87" s="90">
        <v>11</v>
      </c>
      <c r="B87" s="91" t="s">
        <v>168</v>
      </c>
      <c r="C87" s="91" t="s">
        <v>169</v>
      </c>
      <c r="D87" s="104"/>
      <c r="E87" s="104"/>
      <c r="F87" s="104"/>
      <c r="G87" s="151">
        <f>0.0172*D84+0.0172*E84+0.0172*F84</f>
        <v>410.77</v>
      </c>
      <c r="H87" s="105">
        <f t="shared" si="5"/>
        <v>410.77</v>
      </c>
      <c r="J87" s="104"/>
      <c r="K87" s="104"/>
      <c r="L87" s="104"/>
      <c r="M87" s="151"/>
      <c r="N87" s="105">
        <f t="shared" ref="N87:N91" si="31">SUM(J87:M87)</f>
        <v>0</v>
      </c>
      <c r="O87" s="63">
        <f t="shared" si="3"/>
        <v>0</v>
      </c>
      <c r="P87" s="104"/>
      <c r="Q87" s="104"/>
      <c r="R87" s="104"/>
      <c r="S87" s="151">
        <v>410.77</v>
      </c>
      <c r="T87" s="105">
        <f t="shared" ref="T87:T91" si="32">SUM(P87:S87)</f>
        <v>410.77</v>
      </c>
      <c r="V87" s="152">
        <f t="shared" si="4"/>
        <v>0</v>
      </c>
    </row>
    <row r="88" spans="1:22" ht="38.25" x14ac:dyDescent="0.2">
      <c r="A88" s="90">
        <v>12</v>
      </c>
      <c r="B88" s="91" t="s">
        <v>168</v>
      </c>
      <c r="C88" s="91" t="s">
        <v>170</v>
      </c>
      <c r="D88" s="104"/>
      <c r="E88" s="104"/>
      <c r="F88" s="104"/>
      <c r="G88" s="151">
        <f>0.0172*D85+0.0172*E85+0.0172*F85</f>
        <v>7896.14</v>
      </c>
      <c r="H88" s="105">
        <f t="shared" si="5"/>
        <v>7896.14</v>
      </c>
      <c r="J88" s="104"/>
      <c r="K88" s="104"/>
      <c r="L88" s="104"/>
      <c r="M88" s="151"/>
      <c r="N88" s="105">
        <f t="shared" si="31"/>
        <v>0</v>
      </c>
      <c r="O88" s="63">
        <f t="shared" si="3"/>
        <v>0</v>
      </c>
      <c r="P88" s="104"/>
      <c r="Q88" s="104"/>
      <c r="R88" s="104"/>
      <c r="S88" s="151">
        <v>7896.14</v>
      </c>
      <c r="T88" s="105">
        <f t="shared" si="32"/>
        <v>7896.14</v>
      </c>
      <c r="V88" s="152">
        <f t="shared" si="4"/>
        <v>0</v>
      </c>
    </row>
    <row r="89" spans="1:22" ht="26.25" customHeight="1" x14ac:dyDescent="0.2">
      <c r="A89" s="90"/>
      <c r="B89" s="305" t="s">
        <v>171</v>
      </c>
      <c r="C89" s="306"/>
      <c r="D89" s="104"/>
      <c r="E89" s="104"/>
      <c r="F89" s="104"/>
      <c r="G89" s="106">
        <f>G90+G91</f>
        <v>8306.91</v>
      </c>
      <c r="H89" s="106">
        <f t="shared" si="5"/>
        <v>8306.91</v>
      </c>
      <c r="J89" s="104"/>
      <c r="K89" s="104"/>
      <c r="L89" s="104"/>
      <c r="M89" s="106">
        <f>M90+M91</f>
        <v>0</v>
      </c>
      <c r="N89" s="106">
        <f t="shared" si="31"/>
        <v>0</v>
      </c>
      <c r="O89" s="63">
        <f t="shared" si="3"/>
        <v>0</v>
      </c>
      <c r="P89" s="104"/>
      <c r="Q89" s="104"/>
      <c r="R89" s="104"/>
      <c r="S89" s="106">
        <f>S90+S91</f>
        <v>8306.91</v>
      </c>
      <c r="T89" s="106">
        <f t="shared" si="32"/>
        <v>8306.91</v>
      </c>
      <c r="V89" s="152">
        <f t="shared" si="4"/>
        <v>0</v>
      </c>
    </row>
    <row r="90" spans="1:22" ht="27.95" customHeight="1" x14ac:dyDescent="0.2">
      <c r="A90" s="95"/>
      <c r="B90" s="290" t="s">
        <v>172</v>
      </c>
      <c r="C90" s="291"/>
      <c r="D90" s="104"/>
      <c r="E90" s="104"/>
      <c r="F90" s="104"/>
      <c r="G90" s="107">
        <f t="shared" ref="G90" si="33">SUM(G87)</f>
        <v>410.77</v>
      </c>
      <c r="H90" s="107">
        <f t="shared" si="5"/>
        <v>410.77</v>
      </c>
      <c r="J90" s="104"/>
      <c r="K90" s="104"/>
      <c r="L90" s="104"/>
      <c r="M90" s="107">
        <f t="shared" ref="M90" si="34">SUM(M87)</f>
        <v>0</v>
      </c>
      <c r="N90" s="107">
        <f t="shared" si="31"/>
        <v>0</v>
      </c>
      <c r="O90" s="63">
        <f t="shared" si="3"/>
        <v>0</v>
      </c>
      <c r="P90" s="104"/>
      <c r="Q90" s="104"/>
      <c r="R90" s="104"/>
      <c r="S90" s="107">
        <f t="shared" ref="S90" si="35">SUM(S87)</f>
        <v>410.77</v>
      </c>
      <c r="T90" s="107">
        <f t="shared" si="32"/>
        <v>410.77</v>
      </c>
      <c r="V90" s="152">
        <f t="shared" si="4"/>
        <v>0</v>
      </c>
    </row>
    <row r="91" spans="1:22" ht="27.95" customHeight="1" x14ac:dyDescent="0.2">
      <c r="A91" s="95"/>
      <c r="B91" s="290" t="s">
        <v>172</v>
      </c>
      <c r="C91" s="291"/>
      <c r="D91" s="104"/>
      <c r="E91" s="104"/>
      <c r="F91" s="104"/>
      <c r="G91" s="107">
        <f>G88</f>
        <v>7896.14</v>
      </c>
      <c r="H91" s="107">
        <f t="shared" si="5"/>
        <v>7896.14</v>
      </c>
      <c r="J91" s="104"/>
      <c r="K91" s="104"/>
      <c r="L91" s="104"/>
      <c r="M91" s="107">
        <f>M88</f>
        <v>0</v>
      </c>
      <c r="N91" s="107">
        <f t="shared" si="31"/>
        <v>0</v>
      </c>
      <c r="O91" s="63">
        <f t="shared" si="3"/>
        <v>0</v>
      </c>
      <c r="P91" s="104"/>
      <c r="Q91" s="104"/>
      <c r="R91" s="104"/>
      <c r="S91" s="107">
        <f>S88</f>
        <v>7896.14</v>
      </c>
      <c r="T91" s="107">
        <f t="shared" si="32"/>
        <v>7896.14</v>
      </c>
      <c r="V91" s="152">
        <f t="shared" si="4"/>
        <v>0</v>
      </c>
    </row>
    <row r="92" spans="1:22" ht="60" customHeight="1" x14ac:dyDescent="0.2">
      <c r="A92" s="302" t="s">
        <v>173</v>
      </c>
      <c r="B92" s="303"/>
      <c r="C92" s="303"/>
      <c r="D92" s="303"/>
      <c r="E92" s="303"/>
      <c r="F92" s="303"/>
      <c r="G92" s="303"/>
      <c r="H92" s="303"/>
      <c r="J92" s="63"/>
      <c r="K92" s="63"/>
      <c r="L92" s="63"/>
      <c r="M92" s="63"/>
      <c r="N92" s="63"/>
      <c r="O92" s="63">
        <f t="shared" si="3"/>
        <v>0</v>
      </c>
      <c r="P92" s="63"/>
      <c r="Q92" s="63"/>
      <c r="R92" s="63"/>
      <c r="S92" s="63"/>
      <c r="T92" s="63"/>
      <c r="V92" s="152">
        <f t="shared" si="4"/>
        <v>0</v>
      </c>
    </row>
    <row r="93" spans="1:22" ht="15" x14ac:dyDescent="0.2">
      <c r="A93" s="90">
        <v>13</v>
      </c>
      <c r="B93" s="91" t="s">
        <v>174</v>
      </c>
      <c r="C93" s="91" t="s">
        <v>175</v>
      </c>
      <c r="D93" s="104"/>
      <c r="E93" s="104"/>
      <c r="F93" s="104"/>
      <c r="G93" s="151">
        <f>3438143.5/1000</f>
        <v>3438.14</v>
      </c>
      <c r="H93" s="105">
        <f t="shared" si="5"/>
        <v>3438.14</v>
      </c>
      <c r="J93" s="104"/>
      <c r="K93" s="104"/>
      <c r="L93" s="104"/>
      <c r="M93" s="151"/>
      <c r="N93" s="105">
        <f t="shared" ref="N93:N105" si="36">SUM(J93:M93)</f>
        <v>0</v>
      </c>
      <c r="O93" s="63">
        <f t="shared" si="3"/>
        <v>0</v>
      </c>
      <c r="P93" s="104"/>
      <c r="Q93" s="104"/>
      <c r="R93" s="104"/>
      <c r="S93" s="151">
        <f>3438143.5/1000</f>
        <v>3438.14</v>
      </c>
      <c r="T93" s="105">
        <f t="shared" ref="T93:T105" si="37">SUM(P93:S93)</f>
        <v>3438.14</v>
      </c>
      <c r="V93" s="152">
        <f t="shared" si="4"/>
        <v>0</v>
      </c>
    </row>
    <row r="94" spans="1:22" x14ac:dyDescent="0.2">
      <c r="A94" s="90">
        <v>14</v>
      </c>
      <c r="B94" s="91" t="s">
        <v>176</v>
      </c>
      <c r="C94" s="91" t="s">
        <v>177</v>
      </c>
      <c r="D94" s="104"/>
      <c r="E94" s="104"/>
      <c r="F94" s="104"/>
      <c r="G94" s="105">
        <f>6226003.2/1000</f>
        <v>6226</v>
      </c>
      <c r="H94" s="105">
        <f t="shared" si="5"/>
        <v>6226</v>
      </c>
      <c r="J94" s="104"/>
      <c r="K94" s="104"/>
      <c r="L94" s="104"/>
      <c r="M94" s="105">
        <f>6226003.2/1000</f>
        <v>6226</v>
      </c>
      <c r="N94" s="105">
        <f t="shared" si="36"/>
        <v>6226</v>
      </c>
      <c r="O94" s="63">
        <f t="shared" si="3"/>
        <v>6226000</v>
      </c>
      <c r="P94" s="104"/>
      <c r="Q94" s="104"/>
      <c r="R94" s="104"/>
      <c r="S94" s="105"/>
      <c r="T94" s="105">
        <f t="shared" si="37"/>
        <v>0</v>
      </c>
      <c r="V94" s="152">
        <f t="shared" si="4"/>
        <v>0</v>
      </c>
    </row>
    <row r="95" spans="1:22" ht="25.5" x14ac:dyDescent="0.2">
      <c r="A95" s="90">
        <v>15</v>
      </c>
      <c r="B95" s="91" t="s">
        <v>178</v>
      </c>
      <c r="C95" s="91" t="s">
        <v>179</v>
      </c>
      <c r="D95" s="104"/>
      <c r="E95" s="104"/>
      <c r="F95" s="104"/>
      <c r="G95" s="151">
        <f>696674.36/1000</f>
        <v>696.67</v>
      </c>
      <c r="H95" s="105">
        <f t="shared" si="5"/>
        <v>696.67</v>
      </c>
      <c r="J95" s="104"/>
      <c r="K95" s="104"/>
      <c r="L95" s="104"/>
      <c r="M95" s="151"/>
      <c r="N95" s="105">
        <f t="shared" si="36"/>
        <v>0</v>
      </c>
      <c r="O95" s="63">
        <f t="shared" si="3"/>
        <v>0</v>
      </c>
      <c r="P95" s="104"/>
      <c r="Q95" s="104"/>
      <c r="R95" s="104"/>
      <c r="S95" s="151">
        <f>696674.36/1000</f>
        <v>696.67</v>
      </c>
      <c r="T95" s="105">
        <f t="shared" si="37"/>
        <v>696.67</v>
      </c>
      <c r="V95" s="152">
        <f t="shared" si="4"/>
        <v>0</v>
      </c>
    </row>
    <row r="96" spans="1:22" ht="89.25" x14ac:dyDescent="0.2">
      <c r="A96" s="90">
        <v>16</v>
      </c>
      <c r="B96" s="91" t="s">
        <v>180</v>
      </c>
      <c r="C96" s="91" t="s">
        <v>181</v>
      </c>
      <c r="D96" s="104"/>
      <c r="E96" s="104"/>
      <c r="F96" s="104"/>
      <c r="G96" s="151">
        <f>0.002*H84</f>
        <v>48.58</v>
      </c>
      <c r="H96" s="105">
        <f t="shared" si="5"/>
        <v>48.58</v>
      </c>
      <c r="J96" s="104"/>
      <c r="K96" s="104"/>
      <c r="L96" s="104"/>
      <c r="M96" s="151"/>
      <c r="N96" s="105">
        <f t="shared" si="36"/>
        <v>0</v>
      </c>
      <c r="O96" s="63">
        <f t="shared" si="3"/>
        <v>0</v>
      </c>
      <c r="P96" s="104"/>
      <c r="Q96" s="104"/>
      <c r="R96" s="104"/>
      <c r="S96" s="151">
        <v>48.58</v>
      </c>
      <c r="T96" s="105">
        <f t="shared" si="37"/>
        <v>48.58</v>
      </c>
      <c r="V96" s="152">
        <f t="shared" si="4"/>
        <v>0</v>
      </c>
    </row>
    <row r="97" spans="1:22" ht="89.25" x14ac:dyDescent="0.2">
      <c r="A97" s="90">
        <v>17</v>
      </c>
      <c r="B97" s="91" t="s">
        <v>180</v>
      </c>
      <c r="C97" s="91" t="s">
        <v>182</v>
      </c>
      <c r="D97" s="104"/>
      <c r="E97" s="104"/>
      <c r="F97" s="104"/>
      <c r="G97" s="151">
        <f>0.002*H85</f>
        <v>919.16</v>
      </c>
      <c r="H97" s="105">
        <f t="shared" si="5"/>
        <v>919.16</v>
      </c>
      <c r="J97" s="104"/>
      <c r="K97" s="104"/>
      <c r="L97" s="104"/>
      <c r="M97" s="151"/>
      <c r="N97" s="105">
        <f t="shared" si="36"/>
        <v>0</v>
      </c>
      <c r="O97" s="63">
        <f t="shared" si="3"/>
        <v>0</v>
      </c>
      <c r="P97" s="104"/>
      <c r="Q97" s="104"/>
      <c r="R97" s="104"/>
      <c r="S97" s="151">
        <v>919.16</v>
      </c>
      <c r="T97" s="105">
        <f t="shared" si="37"/>
        <v>919.16</v>
      </c>
      <c r="V97" s="152">
        <f t="shared" si="4"/>
        <v>0</v>
      </c>
    </row>
    <row r="98" spans="1:22" ht="27" customHeight="1" x14ac:dyDescent="0.2">
      <c r="A98" s="90">
        <v>18</v>
      </c>
      <c r="B98" s="91" t="s">
        <v>183</v>
      </c>
      <c r="C98" s="91" t="s">
        <v>184</v>
      </c>
      <c r="D98" s="104"/>
      <c r="E98" s="104"/>
      <c r="F98" s="104"/>
      <c r="G98" s="151">
        <f>11659.51/1000</f>
        <v>11.66</v>
      </c>
      <c r="H98" s="105">
        <f t="shared" si="5"/>
        <v>11.66</v>
      </c>
      <c r="J98" s="104"/>
      <c r="K98" s="104"/>
      <c r="L98" s="104"/>
      <c r="M98" s="151"/>
      <c r="N98" s="105">
        <f t="shared" si="36"/>
        <v>0</v>
      </c>
      <c r="O98" s="63">
        <f t="shared" si="3"/>
        <v>0</v>
      </c>
      <c r="P98" s="104"/>
      <c r="Q98" s="104"/>
      <c r="R98" s="104"/>
      <c r="S98" s="151">
        <f>11659.51/1000</f>
        <v>11.66</v>
      </c>
      <c r="T98" s="105">
        <f t="shared" si="37"/>
        <v>11.66</v>
      </c>
      <c r="V98" s="152">
        <f t="shared" si="4"/>
        <v>0</v>
      </c>
    </row>
    <row r="99" spans="1:22" ht="27" customHeight="1" x14ac:dyDescent="0.2">
      <c r="A99" s="90">
        <v>19</v>
      </c>
      <c r="B99" s="91" t="s">
        <v>183</v>
      </c>
      <c r="C99" s="91" t="s">
        <v>185</v>
      </c>
      <c r="D99" s="104"/>
      <c r="E99" s="104"/>
      <c r="F99" s="104"/>
      <c r="G99" s="151">
        <f>19158.06/1000</f>
        <v>19.16</v>
      </c>
      <c r="H99" s="105">
        <f t="shared" si="5"/>
        <v>19.16</v>
      </c>
      <c r="J99" s="104"/>
      <c r="K99" s="104"/>
      <c r="L99" s="104"/>
      <c r="M99" s="151"/>
      <c r="N99" s="105">
        <f t="shared" si="36"/>
        <v>0</v>
      </c>
      <c r="O99" s="63">
        <f t="shared" si="3"/>
        <v>0</v>
      </c>
      <c r="P99" s="104"/>
      <c r="Q99" s="104"/>
      <c r="R99" s="104"/>
      <c r="S99" s="151">
        <f>19158.06/1000</f>
        <v>19.16</v>
      </c>
      <c r="T99" s="105">
        <f t="shared" si="37"/>
        <v>19.16</v>
      </c>
      <c r="V99" s="152">
        <f t="shared" si="4"/>
        <v>0</v>
      </c>
    </row>
    <row r="100" spans="1:22" ht="124.5" customHeight="1" x14ac:dyDescent="0.2">
      <c r="A100" s="90"/>
      <c r="B100" s="295" t="s">
        <v>186</v>
      </c>
      <c r="C100" s="296"/>
      <c r="D100" s="104"/>
      <c r="E100" s="104"/>
      <c r="F100" s="104"/>
      <c r="G100" s="106">
        <f>G101+G102</f>
        <v>11359.37</v>
      </c>
      <c r="H100" s="106">
        <f t="shared" si="5"/>
        <v>11359.37</v>
      </c>
      <c r="J100" s="104"/>
      <c r="K100" s="104"/>
      <c r="L100" s="104"/>
      <c r="M100" s="106">
        <f>M101+M102</f>
        <v>6226</v>
      </c>
      <c r="N100" s="106">
        <f t="shared" si="36"/>
        <v>6226</v>
      </c>
      <c r="O100" s="63">
        <f t="shared" si="3"/>
        <v>6226000</v>
      </c>
      <c r="P100" s="104"/>
      <c r="Q100" s="104"/>
      <c r="R100" s="104"/>
      <c r="S100" s="106">
        <f>S101+S102</f>
        <v>5133.37</v>
      </c>
      <c r="T100" s="106">
        <f t="shared" si="37"/>
        <v>5133.37</v>
      </c>
      <c r="V100" s="152">
        <f t="shared" si="4"/>
        <v>0</v>
      </c>
    </row>
    <row r="101" spans="1:22" ht="137.25" customHeight="1" x14ac:dyDescent="0.2">
      <c r="A101" s="95"/>
      <c r="B101" s="298" t="s">
        <v>187</v>
      </c>
      <c r="C101" s="304"/>
      <c r="D101" s="108"/>
      <c r="E101" s="108"/>
      <c r="F101" s="108"/>
      <c r="G101" s="109">
        <f>G93+G94+G95+G96+G98</f>
        <v>10421.049999999999</v>
      </c>
      <c r="H101" s="109">
        <f t="shared" si="5"/>
        <v>10421.049999999999</v>
      </c>
      <c r="J101" s="108"/>
      <c r="K101" s="108"/>
      <c r="L101" s="108"/>
      <c r="M101" s="109">
        <f>M93+M94+M95+M96+M98</f>
        <v>6226</v>
      </c>
      <c r="N101" s="109">
        <f t="shared" si="36"/>
        <v>6226</v>
      </c>
      <c r="O101" s="63">
        <f t="shared" si="3"/>
        <v>6226000</v>
      </c>
      <c r="P101" s="108"/>
      <c r="Q101" s="108"/>
      <c r="R101" s="108"/>
      <c r="S101" s="109">
        <f>S93+S94+S95+S96+S98</f>
        <v>4195.05</v>
      </c>
      <c r="T101" s="109">
        <f t="shared" si="37"/>
        <v>4195.05</v>
      </c>
      <c r="V101" s="152">
        <f t="shared" si="4"/>
        <v>0</v>
      </c>
    </row>
    <row r="102" spans="1:22" ht="138.75" customHeight="1" x14ac:dyDescent="0.2">
      <c r="A102" s="95"/>
      <c r="B102" s="290" t="s">
        <v>188</v>
      </c>
      <c r="C102" s="291"/>
      <c r="D102" s="108"/>
      <c r="E102" s="108"/>
      <c r="F102" s="108"/>
      <c r="G102" s="109">
        <f>G97+G99</f>
        <v>938.32</v>
      </c>
      <c r="H102" s="109">
        <f t="shared" si="5"/>
        <v>938.32</v>
      </c>
      <c r="J102" s="108"/>
      <c r="K102" s="108"/>
      <c r="L102" s="108"/>
      <c r="M102" s="109">
        <f>M97+M99</f>
        <v>0</v>
      </c>
      <c r="N102" s="109">
        <f t="shared" si="36"/>
        <v>0</v>
      </c>
      <c r="O102" s="63">
        <f t="shared" si="3"/>
        <v>0</v>
      </c>
      <c r="P102" s="108"/>
      <c r="Q102" s="108"/>
      <c r="R102" s="108"/>
      <c r="S102" s="109">
        <f>S97+S99</f>
        <v>938.32</v>
      </c>
      <c r="T102" s="109">
        <f t="shared" si="37"/>
        <v>938.32</v>
      </c>
      <c r="V102" s="152">
        <f t="shared" si="4"/>
        <v>0</v>
      </c>
    </row>
    <row r="103" spans="1:22" x14ac:dyDescent="0.2">
      <c r="A103" s="95"/>
      <c r="B103" s="305" t="s">
        <v>38</v>
      </c>
      <c r="C103" s="306"/>
      <c r="D103" s="97">
        <f>D104+D105</f>
        <v>481127.14</v>
      </c>
      <c r="E103" s="97">
        <f t="shared" ref="E103:G103" si="38">E104+E105</f>
        <v>1476.97</v>
      </c>
      <c r="F103" s="97">
        <f t="shared" si="38"/>
        <v>355.76</v>
      </c>
      <c r="G103" s="97">
        <f t="shared" si="38"/>
        <v>20575.009999999998</v>
      </c>
      <c r="H103" s="97">
        <f t="shared" si="5"/>
        <v>503534.88</v>
      </c>
      <c r="J103" s="97">
        <f>J104+J105</f>
        <v>481127.14</v>
      </c>
      <c r="K103" s="97">
        <f t="shared" ref="K103:M103" si="39">K104+K105</f>
        <v>1476.97</v>
      </c>
      <c r="L103" s="97">
        <f t="shared" si="39"/>
        <v>355.76</v>
      </c>
      <c r="M103" s="97">
        <f t="shared" si="39"/>
        <v>6277.31</v>
      </c>
      <c r="N103" s="97">
        <f t="shared" si="36"/>
        <v>489237.18</v>
      </c>
      <c r="O103" s="63">
        <f t="shared" si="3"/>
        <v>489237180</v>
      </c>
      <c r="P103" s="97">
        <f>P104+P105</f>
        <v>0</v>
      </c>
      <c r="Q103" s="97">
        <f t="shared" ref="Q103:S103" si="40">Q104+Q105</f>
        <v>0</v>
      </c>
      <c r="R103" s="97">
        <f t="shared" si="40"/>
        <v>0</v>
      </c>
      <c r="S103" s="97">
        <f t="shared" si="40"/>
        <v>14297.7</v>
      </c>
      <c r="T103" s="97">
        <f t="shared" si="37"/>
        <v>14297.7</v>
      </c>
      <c r="V103" s="152">
        <f t="shared" si="4"/>
        <v>0</v>
      </c>
    </row>
    <row r="104" spans="1:22" x14ac:dyDescent="0.2">
      <c r="A104" s="95"/>
      <c r="B104" s="290" t="s">
        <v>189</v>
      </c>
      <c r="C104" s="291"/>
      <c r="D104" s="96">
        <f>D84+D90+D101</f>
        <v>23619.71</v>
      </c>
      <c r="E104" s="96">
        <f t="shared" ref="E104:G105" si="41">E84+E90+E101</f>
        <v>0</v>
      </c>
      <c r="F104" s="96">
        <f t="shared" si="41"/>
        <v>262.22000000000003</v>
      </c>
      <c r="G104" s="96">
        <f t="shared" si="41"/>
        <v>11240.52</v>
      </c>
      <c r="H104" s="96">
        <f t="shared" si="5"/>
        <v>35122.449999999997</v>
      </c>
      <c r="J104" s="96">
        <f>J84+J90+J101</f>
        <v>23619.71</v>
      </c>
      <c r="K104" s="96">
        <f t="shared" ref="K104:M104" si="42">K84+K90+K101</f>
        <v>0</v>
      </c>
      <c r="L104" s="96">
        <f t="shared" si="42"/>
        <v>262.22000000000003</v>
      </c>
      <c r="M104" s="96">
        <f t="shared" si="42"/>
        <v>6244.35</v>
      </c>
      <c r="N104" s="96">
        <f t="shared" si="36"/>
        <v>30126.28</v>
      </c>
      <c r="O104" s="63">
        <f t="shared" si="3"/>
        <v>30126280</v>
      </c>
      <c r="P104" s="96">
        <f>P84+P90+P101</f>
        <v>0</v>
      </c>
      <c r="Q104" s="96">
        <f t="shared" ref="Q104:S104" si="43">Q84+Q90+Q101</f>
        <v>0</v>
      </c>
      <c r="R104" s="96">
        <f t="shared" si="43"/>
        <v>0</v>
      </c>
      <c r="S104" s="96">
        <f t="shared" si="43"/>
        <v>4996.17</v>
      </c>
      <c r="T104" s="96">
        <f t="shared" si="37"/>
        <v>4996.17</v>
      </c>
      <c r="V104" s="152">
        <f t="shared" si="4"/>
        <v>0</v>
      </c>
    </row>
    <row r="105" spans="1:22" ht="12.75" customHeight="1" x14ac:dyDescent="0.2">
      <c r="A105" s="95"/>
      <c r="B105" s="290" t="s">
        <v>190</v>
      </c>
      <c r="C105" s="291"/>
      <c r="D105" s="96">
        <f>D85+D91+D102</f>
        <v>457507.43</v>
      </c>
      <c r="E105" s="96">
        <f t="shared" si="41"/>
        <v>1476.97</v>
      </c>
      <c r="F105" s="96">
        <f t="shared" si="41"/>
        <v>93.54</v>
      </c>
      <c r="G105" s="96">
        <f t="shared" si="41"/>
        <v>9334.49</v>
      </c>
      <c r="H105" s="96">
        <f t="shared" si="5"/>
        <v>468412.43</v>
      </c>
      <c r="J105" s="96">
        <f>J85+J91+J102</f>
        <v>457507.43</v>
      </c>
      <c r="K105" s="96">
        <f t="shared" ref="K105:M105" si="44">K85+K91+K102</f>
        <v>1476.97</v>
      </c>
      <c r="L105" s="96">
        <f t="shared" si="44"/>
        <v>93.54</v>
      </c>
      <c r="M105" s="96">
        <f t="shared" si="44"/>
        <v>32.96</v>
      </c>
      <c r="N105" s="96">
        <f t="shared" si="36"/>
        <v>459110.9</v>
      </c>
      <c r="O105" s="63">
        <f t="shared" ref="O105:O125" si="45">N105*1000</f>
        <v>459110900</v>
      </c>
      <c r="P105" s="96">
        <f>P85+P91+P102</f>
        <v>0</v>
      </c>
      <c r="Q105" s="96">
        <f t="shared" ref="Q105:S105" si="46">Q85+Q91+Q102</f>
        <v>0</v>
      </c>
      <c r="R105" s="96">
        <f t="shared" si="46"/>
        <v>0</v>
      </c>
      <c r="S105" s="96">
        <f t="shared" si="46"/>
        <v>9301.5300000000007</v>
      </c>
      <c r="T105" s="96">
        <f t="shared" si="37"/>
        <v>9301.5300000000007</v>
      </c>
      <c r="V105" s="152">
        <f t="shared" ref="V105:V125" si="47">N105+T105-H105</f>
        <v>0</v>
      </c>
    </row>
    <row r="106" spans="1:22" x14ac:dyDescent="0.2">
      <c r="A106" s="302" t="s">
        <v>191</v>
      </c>
      <c r="B106" s="303"/>
      <c r="C106" s="303"/>
      <c r="D106" s="303"/>
      <c r="E106" s="303"/>
      <c r="F106" s="303"/>
      <c r="G106" s="303"/>
      <c r="H106" s="303"/>
      <c r="J106" s="63"/>
      <c r="K106" s="63"/>
      <c r="L106" s="63"/>
      <c r="M106" s="63"/>
      <c r="N106" s="63"/>
      <c r="O106" s="63">
        <f t="shared" si="45"/>
        <v>0</v>
      </c>
      <c r="P106" s="63"/>
      <c r="Q106" s="63"/>
      <c r="R106" s="63"/>
      <c r="S106" s="63"/>
      <c r="T106" s="63"/>
      <c r="V106" s="152">
        <f t="shared" si="47"/>
        <v>0</v>
      </c>
    </row>
    <row r="107" spans="1:22" ht="89.25" x14ac:dyDescent="0.2">
      <c r="A107" s="90">
        <v>20</v>
      </c>
      <c r="B107" s="91" t="s">
        <v>192</v>
      </c>
      <c r="C107" s="91" t="s">
        <v>193</v>
      </c>
      <c r="D107" s="105">
        <f>D104*0.03</f>
        <v>708.59</v>
      </c>
      <c r="E107" s="110"/>
      <c r="F107" s="105">
        <f t="shared" ref="E107:G108" si="48">F104*0.03</f>
        <v>7.87</v>
      </c>
      <c r="G107" s="105">
        <f t="shared" si="48"/>
        <v>337.22</v>
      </c>
      <c r="H107" s="105">
        <f>SUM(D107:G107)</f>
        <v>1053.68</v>
      </c>
      <c r="J107" s="105"/>
      <c r="K107" s="110"/>
      <c r="L107" s="105"/>
      <c r="M107" s="105"/>
      <c r="N107" s="105"/>
      <c r="O107" s="63">
        <f t="shared" si="45"/>
        <v>0</v>
      </c>
      <c r="P107" s="105">
        <v>708.59</v>
      </c>
      <c r="Q107" s="110"/>
      <c r="R107" s="105">
        <v>7.87</v>
      </c>
      <c r="S107" s="105">
        <v>337.22</v>
      </c>
      <c r="T107" s="105">
        <v>1053.68</v>
      </c>
      <c r="V107" s="152">
        <f t="shared" si="47"/>
        <v>0</v>
      </c>
    </row>
    <row r="108" spans="1:22" ht="89.25" x14ac:dyDescent="0.2">
      <c r="A108" s="90">
        <v>21</v>
      </c>
      <c r="B108" s="91" t="s">
        <v>192</v>
      </c>
      <c r="C108" s="91" t="s">
        <v>194</v>
      </c>
      <c r="D108" s="105">
        <f>D105*0.03</f>
        <v>13725.22</v>
      </c>
      <c r="E108" s="105">
        <f t="shared" si="48"/>
        <v>44.31</v>
      </c>
      <c r="F108" s="105">
        <f t="shared" si="48"/>
        <v>2.81</v>
      </c>
      <c r="G108" s="105">
        <f t="shared" si="48"/>
        <v>280.02999999999997</v>
      </c>
      <c r="H108" s="105">
        <f>SUM(D108:G108)</f>
        <v>14052.37</v>
      </c>
      <c r="J108" s="105"/>
      <c r="K108" s="105"/>
      <c r="L108" s="105"/>
      <c r="M108" s="105"/>
      <c r="N108" s="105"/>
      <c r="O108" s="63">
        <f t="shared" si="45"/>
        <v>0</v>
      </c>
      <c r="P108" s="105">
        <v>13725.22</v>
      </c>
      <c r="Q108" s="105">
        <v>44.31</v>
      </c>
      <c r="R108" s="105">
        <v>2.81</v>
      </c>
      <c r="S108" s="105">
        <v>280.02999999999997</v>
      </c>
      <c r="T108" s="105">
        <v>14052.37</v>
      </c>
      <c r="V108" s="152">
        <f t="shared" si="47"/>
        <v>0</v>
      </c>
    </row>
    <row r="109" spans="1:22" x14ac:dyDescent="0.2">
      <c r="A109" s="90"/>
      <c r="B109" s="305" t="s">
        <v>195</v>
      </c>
      <c r="C109" s="306"/>
      <c r="D109" s="106">
        <f>D110+D111</f>
        <v>14433.81</v>
      </c>
      <c r="E109" s="106">
        <f t="shared" ref="E109:G109" si="49">E110+E111</f>
        <v>44.31</v>
      </c>
      <c r="F109" s="106">
        <f t="shared" si="49"/>
        <v>10.68</v>
      </c>
      <c r="G109" s="106">
        <f t="shared" si="49"/>
        <v>617.25</v>
      </c>
      <c r="H109" s="106">
        <f>SUM(D109:G109)</f>
        <v>15106.05</v>
      </c>
      <c r="J109" s="106">
        <f>J110+J111</f>
        <v>0</v>
      </c>
      <c r="K109" s="106">
        <f t="shared" ref="K109:M109" si="50">K110+K111</f>
        <v>0</v>
      </c>
      <c r="L109" s="106">
        <f t="shared" si="50"/>
        <v>0</v>
      </c>
      <c r="M109" s="106">
        <f t="shared" si="50"/>
        <v>0</v>
      </c>
      <c r="N109" s="106">
        <f>SUM(J109:M109)</f>
        <v>0</v>
      </c>
      <c r="O109" s="63">
        <f t="shared" si="45"/>
        <v>0</v>
      </c>
      <c r="P109" s="106">
        <f>P110+P111</f>
        <v>14433.81</v>
      </c>
      <c r="Q109" s="106">
        <f t="shared" ref="Q109:S109" si="51">Q110+Q111</f>
        <v>44.31</v>
      </c>
      <c r="R109" s="106">
        <f t="shared" si="51"/>
        <v>10.68</v>
      </c>
      <c r="S109" s="106">
        <f t="shared" si="51"/>
        <v>617.25</v>
      </c>
      <c r="T109" s="106">
        <f>SUM(P109:S109)</f>
        <v>15106.05</v>
      </c>
      <c r="V109" s="152">
        <f t="shared" si="47"/>
        <v>0</v>
      </c>
    </row>
    <row r="110" spans="1:22" x14ac:dyDescent="0.2">
      <c r="A110" s="95"/>
      <c r="B110" s="305" t="s">
        <v>196</v>
      </c>
      <c r="C110" s="306"/>
      <c r="D110" s="106">
        <f>SUM(D107)</f>
        <v>708.59</v>
      </c>
      <c r="E110" s="111"/>
      <c r="F110" s="106">
        <f>SUM(F107)</f>
        <v>7.87</v>
      </c>
      <c r="G110" s="106">
        <f>SUM(G107)</f>
        <v>337.22</v>
      </c>
      <c r="H110" s="106">
        <f t="shared" ref="H110:H125" si="52">SUM(D110:G110)</f>
        <v>1053.68</v>
      </c>
      <c r="J110" s="106">
        <f>SUM(J107)</f>
        <v>0</v>
      </c>
      <c r="K110" s="111"/>
      <c r="L110" s="106">
        <f>SUM(L107)</f>
        <v>0</v>
      </c>
      <c r="M110" s="106">
        <f>SUM(M107)</f>
        <v>0</v>
      </c>
      <c r="N110" s="106">
        <f t="shared" ref="N110:N111" si="53">SUM(J110:M110)</f>
        <v>0</v>
      </c>
      <c r="O110" s="63">
        <f t="shared" si="45"/>
        <v>0</v>
      </c>
      <c r="P110" s="106">
        <f>SUM(P107)</f>
        <v>708.59</v>
      </c>
      <c r="Q110" s="111"/>
      <c r="R110" s="106">
        <f>SUM(R107)</f>
        <v>7.87</v>
      </c>
      <c r="S110" s="106">
        <f>SUM(S107)</f>
        <v>337.22</v>
      </c>
      <c r="T110" s="106">
        <f t="shared" ref="T110:T111" si="54">SUM(P110:S110)</f>
        <v>1053.68</v>
      </c>
      <c r="V110" s="152">
        <f t="shared" si="47"/>
        <v>0</v>
      </c>
    </row>
    <row r="111" spans="1:22" ht="12.75" customHeight="1" x14ac:dyDescent="0.2">
      <c r="A111" s="95"/>
      <c r="B111" s="305" t="s">
        <v>197</v>
      </c>
      <c r="C111" s="306"/>
      <c r="D111" s="106">
        <f>SUM(D108)</f>
        <v>13725.22</v>
      </c>
      <c r="E111" s="106">
        <f t="shared" ref="E111:G111" si="55">SUM(E108)</f>
        <v>44.31</v>
      </c>
      <c r="F111" s="106">
        <f t="shared" si="55"/>
        <v>2.81</v>
      </c>
      <c r="G111" s="106">
        <f t="shared" si="55"/>
        <v>280.02999999999997</v>
      </c>
      <c r="H111" s="106">
        <f t="shared" si="52"/>
        <v>14052.37</v>
      </c>
      <c r="J111" s="106">
        <f>SUM(J108)</f>
        <v>0</v>
      </c>
      <c r="K111" s="106">
        <f t="shared" ref="K111:M111" si="56">SUM(K108)</f>
        <v>0</v>
      </c>
      <c r="L111" s="106">
        <f t="shared" si="56"/>
        <v>0</v>
      </c>
      <c r="M111" s="106">
        <f t="shared" si="56"/>
        <v>0</v>
      </c>
      <c r="N111" s="106">
        <f t="shared" si="53"/>
        <v>0</v>
      </c>
      <c r="O111" s="63">
        <f t="shared" si="45"/>
        <v>0</v>
      </c>
      <c r="P111" s="106">
        <f>SUM(P108)</f>
        <v>13725.22</v>
      </c>
      <c r="Q111" s="106">
        <f t="shared" ref="Q111:S111" si="57">SUM(Q108)</f>
        <v>44.31</v>
      </c>
      <c r="R111" s="106">
        <f t="shared" si="57"/>
        <v>2.81</v>
      </c>
      <c r="S111" s="106">
        <f t="shared" si="57"/>
        <v>280.02999999999997</v>
      </c>
      <c r="T111" s="106">
        <f t="shared" si="54"/>
        <v>14052.37</v>
      </c>
      <c r="V111" s="152">
        <f t="shared" si="47"/>
        <v>0</v>
      </c>
    </row>
    <row r="112" spans="1:22" x14ac:dyDescent="0.2">
      <c r="A112" s="302" t="s">
        <v>198</v>
      </c>
      <c r="B112" s="303"/>
      <c r="C112" s="303"/>
      <c r="D112" s="303"/>
      <c r="E112" s="303"/>
      <c r="F112" s="303"/>
      <c r="G112" s="303"/>
      <c r="H112" s="303"/>
      <c r="J112" s="63"/>
      <c r="K112" s="63"/>
      <c r="L112" s="63"/>
      <c r="M112" s="63"/>
      <c r="N112" s="63"/>
      <c r="O112" s="63">
        <f t="shared" si="45"/>
        <v>0</v>
      </c>
      <c r="P112" s="63"/>
      <c r="Q112" s="63"/>
      <c r="R112" s="63"/>
      <c r="S112" s="63"/>
      <c r="T112" s="63"/>
      <c r="V112" s="152">
        <f t="shared" si="47"/>
        <v>0</v>
      </c>
    </row>
    <row r="113" spans="1:22" ht="25.5" x14ac:dyDescent="0.2">
      <c r="A113" s="90">
        <v>22</v>
      </c>
      <c r="B113" s="112"/>
      <c r="C113" s="113" t="s">
        <v>199</v>
      </c>
      <c r="D113" s="114">
        <f>D114+D115</f>
        <v>495560.95</v>
      </c>
      <c r="E113" s="114">
        <f t="shared" ref="E113:G113" si="58">E114+E115</f>
        <v>1521.28</v>
      </c>
      <c r="F113" s="114">
        <f t="shared" si="58"/>
        <v>366.44</v>
      </c>
      <c r="G113" s="114">
        <f t="shared" si="58"/>
        <v>21192.26</v>
      </c>
      <c r="H113" s="114">
        <f t="shared" si="52"/>
        <v>518640.93</v>
      </c>
      <c r="J113" s="114">
        <f>J114+J115</f>
        <v>481127.14</v>
      </c>
      <c r="K113" s="114">
        <f t="shared" ref="K113:M113" si="59">K114+K115</f>
        <v>1476.97</v>
      </c>
      <c r="L113" s="114">
        <f t="shared" si="59"/>
        <v>355.76</v>
      </c>
      <c r="M113" s="114">
        <f t="shared" si="59"/>
        <v>6277.31</v>
      </c>
      <c r="N113" s="114">
        <f t="shared" ref="N113:N125" si="60">SUM(J113:M113)</f>
        <v>489237.18</v>
      </c>
      <c r="O113" s="63">
        <f t="shared" si="45"/>
        <v>489237180</v>
      </c>
      <c r="P113" s="114">
        <f>P114+P115</f>
        <v>14433.81</v>
      </c>
      <c r="Q113" s="114">
        <f t="shared" ref="Q113:S113" si="61">Q114+Q115</f>
        <v>44.31</v>
      </c>
      <c r="R113" s="114">
        <f t="shared" si="61"/>
        <v>10.68</v>
      </c>
      <c r="S113" s="114">
        <f t="shared" si="61"/>
        <v>14914.95</v>
      </c>
      <c r="T113" s="114">
        <f t="shared" ref="T113:T125" si="62">SUM(P113:S113)</f>
        <v>29403.75</v>
      </c>
      <c r="V113" s="152">
        <f t="shared" si="47"/>
        <v>0</v>
      </c>
    </row>
    <row r="114" spans="1:22" ht="25.5" x14ac:dyDescent="0.2">
      <c r="A114" s="90">
        <v>23</v>
      </c>
      <c r="B114" s="115"/>
      <c r="C114" s="116" t="s">
        <v>200</v>
      </c>
      <c r="D114" s="96">
        <f>D104+D110</f>
        <v>24328.3</v>
      </c>
      <c r="E114" s="96">
        <f t="shared" ref="E114:G115" si="63">E104+E110</f>
        <v>0</v>
      </c>
      <c r="F114" s="96">
        <f t="shared" si="63"/>
        <v>270.08999999999997</v>
      </c>
      <c r="G114" s="96">
        <f t="shared" si="63"/>
        <v>11577.74</v>
      </c>
      <c r="H114" s="96">
        <f t="shared" si="52"/>
        <v>36176.129999999997</v>
      </c>
      <c r="J114" s="96">
        <f>J104+J110</f>
        <v>23619.71</v>
      </c>
      <c r="K114" s="96">
        <f t="shared" ref="K114:M114" si="64">K104+K110</f>
        <v>0</v>
      </c>
      <c r="L114" s="96">
        <f t="shared" si="64"/>
        <v>262.22000000000003</v>
      </c>
      <c r="M114" s="96">
        <f t="shared" si="64"/>
        <v>6244.35</v>
      </c>
      <c r="N114" s="96">
        <f t="shared" si="60"/>
        <v>30126.28</v>
      </c>
      <c r="O114" s="63">
        <f t="shared" si="45"/>
        <v>30126280</v>
      </c>
      <c r="P114" s="96">
        <f>P104+P110</f>
        <v>708.59</v>
      </c>
      <c r="Q114" s="96">
        <f t="shared" ref="Q114:S114" si="65">Q104+Q110</f>
        <v>0</v>
      </c>
      <c r="R114" s="96">
        <f t="shared" si="65"/>
        <v>7.87</v>
      </c>
      <c r="S114" s="96">
        <f t="shared" si="65"/>
        <v>5333.39</v>
      </c>
      <c r="T114" s="96">
        <f t="shared" si="62"/>
        <v>6049.85</v>
      </c>
      <c r="V114" s="152">
        <f t="shared" si="47"/>
        <v>0</v>
      </c>
    </row>
    <row r="115" spans="1:22" ht="25.5" x14ac:dyDescent="0.2">
      <c r="A115" s="90">
        <v>24</v>
      </c>
      <c r="B115" s="115"/>
      <c r="C115" s="116" t="s">
        <v>201</v>
      </c>
      <c r="D115" s="96">
        <f>D105+D111</f>
        <v>471232.65</v>
      </c>
      <c r="E115" s="96">
        <f t="shared" si="63"/>
        <v>1521.28</v>
      </c>
      <c r="F115" s="96">
        <f t="shared" si="63"/>
        <v>96.35</v>
      </c>
      <c r="G115" s="96">
        <f t="shared" si="63"/>
        <v>9614.52</v>
      </c>
      <c r="H115" s="96">
        <f t="shared" si="52"/>
        <v>482464.8</v>
      </c>
      <c r="J115" s="96">
        <f>J105+J111</f>
        <v>457507.43</v>
      </c>
      <c r="K115" s="96">
        <f t="shared" ref="K115:M115" si="66">K105+K111</f>
        <v>1476.97</v>
      </c>
      <c r="L115" s="96">
        <f t="shared" si="66"/>
        <v>93.54</v>
      </c>
      <c r="M115" s="96">
        <f t="shared" si="66"/>
        <v>32.96</v>
      </c>
      <c r="N115" s="96">
        <f t="shared" si="60"/>
        <v>459110.9</v>
      </c>
      <c r="O115" s="63">
        <f t="shared" si="45"/>
        <v>459110900</v>
      </c>
      <c r="P115" s="96">
        <f>P105+P111</f>
        <v>13725.22</v>
      </c>
      <c r="Q115" s="96">
        <f t="shared" ref="Q115:S115" si="67">Q105+Q111</f>
        <v>44.31</v>
      </c>
      <c r="R115" s="96">
        <f t="shared" si="67"/>
        <v>2.81</v>
      </c>
      <c r="S115" s="96">
        <f t="shared" si="67"/>
        <v>9581.56</v>
      </c>
      <c r="T115" s="96">
        <f t="shared" si="62"/>
        <v>23353.9</v>
      </c>
      <c r="V115" s="152">
        <f t="shared" si="47"/>
        <v>0</v>
      </c>
    </row>
    <row r="116" spans="1:22" x14ac:dyDescent="0.2">
      <c r="A116" s="90">
        <v>25</v>
      </c>
      <c r="B116" s="115"/>
      <c r="C116" s="117" t="s">
        <v>202</v>
      </c>
      <c r="D116" s="92">
        <f>D113*0.2</f>
        <v>99112.19</v>
      </c>
      <c r="E116" s="92">
        <f t="shared" ref="E116:G116" si="68">E113*0.2</f>
        <v>304.26</v>
      </c>
      <c r="F116" s="92">
        <f t="shared" si="68"/>
        <v>73.290000000000006</v>
      </c>
      <c r="G116" s="92">
        <f t="shared" si="68"/>
        <v>4238.45</v>
      </c>
      <c r="H116" s="92">
        <f t="shared" si="52"/>
        <v>103728.19</v>
      </c>
      <c r="J116" s="92">
        <f>J113*0.2</f>
        <v>96225.43</v>
      </c>
      <c r="K116" s="92">
        <f t="shared" ref="K116:M116" si="69">K113*0.2</f>
        <v>295.39</v>
      </c>
      <c r="L116" s="92">
        <f t="shared" si="69"/>
        <v>71.150000000000006</v>
      </c>
      <c r="M116" s="92">
        <f t="shared" si="69"/>
        <v>1255.46</v>
      </c>
      <c r="N116" s="92">
        <f t="shared" si="60"/>
        <v>97847.43</v>
      </c>
      <c r="O116" s="63">
        <f t="shared" si="45"/>
        <v>97847430</v>
      </c>
      <c r="P116" s="92">
        <f>P113*0.2</f>
        <v>2886.76</v>
      </c>
      <c r="Q116" s="92">
        <f t="shared" ref="Q116:S116" si="70">Q113*0.2</f>
        <v>8.86</v>
      </c>
      <c r="R116" s="92">
        <f t="shared" si="70"/>
        <v>2.14</v>
      </c>
      <c r="S116" s="92">
        <f t="shared" si="70"/>
        <v>2982.99</v>
      </c>
      <c r="T116" s="92">
        <f t="shared" si="62"/>
        <v>5880.75</v>
      </c>
      <c r="V116" s="152">
        <f t="shared" si="47"/>
        <v>-0.01</v>
      </c>
    </row>
    <row r="117" spans="1:22" ht="25.5" x14ac:dyDescent="0.2">
      <c r="A117" s="90">
        <v>26</v>
      </c>
      <c r="B117" s="115"/>
      <c r="C117" s="118" t="s">
        <v>203</v>
      </c>
      <c r="D117" s="99">
        <f t="shared" ref="D117:G118" si="71">D114*0.2</f>
        <v>4865.66</v>
      </c>
      <c r="E117" s="99">
        <f t="shared" si="71"/>
        <v>0</v>
      </c>
      <c r="F117" s="99">
        <f t="shared" si="71"/>
        <v>54.02</v>
      </c>
      <c r="G117" s="99">
        <f t="shared" si="71"/>
        <v>2315.5500000000002</v>
      </c>
      <c r="H117" s="99">
        <f t="shared" si="52"/>
        <v>7235.23</v>
      </c>
      <c r="J117" s="99">
        <f t="shared" ref="J117:M117" si="72">J114*0.2</f>
        <v>4723.9399999999996</v>
      </c>
      <c r="K117" s="99">
        <f t="shared" si="72"/>
        <v>0</v>
      </c>
      <c r="L117" s="99">
        <f t="shared" si="72"/>
        <v>52.44</v>
      </c>
      <c r="M117" s="99">
        <f t="shared" si="72"/>
        <v>1248.8699999999999</v>
      </c>
      <c r="N117" s="99">
        <f t="shared" si="60"/>
        <v>6025.25</v>
      </c>
      <c r="O117" s="63">
        <f t="shared" si="45"/>
        <v>6025250</v>
      </c>
      <c r="P117" s="99">
        <f t="shared" ref="P117:S117" si="73">P114*0.2</f>
        <v>141.72</v>
      </c>
      <c r="Q117" s="99">
        <f t="shared" si="73"/>
        <v>0</v>
      </c>
      <c r="R117" s="99">
        <f t="shared" si="73"/>
        <v>1.57</v>
      </c>
      <c r="S117" s="99">
        <f t="shared" si="73"/>
        <v>1066.68</v>
      </c>
      <c r="T117" s="99">
        <f t="shared" si="62"/>
        <v>1209.97</v>
      </c>
      <c r="V117" s="152">
        <f t="shared" si="47"/>
        <v>-0.01</v>
      </c>
    </row>
    <row r="118" spans="1:22" ht="25.5" x14ac:dyDescent="0.2">
      <c r="A118" s="90">
        <v>27</v>
      </c>
      <c r="B118" s="115"/>
      <c r="C118" s="118" t="s">
        <v>204</v>
      </c>
      <c r="D118" s="99">
        <f t="shared" si="71"/>
        <v>94246.53</v>
      </c>
      <c r="E118" s="99">
        <f t="shared" si="71"/>
        <v>304.26</v>
      </c>
      <c r="F118" s="99">
        <f t="shared" si="71"/>
        <v>19.27</v>
      </c>
      <c r="G118" s="99">
        <f t="shared" si="71"/>
        <v>1922.9</v>
      </c>
      <c r="H118" s="99">
        <f t="shared" si="52"/>
        <v>96492.96</v>
      </c>
      <c r="J118" s="99">
        <f t="shared" ref="J118:M118" si="74">J115*0.2</f>
        <v>91501.49</v>
      </c>
      <c r="K118" s="99">
        <f t="shared" si="74"/>
        <v>295.39</v>
      </c>
      <c r="L118" s="99">
        <f t="shared" si="74"/>
        <v>18.71</v>
      </c>
      <c r="M118" s="99">
        <f t="shared" si="74"/>
        <v>6.59</v>
      </c>
      <c r="N118" s="99">
        <f t="shared" si="60"/>
        <v>91822.18</v>
      </c>
      <c r="O118" s="63">
        <f t="shared" si="45"/>
        <v>91822180</v>
      </c>
      <c r="P118" s="99">
        <f t="shared" ref="P118:S118" si="75">P115*0.2</f>
        <v>2745.04</v>
      </c>
      <c r="Q118" s="99">
        <f t="shared" si="75"/>
        <v>8.86</v>
      </c>
      <c r="R118" s="99">
        <f t="shared" si="75"/>
        <v>0.56000000000000005</v>
      </c>
      <c r="S118" s="99">
        <f t="shared" si="75"/>
        <v>1916.31</v>
      </c>
      <c r="T118" s="99">
        <f t="shared" si="62"/>
        <v>4670.7700000000004</v>
      </c>
      <c r="V118" s="152">
        <f t="shared" si="47"/>
        <v>-0.01</v>
      </c>
    </row>
    <row r="119" spans="1:22" ht="25.5" x14ac:dyDescent="0.2">
      <c r="A119" s="90">
        <v>28</v>
      </c>
      <c r="B119" s="115"/>
      <c r="C119" s="113" t="s">
        <v>205</v>
      </c>
      <c r="D119" s="94">
        <f>D113+D116</f>
        <v>594673.14</v>
      </c>
      <c r="E119" s="94">
        <f t="shared" ref="E119:G120" si="76">E113+E116</f>
        <v>1825.54</v>
      </c>
      <c r="F119" s="94">
        <f t="shared" si="76"/>
        <v>439.73</v>
      </c>
      <c r="G119" s="94">
        <f t="shared" si="76"/>
        <v>25430.71</v>
      </c>
      <c r="H119" s="96">
        <f t="shared" si="52"/>
        <v>622369.12</v>
      </c>
      <c r="J119" s="94">
        <f>J113+J116</f>
        <v>577352.56999999995</v>
      </c>
      <c r="K119" s="94">
        <f t="shared" ref="K119:M119" si="77">K113+K116</f>
        <v>1772.36</v>
      </c>
      <c r="L119" s="94">
        <f t="shared" si="77"/>
        <v>426.91</v>
      </c>
      <c r="M119" s="94">
        <f t="shared" si="77"/>
        <v>7532.77</v>
      </c>
      <c r="N119" s="96">
        <f t="shared" si="60"/>
        <v>587084.61</v>
      </c>
      <c r="O119" s="63">
        <f t="shared" si="45"/>
        <v>587084610</v>
      </c>
      <c r="P119" s="94">
        <f>P113+P116</f>
        <v>17320.57</v>
      </c>
      <c r="Q119" s="94">
        <f t="shared" ref="Q119:S119" si="78">Q113+Q116</f>
        <v>53.17</v>
      </c>
      <c r="R119" s="94">
        <f t="shared" si="78"/>
        <v>12.82</v>
      </c>
      <c r="S119" s="94">
        <f t="shared" si="78"/>
        <v>17897.939999999999</v>
      </c>
      <c r="T119" s="96">
        <f t="shared" si="62"/>
        <v>35284.5</v>
      </c>
      <c r="V119" s="152">
        <f t="shared" si="47"/>
        <v>-0.01</v>
      </c>
    </row>
    <row r="120" spans="1:22" ht="25.5" x14ac:dyDescent="0.2">
      <c r="A120" s="90">
        <v>29</v>
      </c>
      <c r="B120" s="115"/>
      <c r="C120" s="116" t="s">
        <v>206</v>
      </c>
      <c r="D120" s="94">
        <f>D114+D117</f>
        <v>29193.96</v>
      </c>
      <c r="E120" s="94">
        <f t="shared" si="76"/>
        <v>0</v>
      </c>
      <c r="F120" s="94">
        <f t="shared" si="76"/>
        <v>324.11</v>
      </c>
      <c r="G120" s="94">
        <f t="shared" si="76"/>
        <v>13893.29</v>
      </c>
      <c r="H120" s="96">
        <f t="shared" si="52"/>
        <v>43411.360000000001</v>
      </c>
      <c r="J120" s="94">
        <f>J114+J117</f>
        <v>28343.65</v>
      </c>
      <c r="K120" s="94">
        <f t="shared" ref="K120:M120" si="79">K114+K117</f>
        <v>0</v>
      </c>
      <c r="L120" s="94">
        <f t="shared" si="79"/>
        <v>314.66000000000003</v>
      </c>
      <c r="M120" s="94">
        <f t="shared" si="79"/>
        <v>7493.22</v>
      </c>
      <c r="N120" s="96">
        <f t="shared" si="60"/>
        <v>36151.53</v>
      </c>
      <c r="O120" s="63">
        <f t="shared" si="45"/>
        <v>36151530</v>
      </c>
      <c r="P120" s="94">
        <f>P114+P117</f>
        <v>850.31</v>
      </c>
      <c r="Q120" s="94">
        <f t="shared" ref="Q120:S120" si="80">Q114+Q117</f>
        <v>0</v>
      </c>
      <c r="R120" s="94">
        <f t="shared" si="80"/>
        <v>9.44</v>
      </c>
      <c r="S120" s="94">
        <f t="shared" si="80"/>
        <v>6400.07</v>
      </c>
      <c r="T120" s="96">
        <f t="shared" si="62"/>
        <v>7259.82</v>
      </c>
      <c r="V120" s="152">
        <f t="shared" si="47"/>
        <v>-0.01</v>
      </c>
    </row>
    <row r="121" spans="1:22" ht="25.5" x14ac:dyDescent="0.2">
      <c r="A121" s="90">
        <v>30</v>
      </c>
      <c r="B121" s="115"/>
      <c r="C121" s="116" t="s">
        <v>207</v>
      </c>
      <c r="D121" s="94">
        <f t="shared" ref="D121:G121" si="81">D115+D118</f>
        <v>565479.18000000005</v>
      </c>
      <c r="E121" s="94">
        <f t="shared" si="81"/>
        <v>1825.54</v>
      </c>
      <c r="F121" s="94">
        <f t="shared" si="81"/>
        <v>115.62</v>
      </c>
      <c r="G121" s="94">
        <f t="shared" si="81"/>
        <v>11537.42</v>
      </c>
      <c r="H121" s="96">
        <f t="shared" si="52"/>
        <v>578957.76</v>
      </c>
      <c r="J121" s="94">
        <f t="shared" ref="J121:M121" si="82">J115+J118</f>
        <v>549008.92000000004</v>
      </c>
      <c r="K121" s="94">
        <f t="shared" si="82"/>
        <v>1772.36</v>
      </c>
      <c r="L121" s="94">
        <f t="shared" si="82"/>
        <v>112.25</v>
      </c>
      <c r="M121" s="94">
        <f t="shared" si="82"/>
        <v>39.549999999999997</v>
      </c>
      <c r="N121" s="96">
        <f t="shared" si="60"/>
        <v>550933.07999999996</v>
      </c>
      <c r="O121" s="63">
        <f t="shared" si="45"/>
        <v>550933080</v>
      </c>
      <c r="P121" s="94">
        <f t="shared" ref="P121:S121" si="83">P115+P118</f>
        <v>16470.259999999998</v>
      </c>
      <c r="Q121" s="94">
        <f t="shared" si="83"/>
        <v>53.17</v>
      </c>
      <c r="R121" s="94">
        <f t="shared" si="83"/>
        <v>3.37</v>
      </c>
      <c r="S121" s="94">
        <f t="shared" si="83"/>
        <v>11497.87</v>
      </c>
      <c r="T121" s="96">
        <f t="shared" si="62"/>
        <v>28024.67</v>
      </c>
      <c r="V121" s="152">
        <f t="shared" si="47"/>
        <v>-0.01</v>
      </c>
    </row>
    <row r="122" spans="1:22" ht="25.5" x14ac:dyDescent="0.2">
      <c r="A122" s="90">
        <v>31</v>
      </c>
      <c r="B122" s="115"/>
      <c r="C122" s="91" t="s">
        <v>208</v>
      </c>
      <c r="D122" s="93"/>
      <c r="E122" s="93"/>
      <c r="F122" s="93"/>
      <c r="G122" s="93">
        <f>G93+G94</f>
        <v>9664.14</v>
      </c>
      <c r="H122" s="93">
        <f t="shared" si="52"/>
        <v>9664.14</v>
      </c>
      <c r="J122" s="93"/>
      <c r="K122" s="93"/>
      <c r="L122" s="93"/>
      <c r="M122" s="93">
        <f>M93+M94</f>
        <v>6226</v>
      </c>
      <c r="N122" s="93">
        <f t="shared" si="60"/>
        <v>6226</v>
      </c>
      <c r="O122" s="63">
        <f t="shared" si="45"/>
        <v>6226000</v>
      </c>
      <c r="P122" s="93"/>
      <c r="Q122" s="93"/>
      <c r="R122" s="93"/>
      <c r="S122" s="93">
        <f>S93+S94</f>
        <v>3438.14</v>
      </c>
      <c r="T122" s="93">
        <f t="shared" si="62"/>
        <v>3438.14</v>
      </c>
      <c r="V122" s="152">
        <f t="shared" si="47"/>
        <v>0</v>
      </c>
    </row>
    <row r="123" spans="1:22" x14ac:dyDescent="0.2">
      <c r="A123" s="90">
        <v>32</v>
      </c>
      <c r="B123" s="115"/>
      <c r="C123" s="98" t="s">
        <v>209</v>
      </c>
      <c r="D123" s="119">
        <f>D124+D125</f>
        <v>1947.08</v>
      </c>
      <c r="E123" s="119">
        <f t="shared" ref="E123" si="84">E124+E125</f>
        <v>5.98</v>
      </c>
      <c r="F123" s="119"/>
      <c r="G123" s="119"/>
      <c r="H123" s="119">
        <f t="shared" si="52"/>
        <v>1953.06</v>
      </c>
      <c r="J123" s="119">
        <f>J124+J125</f>
        <v>1947.08</v>
      </c>
      <c r="K123" s="119">
        <f t="shared" ref="K123" si="85">K124+K125</f>
        <v>5.98</v>
      </c>
      <c r="L123" s="119"/>
      <c r="M123" s="119"/>
      <c r="N123" s="119">
        <f t="shared" si="60"/>
        <v>1953.06</v>
      </c>
      <c r="O123" s="63">
        <f t="shared" si="45"/>
        <v>1953060</v>
      </c>
      <c r="P123" s="119">
        <f>P124+P125</f>
        <v>0</v>
      </c>
      <c r="Q123" s="119">
        <f t="shared" ref="Q123" si="86">Q124+Q125</f>
        <v>0</v>
      </c>
      <c r="R123" s="119"/>
      <c r="S123" s="119"/>
      <c r="T123" s="119">
        <f t="shared" si="62"/>
        <v>0</v>
      </c>
      <c r="V123" s="152">
        <f t="shared" si="47"/>
        <v>0</v>
      </c>
    </row>
    <row r="124" spans="1:22" x14ac:dyDescent="0.2">
      <c r="A124" s="90">
        <v>33</v>
      </c>
      <c r="B124" s="115"/>
      <c r="C124" s="98" t="s">
        <v>210</v>
      </c>
      <c r="D124" s="119">
        <f>D65*1.2</f>
        <v>95.59</v>
      </c>
      <c r="E124" s="119"/>
      <c r="F124" s="119"/>
      <c r="G124" s="119"/>
      <c r="H124" s="119">
        <f t="shared" si="52"/>
        <v>95.59</v>
      </c>
      <c r="J124" s="119">
        <f>J65*1.2</f>
        <v>95.59</v>
      </c>
      <c r="K124" s="119"/>
      <c r="L124" s="119"/>
      <c r="M124" s="119"/>
      <c r="N124" s="119">
        <f t="shared" si="60"/>
        <v>95.59</v>
      </c>
      <c r="O124" s="63">
        <f t="shared" si="45"/>
        <v>95590</v>
      </c>
      <c r="P124" s="119">
        <f>P65*1.2</f>
        <v>0</v>
      </c>
      <c r="Q124" s="119"/>
      <c r="R124" s="119"/>
      <c r="S124" s="119"/>
      <c r="T124" s="119">
        <f t="shared" si="62"/>
        <v>0</v>
      </c>
      <c r="V124" s="152">
        <f t="shared" si="47"/>
        <v>0</v>
      </c>
    </row>
    <row r="125" spans="1:22" x14ac:dyDescent="0.2">
      <c r="A125" s="90">
        <v>34</v>
      </c>
      <c r="B125" s="115"/>
      <c r="C125" s="98" t="s">
        <v>211</v>
      </c>
      <c r="D125" s="119">
        <f>D67*1.2</f>
        <v>1851.49</v>
      </c>
      <c r="E125" s="119">
        <f>E67*1.2</f>
        <v>5.98</v>
      </c>
      <c r="F125" s="119"/>
      <c r="G125" s="119"/>
      <c r="H125" s="119">
        <f t="shared" si="52"/>
        <v>1857.47</v>
      </c>
      <c r="J125" s="119">
        <f>J67*1.2</f>
        <v>1851.49</v>
      </c>
      <c r="K125" s="119">
        <f>K67*1.2</f>
        <v>5.98</v>
      </c>
      <c r="L125" s="119"/>
      <c r="M125" s="119"/>
      <c r="N125" s="119">
        <f t="shared" si="60"/>
        <v>1857.47</v>
      </c>
      <c r="O125" s="63">
        <f t="shared" si="45"/>
        <v>1857470</v>
      </c>
      <c r="P125" s="119">
        <f>P67*1.2</f>
        <v>0</v>
      </c>
      <c r="Q125" s="119">
        <f>Q67*1.2</f>
        <v>0</v>
      </c>
      <c r="R125" s="119"/>
      <c r="S125" s="119"/>
      <c r="T125" s="119">
        <f t="shared" si="62"/>
        <v>0</v>
      </c>
      <c r="V125" s="152">
        <f t="shared" si="47"/>
        <v>0</v>
      </c>
    </row>
    <row r="126" spans="1:22" x14ac:dyDescent="0.2">
      <c r="A126" s="120"/>
      <c r="B126" s="121"/>
      <c r="C126" s="122"/>
      <c r="D126" s="123"/>
      <c r="E126" s="123"/>
      <c r="F126" s="123"/>
      <c r="G126" s="123"/>
      <c r="H126" s="123"/>
      <c r="J126" s="123"/>
      <c r="K126" s="123"/>
      <c r="L126" s="123"/>
      <c r="M126" s="123"/>
      <c r="N126" s="123"/>
      <c r="P126" s="123"/>
      <c r="Q126" s="123"/>
      <c r="R126" s="123"/>
      <c r="S126" s="123"/>
      <c r="T126" s="123"/>
    </row>
    <row r="127" spans="1:22" x14ac:dyDescent="0.2">
      <c r="A127" s="120"/>
      <c r="B127" s="121"/>
      <c r="C127" s="122"/>
      <c r="D127" s="123"/>
      <c r="E127" s="123"/>
      <c r="F127" s="123"/>
      <c r="G127" s="123"/>
      <c r="H127" s="123"/>
      <c r="J127" s="123"/>
      <c r="K127" s="123"/>
      <c r="L127" s="123"/>
      <c r="M127" s="123"/>
      <c r="N127" s="123"/>
      <c r="P127" s="123"/>
      <c r="Q127" s="123"/>
      <c r="R127" s="123"/>
      <c r="S127" s="123"/>
      <c r="T127" s="123"/>
    </row>
    <row r="128" spans="1:22" x14ac:dyDescent="0.2">
      <c r="A128" s="124"/>
      <c r="B128" s="124"/>
      <c r="C128" s="124" t="s">
        <v>212</v>
      </c>
      <c r="D128" s="125"/>
      <c r="E128" s="125"/>
      <c r="F128" s="124" t="s">
        <v>213</v>
      </c>
      <c r="G128" s="124"/>
      <c r="H128" s="124" t="s">
        <v>247</v>
      </c>
      <c r="J128" s="163">
        <f>J119-J123</f>
        <v>575405.49</v>
      </c>
      <c r="K128" s="163">
        <f>K119-K123</f>
        <v>1766.38</v>
      </c>
      <c r="L128" s="163">
        <f>L119-L123</f>
        <v>426.91</v>
      </c>
      <c r="M128" s="163">
        <f>M119-M123</f>
        <v>7532.77</v>
      </c>
      <c r="N128" s="163">
        <f>J128+K128+L128+M128</f>
        <v>585131.55000000005</v>
      </c>
      <c r="O128" s="137"/>
      <c r="P128" s="153"/>
      <c r="Q128" s="153"/>
      <c r="R128" s="153"/>
      <c r="S128" s="124"/>
      <c r="T128" s="124"/>
    </row>
    <row r="129" spans="1:20" x14ac:dyDescent="0.2">
      <c r="A129" s="124"/>
      <c r="B129" s="124"/>
      <c r="C129" s="124"/>
      <c r="D129" s="307" t="s">
        <v>28</v>
      </c>
      <c r="E129" s="307"/>
      <c r="F129" s="124"/>
      <c r="G129" s="124"/>
      <c r="H129" s="124"/>
      <c r="J129" s="311"/>
      <c r="K129" s="311"/>
      <c r="L129" s="153"/>
      <c r="M129" s="153"/>
      <c r="N129" s="163"/>
      <c r="O129" s="137"/>
      <c r="P129" s="311"/>
      <c r="Q129" s="311"/>
      <c r="R129" s="153"/>
      <c r="S129" s="124"/>
      <c r="T129" s="124"/>
    </row>
    <row r="130" spans="1:20" x14ac:dyDescent="0.2">
      <c r="A130" s="124"/>
      <c r="B130" s="124"/>
      <c r="C130" s="126"/>
      <c r="D130" s="126"/>
      <c r="E130" s="126"/>
      <c r="F130" s="126"/>
      <c r="G130" s="126"/>
      <c r="H130" s="124"/>
      <c r="J130" s="154"/>
      <c r="K130" s="154"/>
      <c r="L130" s="154"/>
      <c r="M130" s="154"/>
      <c r="N130" s="163"/>
      <c r="O130" s="137"/>
      <c r="P130" s="154"/>
      <c r="Q130" s="154"/>
      <c r="R130" s="154"/>
      <c r="S130" s="126"/>
      <c r="T130" s="124"/>
    </row>
    <row r="131" spans="1:20" x14ac:dyDescent="0.2">
      <c r="A131" s="124"/>
      <c r="B131" s="124"/>
      <c r="C131" s="124" t="s">
        <v>214</v>
      </c>
      <c r="D131" s="125"/>
      <c r="E131" s="125"/>
      <c r="F131" s="124" t="s">
        <v>215</v>
      </c>
      <c r="G131" s="124"/>
      <c r="H131" s="124"/>
      <c r="J131" s="153"/>
      <c r="K131" s="153"/>
      <c r="L131" s="153"/>
      <c r="M131" s="153"/>
      <c r="N131" s="153"/>
      <c r="O131" s="137"/>
      <c r="P131" s="153"/>
      <c r="Q131" s="153"/>
      <c r="R131" s="153"/>
      <c r="S131" s="124"/>
      <c r="T131" s="124"/>
    </row>
    <row r="132" spans="1:20" x14ac:dyDescent="0.2">
      <c r="A132" s="124"/>
      <c r="B132" s="124"/>
      <c r="C132" s="124"/>
      <c r="D132" s="308" t="s">
        <v>28</v>
      </c>
      <c r="E132" s="308"/>
      <c r="F132" s="124"/>
      <c r="G132" s="124"/>
      <c r="H132" s="124"/>
      <c r="J132" s="312"/>
      <c r="K132" s="312"/>
      <c r="L132" s="153"/>
      <c r="M132" s="153"/>
      <c r="N132" s="153"/>
      <c r="O132" s="137"/>
      <c r="P132" s="312"/>
      <c r="Q132" s="312"/>
      <c r="R132" s="153"/>
      <c r="S132" s="124"/>
      <c r="T132" s="124"/>
    </row>
    <row r="133" spans="1:20" x14ac:dyDescent="0.2">
      <c r="A133" s="124"/>
      <c r="B133" s="124"/>
      <c r="C133" s="126"/>
      <c r="D133" s="126"/>
      <c r="E133" s="126"/>
      <c r="F133" s="126"/>
      <c r="G133" s="126"/>
      <c r="H133" s="124"/>
      <c r="J133" s="154"/>
      <c r="K133" s="154"/>
      <c r="L133" s="154"/>
      <c r="M133" s="154"/>
      <c r="N133" s="153"/>
      <c r="O133" s="137"/>
      <c r="P133" s="154"/>
      <c r="Q133" s="154"/>
      <c r="R133" s="154"/>
      <c r="S133" s="126"/>
      <c r="T133" s="124"/>
    </row>
    <row r="134" spans="1:20" ht="58.15" customHeight="1" x14ac:dyDescent="0.2">
      <c r="A134" s="124"/>
      <c r="B134" s="124"/>
      <c r="C134" s="127" t="s">
        <v>216</v>
      </c>
      <c r="D134" s="124"/>
      <c r="E134" s="124"/>
      <c r="F134" s="124" t="s">
        <v>217</v>
      </c>
      <c r="G134" s="124"/>
      <c r="H134" s="124"/>
      <c r="J134" s="153"/>
      <c r="K134" s="153"/>
      <c r="L134" s="153"/>
      <c r="M134" s="153"/>
      <c r="N134" s="163"/>
      <c r="O134" s="137"/>
      <c r="P134" s="153"/>
      <c r="Q134" s="153"/>
      <c r="R134" s="153"/>
      <c r="S134" s="124"/>
      <c r="T134" s="124"/>
    </row>
    <row r="135" spans="1:20" ht="29.45" customHeight="1" x14ac:dyDescent="0.2">
      <c r="A135" s="124"/>
      <c r="B135" s="124"/>
      <c r="C135" s="127"/>
      <c r="D135" s="309" t="s">
        <v>218</v>
      </c>
      <c r="E135" s="309"/>
      <c r="F135" s="127"/>
      <c r="G135" s="127"/>
      <c r="H135" s="124"/>
      <c r="J135" s="313"/>
      <c r="K135" s="313"/>
      <c r="L135" s="155"/>
      <c r="M135" s="155"/>
      <c r="N135" s="153"/>
      <c r="O135" s="137"/>
      <c r="P135" s="313"/>
      <c r="Q135" s="313"/>
      <c r="R135" s="155"/>
      <c r="S135" s="127"/>
      <c r="T135" s="124"/>
    </row>
    <row r="136" spans="1:20" ht="76.5" x14ac:dyDescent="0.2">
      <c r="A136" s="124"/>
      <c r="B136" s="124"/>
      <c r="C136" s="127" t="s">
        <v>219</v>
      </c>
      <c r="D136" s="125"/>
      <c r="E136" s="125"/>
      <c r="F136" s="124" t="s">
        <v>220</v>
      </c>
      <c r="G136" s="124"/>
      <c r="H136" s="124"/>
      <c r="J136" s="153"/>
      <c r="K136" s="153"/>
      <c r="L136" s="153"/>
      <c r="M136" s="153"/>
      <c r="N136" s="153"/>
      <c r="O136" s="137"/>
      <c r="P136" s="153"/>
      <c r="Q136" s="153"/>
      <c r="R136" s="153"/>
      <c r="S136" s="124"/>
      <c r="T136" s="124"/>
    </row>
    <row r="137" spans="1:20" ht="36" customHeight="1" x14ac:dyDescent="0.2">
      <c r="A137" s="128"/>
      <c r="B137" s="128"/>
      <c r="C137" s="128"/>
      <c r="D137" s="310" t="s">
        <v>218</v>
      </c>
      <c r="E137" s="310"/>
      <c r="F137" s="128"/>
      <c r="G137" s="128"/>
      <c r="H137" s="128"/>
      <c r="J137" s="314"/>
      <c r="K137" s="314"/>
      <c r="L137" s="156"/>
      <c r="M137" s="156"/>
      <c r="N137" s="156"/>
      <c r="O137" s="137"/>
      <c r="P137" s="314"/>
      <c r="Q137" s="314"/>
      <c r="R137" s="156"/>
      <c r="S137" s="128"/>
      <c r="T137" s="128"/>
    </row>
    <row r="138" spans="1:20" x14ac:dyDescent="0.2">
      <c r="A138" s="129"/>
      <c r="B138" s="130"/>
      <c r="C138" s="130"/>
      <c r="D138" s="130"/>
      <c r="E138" s="130"/>
      <c r="F138" s="130"/>
      <c r="G138" s="130"/>
      <c r="H138" s="130"/>
      <c r="J138" s="130"/>
      <c r="K138" s="130"/>
      <c r="L138" s="130"/>
      <c r="M138" s="130"/>
      <c r="N138" s="130"/>
      <c r="P138" s="130"/>
      <c r="Q138" s="130"/>
      <c r="R138" s="130"/>
      <c r="S138" s="130"/>
      <c r="T138" s="130"/>
    </row>
    <row r="140" spans="1:20" x14ac:dyDescent="0.2">
      <c r="D140" s="62">
        <v>594673.14</v>
      </c>
      <c r="E140" s="62">
        <v>1825.54</v>
      </c>
      <c r="F140" s="62">
        <v>439.73</v>
      </c>
      <c r="G140" s="62">
        <v>25430.71</v>
      </c>
      <c r="H140" s="62">
        <v>622369.12</v>
      </c>
    </row>
    <row r="141" spans="1:20" x14ac:dyDescent="0.2">
      <c r="D141" s="62">
        <v>29193.96</v>
      </c>
      <c r="E141" s="62">
        <v>0</v>
      </c>
      <c r="F141" s="62">
        <v>324.11</v>
      </c>
      <c r="G141" s="62">
        <v>13893.29</v>
      </c>
      <c r="H141" s="62">
        <v>43411.360000000001</v>
      </c>
    </row>
    <row r="142" spans="1:20" x14ac:dyDescent="0.2">
      <c r="D142" s="62">
        <v>565479.18000000005</v>
      </c>
      <c r="E142" s="62">
        <v>1825.54</v>
      </c>
      <c r="F142" s="62">
        <v>115.62</v>
      </c>
      <c r="G142" s="62">
        <v>11537.42</v>
      </c>
      <c r="H142" s="62">
        <v>578957.76</v>
      </c>
    </row>
    <row r="143" spans="1:20" x14ac:dyDescent="0.2">
      <c r="D143" s="62" t="b">
        <f>D119=D140</f>
        <v>1</v>
      </c>
      <c r="E143" s="62" t="b">
        <f t="shared" ref="E143:H143" si="87">E119=E140</f>
        <v>1</v>
      </c>
      <c r="F143" s="62" t="b">
        <f t="shared" si="87"/>
        <v>1</v>
      </c>
      <c r="G143" s="62" t="b">
        <f t="shared" si="87"/>
        <v>1</v>
      </c>
      <c r="H143" s="62" t="b">
        <f t="shared" si="87"/>
        <v>1</v>
      </c>
    </row>
    <row r="144" spans="1:20" x14ac:dyDescent="0.2">
      <c r="D144" s="62" t="b">
        <f t="shared" ref="D144:H145" si="88">D120=D141</f>
        <v>1</v>
      </c>
      <c r="E144" s="62" t="b">
        <f t="shared" si="88"/>
        <v>1</v>
      </c>
      <c r="F144" s="62" t="b">
        <f t="shared" si="88"/>
        <v>1</v>
      </c>
      <c r="G144" s="62" t="b">
        <f t="shared" si="88"/>
        <v>1</v>
      </c>
      <c r="H144" s="62" t="b">
        <f t="shared" si="88"/>
        <v>1</v>
      </c>
      <c r="J144" s="62">
        <f>J72-J64*0.15</f>
        <v>23540.054</v>
      </c>
      <c r="K144" s="62">
        <f>K72-K64*0.15</f>
        <v>0</v>
      </c>
      <c r="L144" s="171">
        <f>L72</f>
        <v>262.22000000000003</v>
      </c>
      <c r="M144" s="171">
        <f>M72</f>
        <v>18.29</v>
      </c>
      <c r="N144" s="171">
        <f>J144+K144+L144+M144</f>
        <v>23820.560000000001</v>
      </c>
    </row>
    <row r="145" spans="4:14" x14ac:dyDescent="0.2">
      <c r="D145" s="62" t="b">
        <f t="shared" si="88"/>
        <v>1</v>
      </c>
      <c r="E145" s="62" t="b">
        <f t="shared" si="88"/>
        <v>1</v>
      </c>
      <c r="F145" s="62" t="b">
        <f t="shared" si="88"/>
        <v>1</v>
      </c>
      <c r="G145" s="62" t="b">
        <f t="shared" si="88"/>
        <v>1</v>
      </c>
      <c r="H145" s="62" t="b">
        <f t="shared" si="88"/>
        <v>1</v>
      </c>
      <c r="J145" s="62">
        <f>J73-J66*0.15</f>
        <v>455964.51650000003</v>
      </c>
      <c r="K145" s="62">
        <f>K73-K66*0.15</f>
        <v>1471.9884999999999</v>
      </c>
      <c r="L145" s="171">
        <f>L73</f>
        <v>93.54</v>
      </c>
      <c r="M145" s="171">
        <f>M73</f>
        <v>32.96</v>
      </c>
      <c r="N145" s="171">
        <f>M145+L145+K145+J145</f>
        <v>457563.01</v>
      </c>
    </row>
  </sheetData>
  <mergeCells count="78">
    <mergeCell ref="P129:Q129"/>
    <mergeCell ref="P132:Q132"/>
    <mergeCell ref="P135:Q135"/>
    <mergeCell ref="P137:Q137"/>
    <mergeCell ref="M35:M37"/>
    <mergeCell ref="P33:T33"/>
    <mergeCell ref="P34:S34"/>
    <mergeCell ref="T34:T37"/>
    <mergeCell ref="P35:P37"/>
    <mergeCell ref="Q35:Q37"/>
    <mergeCell ref="R35:R37"/>
    <mergeCell ref="S35:S37"/>
    <mergeCell ref="J129:K129"/>
    <mergeCell ref="J132:K132"/>
    <mergeCell ref="J135:K135"/>
    <mergeCell ref="J137:K137"/>
    <mergeCell ref="J33:N33"/>
    <mergeCell ref="J34:M34"/>
    <mergeCell ref="N34:N37"/>
    <mergeCell ref="J35:J37"/>
    <mergeCell ref="K35:K37"/>
    <mergeCell ref="L35:L37"/>
    <mergeCell ref="D129:E129"/>
    <mergeCell ref="D132:E132"/>
    <mergeCell ref="D135:E135"/>
    <mergeCell ref="D137:E137"/>
    <mergeCell ref="B105:C105"/>
    <mergeCell ref="A106:H106"/>
    <mergeCell ref="B109:C109"/>
    <mergeCell ref="B110:C110"/>
    <mergeCell ref="B111:C111"/>
    <mergeCell ref="A112:H112"/>
    <mergeCell ref="B104:C104"/>
    <mergeCell ref="B84:C84"/>
    <mergeCell ref="B85:C85"/>
    <mergeCell ref="A86:H86"/>
    <mergeCell ref="B89:C89"/>
    <mergeCell ref="B90:C90"/>
    <mergeCell ref="B91:C91"/>
    <mergeCell ref="A92:H92"/>
    <mergeCell ref="B100:C100"/>
    <mergeCell ref="B101:C101"/>
    <mergeCell ref="B102:C102"/>
    <mergeCell ref="B103:C103"/>
    <mergeCell ref="B83:C83"/>
    <mergeCell ref="A63:H63"/>
    <mergeCell ref="B68:C68"/>
    <mergeCell ref="B69:C69"/>
    <mergeCell ref="B70:C70"/>
    <mergeCell ref="B71:C71"/>
    <mergeCell ref="B72:C72"/>
    <mergeCell ref="B73:C73"/>
    <mergeCell ref="A74:H74"/>
    <mergeCell ref="B80:C80"/>
    <mergeCell ref="B81:C81"/>
    <mergeCell ref="B82:C82"/>
    <mergeCell ref="B62:C62"/>
    <mergeCell ref="F35:F37"/>
    <mergeCell ref="G35:G37"/>
    <mergeCell ref="A39:H39"/>
    <mergeCell ref="B42:C42"/>
    <mergeCell ref="B43:C43"/>
    <mergeCell ref="B44:C44"/>
    <mergeCell ref="B57:C57"/>
    <mergeCell ref="B58:C58"/>
    <mergeCell ref="B59:C59"/>
    <mergeCell ref="B60:C60"/>
    <mergeCell ref="B61:C61"/>
    <mergeCell ref="C11:G11"/>
    <mergeCell ref="A26:H26"/>
    <mergeCell ref="B28:H28"/>
    <mergeCell ref="A34:A37"/>
    <mergeCell ref="B34:B37"/>
    <mergeCell ref="C34:C37"/>
    <mergeCell ref="D34:G34"/>
    <mergeCell ref="H34:H37"/>
    <mergeCell ref="D35:D37"/>
    <mergeCell ref="E35:E37"/>
  </mergeCells>
  <conditionalFormatting sqref="D143:H145">
    <cfRule type="containsText" dxfId="10" priority="15" operator="containsText" text="ложь">
      <formula>NOT(ISERROR(SEARCH("ложь",D143)))</formula>
    </cfRule>
    <cfRule type="containsText" dxfId="9" priority="16" operator="containsText" text="истина">
      <formula>NOT(ISERROR(SEARCH("истина",D143)))</formula>
    </cfRule>
  </conditionalFormatting>
  <conditionalFormatting sqref="J143:N145">
    <cfRule type="containsText" dxfId="8" priority="11" operator="containsText" text="ложь">
      <formula>NOT(ISERROR(SEARCH("ложь",J143)))</formula>
    </cfRule>
    <cfRule type="containsText" dxfId="7" priority="12" operator="containsText" text="истина">
      <formula>NOT(ISERROR(SEARCH("истина",J143)))</formula>
    </cfRule>
  </conditionalFormatting>
  <conditionalFormatting sqref="P143:T145">
    <cfRule type="containsText" dxfId="6" priority="9" operator="containsText" text="ложь">
      <formula>NOT(ISERROR(SEARCH("ложь",P143)))</formula>
    </cfRule>
    <cfRule type="containsText" dxfId="5" priority="10" operator="containsText" text="истина">
      <formula>NOT(ISERROR(SEARCH("истина",P143)))</formula>
    </cfRule>
  </conditionalFormatting>
  <conditionalFormatting sqref="V40:V125">
    <cfRule type="cellIs" dxfId="4" priority="1" operator="lessThan">
      <formula>0</formula>
    </cfRule>
    <cfRule type="cellIs" dxfId="3" priority="2" operator="greaterThan">
      <formula>0</formula>
    </cfRule>
    <cfRule type="cellIs" dxfId="2" priority="3" operator="equal">
      <formula>0</formula>
    </cfRule>
  </conditionalFormatting>
  <printOptions horizontalCentered="1"/>
  <pageMargins left="0.39370078740157483" right="0.39370078740157483" top="0.98425196850393704" bottom="0.39370078740157483" header="0.31496062992125984" footer="0.31496062992125984"/>
  <pageSetup paperSize="9" fitToHeight="20" orientation="landscape" r:id="rId1"/>
  <headerFooter alignWithMargins="0">
    <oddHeader>&amp;LГРАНД-Смета 2021</oddHeader>
  </headerFooter>
  <rowBreaks count="3" manualBreakCount="3">
    <brk id="33" max="16383" man="1"/>
    <brk id="105" max="16383" man="1"/>
    <brk id="1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L70"/>
  <sheetViews>
    <sheetView view="pageBreakPreview" zoomScale="115" zoomScaleNormal="100" zoomScaleSheetLayoutView="115" workbookViewId="0">
      <selection activeCell="L18" sqref="L18"/>
    </sheetView>
  </sheetViews>
  <sheetFormatPr defaultColWidth="11.5703125" defaultRowHeight="12.75" x14ac:dyDescent="0.2"/>
  <cols>
    <col min="1" max="1" width="3.7109375" style="198" customWidth="1"/>
    <col min="2" max="2" width="10.7109375" style="198" customWidth="1"/>
    <col min="3" max="3" width="15.5703125" style="198" customWidth="1"/>
    <col min="4" max="4" width="4.42578125" style="198" customWidth="1"/>
    <col min="5" max="6" width="9.28515625" style="198" customWidth="1"/>
    <col min="7" max="7" width="11.5703125" style="198" customWidth="1"/>
    <col min="8" max="8" width="19.7109375" style="198" customWidth="1"/>
    <col min="9" max="9" width="11.7109375" style="198" customWidth="1"/>
    <col min="10" max="10" width="22.28515625" style="195" customWidth="1"/>
    <col min="11" max="11" width="28.28515625" style="195" customWidth="1"/>
    <col min="12" max="12" width="31.28515625" style="195" customWidth="1"/>
    <col min="13" max="16384" width="11.5703125" style="195"/>
  </cols>
  <sheetData>
    <row r="1" spans="1:12" ht="25.5" customHeight="1" x14ac:dyDescent="0.2">
      <c r="A1" s="355" t="s">
        <v>253</v>
      </c>
      <c r="B1" s="355"/>
      <c r="C1" s="355"/>
      <c r="D1" s="356" t="s">
        <v>254</v>
      </c>
      <c r="E1" s="356"/>
      <c r="F1" s="356"/>
      <c r="G1" s="356"/>
      <c r="H1" s="356"/>
      <c r="I1" s="356"/>
    </row>
    <row r="2" spans="1:12" x14ac:dyDescent="0.2">
      <c r="A2" s="196"/>
      <c r="B2" s="196"/>
      <c r="C2" s="196"/>
      <c r="D2" s="197"/>
      <c r="E2" s="197"/>
      <c r="F2" s="197"/>
      <c r="G2" s="197"/>
      <c r="H2" s="197"/>
      <c r="I2" s="197"/>
    </row>
    <row r="3" spans="1:12" x14ac:dyDescent="0.2">
      <c r="A3" s="357" t="s">
        <v>255</v>
      </c>
      <c r="B3" s="357"/>
      <c r="C3" s="357"/>
      <c r="D3" s="357"/>
      <c r="E3" s="357"/>
      <c r="F3" s="357"/>
      <c r="G3" s="357"/>
      <c r="H3" s="357"/>
      <c r="I3" s="357"/>
    </row>
    <row r="4" spans="1:12" x14ac:dyDescent="0.2">
      <c r="A4" s="358" t="s">
        <v>256</v>
      </c>
      <c r="B4" s="358"/>
      <c r="C4" s="358"/>
      <c r="D4" s="358"/>
      <c r="E4" s="358"/>
      <c r="F4" s="358"/>
      <c r="G4" s="358"/>
      <c r="H4" s="358"/>
      <c r="I4" s="358"/>
    </row>
    <row r="5" spans="1:12" x14ac:dyDescent="0.2">
      <c r="D5" s="359" t="s">
        <v>257</v>
      </c>
      <c r="E5" s="359"/>
      <c r="F5" s="359"/>
      <c r="G5" s="359"/>
      <c r="H5" s="359"/>
    </row>
    <row r="6" spans="1:12" x14ac:dyDescent="0.2">
      <c r="A6" s="350" t="s">
        <v>258</v>
      </c>
      <c r="B6" s="350"/>
      <c r="C6" s="350"/>
      <c r="D6" s="360" t="s">
        <v>119</v>
      </c>
      <c r="E6" s="360"/>
      <c r="F6" s="360"/>
      <c r="G6" s="360"/>
      <c r="H6" s="360"/>
      <c r="I6" s="360"/>
    </row>
    <row r="7" spans="1:12" ht="3.95" customHeight="1" x14ac:dyDescent="0.2">
      <c r="A7" s="199"/>
      <c r="B7" s="199"/>
      <c r="C7" s="199"/>
      <c r="D7" s="195"/>
      <c r="E7" s="195"/>
      <c r="F7" s="195"/>
      <c r="G7" s="195"/>
      <c r="H7" s="195"/>
      <c r="I7" s="195"/>
    </row>
    <row r="8" spans="1:12" ht="41.25" customHeight="1" x14ac:dyDescent="0.2">
      <c r="A8" s="350" t="s">
        <v>259</v>
      </c>
      <c r="B8" s="350"/>
      <c r="C8" s="350"/>
      <c r="D8" s="350" t="s">
        <v>260</v>
      </c>
      <c r="E8" s="350"/>
      <c r="F8" s="350"/>
      <c r="G8" s="350"/>
      <c r="H8" s="350"/>
      <c r="I8" s="350"/>
    </row>
    <row r="9" spans="1:12" ht="3.95" customHeight="1" x14ac:dyDescent="0.2">
      <c r="A9" s="195"/>
      <c r="B9" s="195"/>
      <c r="C9" s="195"/>
      <c r="D9" s="195"/>
      <c r="E9" s="195"/>
      <c r="F9" s="195"/>
      <c r="G9" s="195"/>
      <c r="H9" s="195"/>
      <c r="I9" s="195"/>
    </row>
    <row r="10" spans="1:12" ht="30" customHeight="1" x14ac:dyDescent="0.2">
      <c r="A10" s="350" t="s">
        <v>261</v>
      </c>
      <c r="B10" s="350"/>
      <c r="C10" s="350"/>
      <c r="D10" s="350" t="s">
        <v>262</v>
      </c>
      <c r="E10" s="350"/>
      <c r="F10" s="350"/>
      <c r="G10" s="350"/>
      <c r="H10" s="350"/>
      <c r="I10" s="350"/>
    </row>
    <row r="11" spans="1:12" ht="3.75" customHeight="1" x14ac:dyDescent="0.2">
      <c r="A11" s="199"/>
      <c r="B11" s="199"/>
      <c r="C11" s="199"/>
      <c r="D11" s="200"/>
      <c r="E11" s="200"/>
      <c r="F11" s="200"/>
      <c r="G11" s="200"/>
      <c r="H11" s="199"/>
      <c r="I11" s="199"/>
    </row>
    <row r="12" spans="1:12" ht="12.75" customHeight="1" x14ac:dyDescent="0.2">
      <c r="A12" s="351" t="s">
        <v>263</v>
      </c>
      <c r="B12" s="351"/>
      <c r="C12" s="351"/>
      <c r="D12" s="351"/>
      <c r="E12" s="351"/>
      <c r="F12" s="351"/>
      <c r="G12" s="351"/>
      <c r="H12" s="351"/>
      <c r="I12" s="351"/>
      <c r="J12" s="317" t="s">
        <v>316</v>
      </c>
      <c r="K12" s="318"/>
    </row>
    <row r="13" spans="1:12" ht="57" customHeight="1" x14ac:dyDescent="0.2">
      <c r="A13" s="201" t="s">
        <v>8</v>
      </c>
      <c r="B13" s="352" t="s">
        <v>264</v>
      </c>
      <c r="C13" s="353"/>
      <c r="D13" s="352" t="s">
        <v>265</v>
      </c>
      <c r="E13" s="354"/>
      <c r="F13" s="354"/>
      <c r="G13" s="353"/>
      <c r="H13" s="202" t="s">
        <v>266</v>
      </c>
      <c r="I13" s="219" t="s">
        <v>267</v>
      </c>
      <c r="J13" s="227" t="s">
        <v>317</v>
      </c>
      <c r="K13" s="227" t="s">
        <v>318</v>
      </c>
    </row>
    <row r="14" spans="1:12" x14ac:dyDescent="0.2">
      <c r="A14" s="203" t="s">
        <v>268</v>
      </c>
      <c r="B14" s="347">
        <v>2</v>
      </c>
      <c r="C14" s="348"/>
      <c r="D14" s="347">
        <v>3</v>
      </c>
      <c r="E14" s="349"/>
      <c r="F14" s="349"/>
      <c r="G14" s="348"/>
      <c r="H14" s="204">
        <v>4</v>
      </c>
      <c r="I14" s="220">
        <v>5</v>
      </c>
    </row>
    <row r="15" spans="1:12" ht="107.1" customHeight="1" x14ac:dyDescent="0.2">
      <c r="A15" s="205" t="s">
        <v>268</v>
      </c>
      <c r="B15" s="340" t="s">
        <v>319</v>
      </c>
      <c r="C15" s="341"/>
      <c r="D15" s="342" t="s">
        <v>269</v>
      </c>
      <c r="E15" s="343"/>
      <c r="F15" s="343"/>
      <c r="G15" s="344"/>
      <c r="H15" s="206" t="s">
        <v>270</v>
      </c>
      <c r="I15" s="221">
        <f>ROUND(356250  * 1 * 0.6 * 0.916,2)</f>
        <v>195795</v>
      </c>
      <c r="J15" s="230">
        <f>I15*329/948</f>
        <v>67949.95</v>
      </c>
      <c r="K15" s="230">
        <f>I15*619/948</f>
        <v>127845.05</v>
      </c>
      <c r="L15" s="200" t="s">
        <v>323</v>
      </c>
    </row>
    <row r="16" spans="1:12" ht="15.75" customHeight="1" x14ac:dyDescent="0.2">
      <c r="A16" s="207" t="s">
        <v>271</v>
      </c>
      <c r="B16" s="334"/>
      <c r="C16" s="335"/>
      <c r="D16" s="334" t="s">
        <v>272</v>
      </c>
      <c r="E16" s="321"/>
      <c r="F16" s="321"/>
      <c r="G16" s="335"/>
      <c r="H16" s="208"/>
      <c r="I16" s="222"/>
      <c r="J16" s="228"/>
      <c r="K16" s="228"/>
    </row>
    <row r="17" spans="1:11" ht="25.5" customHeight="1" x14ac:dyDescent="0.2">
      <c r="A17" s="207" t="s">
        <v>271</v>
      </c>
      <c r="B17" s="329"/>
      <c r="C17" s="330"/>
      <c r="D17" s="329" t="s">
        <v>273</v>
      </c>
      <c r="E17" s="319"/>
      <c r="F17" s="319"/>
      <c r="G17" s="330"/>
      <c r="H17" s="209"/>
      <c r="I17" s="223"/>
      <c r="J17" s="228"/>
      <c r="K17" s="228"/>
    </row>
    <row r="18" spans="1:11" ht="101.25" customHeight="1" x14ac:dyDescent="0.2">
      <c r="A18" s="207" t="s">
        <v>271</v>
      </c>
      <c r="B18" s="329"/>
      <c r="C18" s="330"/>
      <c r="D18" s="329" t="s">
        <v>274</v>
      </c>
      <c r="E18" s="319"/>
      <c r="F18" s="319"/>
      <c r="G18" s="330"/>
      <c r="H18" s="209"/>
      <c r="I18" s="223"/>
      <c r="J18" s="228"/>
      <c r="K18" s="228"/>
    </row>
    <row r="19" spans="1:11" ht="91.15" customHeight="1" x14ac:dyDescent="0.2">
      <c r="A19" s="207" t="s">
        <v>271</v>
      </c>
      <c r="B19" s="329"/>
      <c r="C19" s="330"/>
      <c r="D19" s="329" t="s">
        <v>275</v>
      </c>
      <c r="E19" s="319"/>
      <c r="F19" s="319"/>
      <c r="G19" s="330"/>
      <c r="H19" s="209"/>
      <c r="I19" s="223"/>
      <c r="J19" s="228"/>
      <c r="K19" s="228"/>
    </row>
    <row r="20" spans="1:11" ht="15.75" customHeight="1" x14ac:dyDescent="0.2">
      <c r="A20" s="207" t="s">
        <v>271</v>
      </c>
      <c r="B20" s="334"/>
      <c r="C20" s="335"/>
      <c r="D20" s="334" t="s">
        <v>276</v>
      </c>
      <c r="E20" s="321"/>
      <c r="F20" s="321"/>
      <c r="G20" s="335"/>
      <c r="H20" s="208"/>
      <c r="I20" s="222"/>
      <c r="J20" s="228"/>
      <c r="K20" s="228"/>
    </row>
    <row r="21" spans="1:11" x14ac:dyDescent="0.2">
      <c r="A21" s="207" t="s">
        <v>271</v>
      </c>
      <c r="B21" s="329"/>
      <c r="C21" s="330"/>
      <c r="D21" s="329" t="s">
        <v>277</v>
      </c>
      <c r="E21" s="319"/>
      <c r="F21" s="319"/>
      <c r="G21" s="330"/>
      <c r="H21" s="209"/>
      <c r="I21" s="223"/>
      <c r="J21" s="228"/>
      <c r="K21" s="228"/>
    </row>
    <row r="22" spans="1:11" x14ac:dyDescent="0.2">
      <c r="A22" s="207" t="s">
        <v>271</v>
      </c>
      <c r="B22" s="329"/>
      <c r="C22" s="330"/>
      <c r="D22" s="329" t="s">
        <v>278</v>
      </c>
      <c r="E22" s="319"/>
      <c r="F22" s="319"/>
      <c r="G22" s="330"/>
      <c r="H22" s="209"/>
      <c r="I22" s="223"/>
      <c r="J22" s="228"/>
      <c r="K22" s="228"/>
    </row>
    <row r="23" spans="1:11" x14ac:dyDescent="0.2">
      <c r="A23" s="207" t="s">
        <v>271</v>
      </c>
      <c r="B23" s="329"/>
      <c r="C23" s="330"/>
      <c r="D23" s="329" t="s">
        <v>279</v>
      </c>
      <c r="E23" s="319"/>
      <c r="F23" s="319"/>
      <c r="G23" s="330"/>
      <c r="H23" s="209"/>
      <c r="I23" s="223"/>
      <c r="J23" s="228"/>
      <c r="K23" s="228"/>
    </row>
    <row r="24" spans="1:11" x14ac:dyDescent="0.2">
      <c r="A24" s="207" t="s">
        <v>271</v>
      </c>
      <c r="B24" s="329"/>
      <c r="C24" s="330"/>
      <c r="D24" s="329" t="s">
        <v>280</v>
      </c>
      <c r="E24" s="319"/>
      <c r="F24" s="319"/>
      <c r="G24" s="330"/>
      <c r="H24" s="209"/>
      <c r="I24" s="223"/>
      <c r="J24" s="228"/>
      <c r="K24" s="228"/>
    </row>
    <row r="25" spans="1:11" x14ac:dyDescent="0.2">
      <c r="A25" s="210" t="s">
        <v>271</v>
      </c>
      <c r="B25" s="331"/>
      <c r="C25" s="332"/>
      <c r="D25" s="331" t="s">
        <v>281</v>
      </c>
      <c r="E25" s="333"/>
      <c r="F25" s="333"/>
      <c r="G25" s="332"/>
      <c r="H25" s="211"/>
      <c r="I25" s="224"/>
      <c r="J25" s="228"/>
      <c r="K25" s="228"/>
    </row>
    <row r="26" spans="1:11" ht="144.6" customHeight="1" x14ac:dyDescent="0.2">
      <c r="A26" s="205" t="s">
        <v>282</v>
      </c>
      <c r="B26" s="340" t="s">
        <v>283</v>
      </c>
      <c r="C26" s="341"/>
      <c r="D26" s="342" t="s">
        <v>284</v>
      </c>
      <c r="E26" s="343"/>
      <c r="F26" s="343"/>
      <c r="G26" s="344"/>
      <c r="H26" s="206" t="s">
        <v>285</v>
      </c>
      <c r="I26" s="221">
        <f>ROUND((475266  + 83220  * 3.51) * 1 * 0.6 * 0.821,2)</f>
        <v>378005.58</v>
      </c>
      <c r="J26" s="228"/>
      <c r="K26" s="230">
        <f>I26</f>
        <v>378005.58</v>
      </c>
    </row>
    <row r="27" spans="1:11" ht="15.75" customHeight="1" x14ac:dyDescent="0.2">
      <c r="A27" s="207" t="s">
        <v>271</v>
      </c>
      <c r="B27" s="334"/>
      <c r="C27" s="335"/>
      <c r="D27" s="334" t="s">
        <v>272</v>
      </c>
      <c r="E27" s="321"/>
      <c r="F27" s="321"/>
      <c r="G27" s="335"/>
      <c r="H27" s="208"/>
      <c r="I27" s="222"/>
      <c r="J27" s="228"/>
      <c r="K27" s="228"/>
    </row>
    <row r="28" spans="1:11" ht="25.5" customHeight="1" x14ac:dyDescent="0.2">
      <c r="A28" s="207" t="s">
        <v>271</v>
      </c>
      <c r="B28" s="329"/>
      <c r="C28" s="330"/>
      <c r="D28" s="329" t="s">
        <v>273</v>
      </c>
      <c r="E28" s="319"/>
      <c r="F28" s="319"/>
      <c r="G28" s="330"/>
      <c r="H28" s="209"/>
      <c r="I28" s="223"/>
      <c r="J28" s="228"/>
      <c r="K28" s="228"/>
    </row>
    <row r="29" spans="1:11" ht="78" customHeight="1" x14ac:dyDescent="0.2">
      <c r="A29" s="207" t="s">
        <v>271</v>
      </c>
      <c r="B29" s="329"/>
      <c r="C29" s="330"/>
      <c r="D29" s="329" t="s">
        <v>286</v>
      </c>
      <c r="E29" s="319"/>
      <c r="F29" s="319"/>
      <c r="G29" s="330"/>
      <c r="H29" s="209"/>
      <c r="I29" s="223"/>
      <c r="J29" s="228"/>
      <c r="K29" s="228"/>
    </row>
    <row r="30" spans="1:11" ht="15.75" customHeight="1" x14ac:dyDescent="0.2">
      <c r="A30" s="207" t="s">
        <v>271</v>
      </c>
      <c r="B30" s="334"/>
      <c r="C30" s="335"/>
      <c r="D30" s="334" t="s">
        <v>276</v>
      </c>
      <c r="E30" s="321"/>
      <c r="F30" s="321"/>
      <c r="G30" s="335"/>
      <c r="H30" s="208"/>
      <c r="I30" s="222"/>
      <c r="J30" s="228"/>
      <c r="K30" s="228"/>
    </row>
    <row r="31" spans="1:11" ht="12.75" customHeight="1" x14ac:dyDescent="0.2">
      <c r="A31" s="207" t="s">
        <v>271</v>
      </c>
      <c r="B31" s="329"/>
      <c r="C31" s="330"/>
      <c r="D31" s="329" t="s">
        <v>287</v>
      </c>
      <c r="E31" s="319"/>
      <c r="F31" s="319"/>
      <c r="G31" s="330"/>
      <c r="H31" s="209"/>
      <c r="I31" s="223"/>
      <c r="J31" s="228"/>
      <c r="K31" s="228"/>
    </row>
    <row r="32" spans="1:11" x14ac:dyDescent="0.2">
      <c r="A32" s="207" t="s">
        <v>271</v>
      </c>
      <c r="B32" s="329"/>
      <c r="C32" s="330"/>
      <c r="D32" s="329" t="s">
        <v>288</v>
      </c>
      <c r="E32" s="319"/>
      <c r="F32" s="319"/>
      <c r="G32" s="330"/>
      <c r="H32" s="209"/>
      <c r="I32" s="223"/>
      <c r="J32" s="228"/>
      <c r="K32" s="228"/>
    </row>
    <row r="33" spans="1:11" ht="12.75" customHeight="1" x14ac:dyDescent="0.2">
      <c r="A33" s="207" t="s">
        <v>271</v>
      </c>
      <c r="B33" s="329"/>
      <c r="C33" s="330"/>
      <c r="D33" s="329" t="s">
        <v>289</v>
      </c>
      <c r="E33" s="319"/>
      <c r="F33" s="319"/>
      <c r="G33" s="330"/>
      <c r="H33" s="209"/>
      <c r="I33" s="223"/>
      <c r="J33" s="228"/>
      <c r="K33" s="228"/>
    </row>
    <row r="34" spans="1:11" ht="12.75" customHeight="1" x14ac:dyDescent="0.2">
      <c r="A34" s="210" t="s">
        <v>271</v>
      </c>
      <c r="B34" s="331"/>
      <c r="C34" s="332"/>
      <c r="D34" s="331" t="s">
        <v>290</v>
      </c>
      <c r="E34" s="333"/>
      <c r="F34" s="333"/>
      <c r="G34" s="332"/>
      <c r="H34" s="211"/>
      <c r="I34" s="224"/>
      <c r="J34" s="228"/>
      <c r="K34" s="228"/>
    </row>
    <row r="35" spans="1:11" ht="196.9" customHeight="1" x14ac:dyDescent="0.2">
      <c r="A35" s="205" t="s">
        <v>291</v>
      </c>
      <c r="B35" s="340" t="s">
        <v>292</v>
      </c>
      <c r="C35" s="341"/>
      <c r="D35" s="342" t="s">
        <v>293</v>
      </c>
      <c r="E35" s="343"/>
      <c r="F35" s="343"/>
      <c r="G35" s="344"/>
      <c r="H35" s="206" t="s">
        <v>294</v>
      </c>
      <c r="I35" s="221">
        <f>ROUND((148200  + 27360  * 6) * 1 * 0.6 * 2.4 * 1.021,2)</f>
        <v>459244.17</v>
      </c>
      <c r="J35" s="228"/>
      <c r="K35" s="230">
        <f>I35</f>
        <v>459244.17</v>
      </c>
    </row>
    <row r="36" spans="1:11" ht="15.75" customHeight="1" x14ac:dyDescent="0.2">
      <c r="A36" s="207" t="s">
        <v>271</v>
      </c>
      <c r="B36" s="334"/>
      <c r="C36" s="335"/>
      <c r="D36" s="334" t="s">
        <v>272</v>
      </c>
      <c r="E36" s="321"/>
      <c r="F36" s="321"/>
      <c r="G36" s="335"/>
      <c r="H36" s="208"/>
      <c r="I36" s="222"/>
      <c r="J36" s="228"/>
      <c r="K36" s="228"/>
    </row>
    <row r="37" spans="1:11" ht="25.5" customHeight="1" x14ac:dyDescent="0.2">
      <c r="A37" s="207" t="s">
        <v>271</v>
      </c>
      <c r="B37" s="329"/>
      <c r="C37" s="330"/>
      <c r="D37" s="329" t="s">
        <v>273</v>
      </c>
      <c r="E37" s="319"/>
      <c r="F37" s="319"/>
      <c r="G37" s="330"/>
      <c r="H37" s="209"/>
      <c r="I37" s="223"/>
      <c r="J37" s="228"/>
      <c r="K37" s="228"/>
    </row>
    <row r="38" spans="1:11" ht="153" customHeight="1" x14ac:dyDescent="0.2">
      <c r="A38" s="207" t="s">
        <v>271</v>
      </c>
      <c r="B38" s="329"/>
      <c r="C38" s="330"/>
      <c r="D38" s="329" t="s">
        <v>295</v>
      </c>
      <c r="E38" s="319"/>
      <c r="F38" s="319"/>
      <c r="G38" s="330"/>
      <c r="H38" s="209"/>
      <c r="I38" s="223"/>
      <c r="J38" s="228"/>
      <c r="K38" s="228"/>
    </row>
    <row r="39" spans="1:11" ht="78.599999999999994" customHeight="1" x14ac:dyDescent="0.2">
      <c r="A39" s="207" t="s">
        <v>271</v>
      </c>
      <c r="B39" s="329"/>
      <c r="C39" s="330"/>
      <c r="D39" s="329" t="s">
        <v>296</v>
      </c>
      <c r="E39" s="319"/>
      <c r="F39" s="319"/>
      <c r="G39" s="330"/>
      <c r="H39" s="209"/>
      <c r="I39" s="223"/>
      <c r="J39" s="228"/>
      <c r="K39" s="228"/>
    </row>
    <row r="40" spans="1:11" ht="15.75" customHeight="1" x14ac:dyDescent="0.2">
      <c r="A40" s="207" t="s">
        <v>271</v>
      </c>
      <c r="B40" s="334"/>
      <c r="C40" s="335"/>
      <c r="D40" s="334" t="s">
        <v>276</v>
      </c>
      <c r="E40" s="321"/>
      <c r="F40" s="321"/>
      <c r="G40" s="335"/>
      <c r="H40" s="208"/>
      <c r="I40" s="222"/>
      <c r="J40" s="228"/>
      <c r="K40" s="228"/>
    </row>
    <row r="41" spans="1:11" ht="12.75" customHeight="1" x14ac:dyDescent="0.2">
      <c r="A41" s="207" t="s">
        <v>271</v>
      </c>
      <c r="B41" s="329"/>
      <c r="C41" s="330"/>
      <c r="D41" s="329" t="s">
        <v>297</v>
      </c>
      <c r="E41" s="319"/>
      <c r="F41" s="319"/>
      <c r="G41" s="330"/>
      <c r="H41" s="209"/>
      <c r="I41" s="223"/>
      <c r="J41" s="228"/>
      <c r="K41" s="228"/>
    </row>
    <row r="42" spans="1:11" ht="12.75" customHeight="1" x14ac:dyDescent="0.2">
      <c r="A42" s="207" t="s">
        <v>271</v>
      </c>
      <c r="B42" s="329"/>
      <c r="C42" s="330"/>
      <c r="D42" s="329" t="s">
        <v>298</v>
      </c>
      <c r="E42" s="319"/>
      <c r="F42" s="319"/>
      <c r="G42" s="330"/>
      <c r="H42" s="209"/>
      <c r="I42" s="223"/>
      <c r="J42" s="228"/>
      <c r="K42" s="228"/>
    </row>
    <row r="43" spans="1:11" x14ac:dyDescent="0.2">
      <c r="A43" s="207" t="s">
        <v>271</v>
      </c>
      <c r="B43" s="329"/>
      <c r="C43" s="330"/>
      <c r="D43" s="329" t="s">
        <v>299</v>
      </c>
      <c r="E43" s="319"/>
      <c r="F43" s="319"/>
      <c r="G43" s="330"/>
      <c r="H43" s="209"/>
      <c r="I43" s="223"/>
      <c r="J43" s="228"/>
      <c r="K43" s="228"/>
    </row>
    <row r="44" spans="1:11" ht="12.75" customHeight="1" x14ac:dyDescent="0.2">
      <c r="A44" s="207" t="s">
        <v>271</v>
      </c>
      <c r="B44" s="329"/>
      <c r="C44" s="330"/>
      <c r="D44" s="329" t="s">
        <v>300</v>
      </c>
      <c r="E44" s="319"/>
      <c r="F44" s="319"/>
      <c r="G44" s="330"/>
      <c r="H44" s="209"/>
      <c r="I44" s="223"/>
      <c r="J44" s="228"/>
      <c r="K44" s="228"/>
    </row>
    <row r="45" spans="1:11" ht="12.75" customHeight="1" x14ac:dyDescent="0.2">
      <c r="A45" s="207" t="s">
        <v>271</v>
      </c>
      <c r="B45" s="329"/>
      <c r="C45" s="330"/>
      <c r="D45" s="329" t="s">
        <v>301</v>
      </c>
      <c r="E45" s="319"/>
      <c r="F45" s="319"/>
      <c r="G45" s="330"/>
      <c r="H45" s="209"/>
      <c r="I45" s="223"/>
      <c r="J45" s="228"/>
      <c r="K45" s="228"/>
    </row>
    <row r="46" spans="1:11" ht="12.75" customHeight="1" x14ac:dyDescent="0.2">
      <c r="A46" s="207" t="s">
        <v>271</v>
      </c>
      <c r="B46" s="329"/>
      <c r="C46" s="330"/>
      <c r="D46" s="329" t="s">
        <v>302</v>
      </c>
      <c r="E46" s="319"/>
      <c r="F46" s="319"/>
      <c r="G46" s="330"/>
      <c r="H46" s="209"/>
      <c r="I46" s="223"/>
      <c r="J46" s="228"/>
      <c r="K46" s="228"/>
    </row>
    <row r="47" spans="1:11" ht="12.75" customHeight="1" x14ac:dyDescent="0.2">
      <c r="A47" s="210" t="s">
        <v>271</v>
      </c>
      <c r="B47" s="331"/>
      <c r="C47" s="332"/>
      <c r="D47" s="331" t="s">
        <v>303</v>
      </c>
      <c r="E47" s="333"/>
      <c r="F47" s="333"/>
      <c r="G47" s="332"/>
      <c r="H47" s="211"/>
      <c r="I47" s="224"/>
      <c r="J47" s="228"/>
      <c r="K47" s="228"/>
    </row>
    <row r="48" spans="1:11" ht="182.45" customHeight="1" x14ac:dyDescent="0.2">
      <c r="A48" s="338" t="s">
        <v>15</v>
      </c>
      <c r="B48" s="340" t="s">
        <v>304</v>
      </c>
      <c r="C48" s="341"/>
      <c r="D48" s="342" t="s">
        <v>305</v>
      </c>
      <c r="E48" s="343"/>
      <c r="F48" s="343"/>
      <c r="G48" s="344"/>
      <c r="H48" s="345" t="s">
        <v>306</v>
      </c>
      <c r="I48" s="336">
        <f>ROUND((148200  + 27360  * 8) * 1 * 0.6 * 1.6 * 1.021,2)</f>
        <v>359797.13</v>
      </c>
      <c r="J48" s="228"/>
      <c r="K48" s="230">
        <f>I48</f>
        <v>359797.13</v>
      </c>
    </row>
    <row r="49" spans="1:11" ht="12.75" customHeight="1" x14ac:dyDescent="0.2">
      <c r="A49" s="339"/>
      <c r="B49" s="334"/>
      <c r="C49" s="335"/>
      <c r="D49" s="329"/>
      <c r="E49" s="319"/>
      <c r="F49" s="319"/>
      <c r="G49" s="330"/>
      <c r="H49" s="346"/>
      <c r="I49" s="337"/>
      <c r="J49" s="228"/>
      <c r="K49" s="228"/>
    </row>
    <row r="50" spans="1:11" ht="15.75" customHeight="1" x14ac:dyDescent="0.2">
      <c r="A50" s="207" t="s">
        <v>271</v>
      </c>
      <c r="B50" s="334"/>
      <c r="C50" s="335"/>
      <c r="D50" s="334" t="s">
        <v>272</v>
      </c>
      <c r="E50" s="321"/>
      <c r="F50" s="321"/>
      <c r="G50" s="335"/>
      <c r="H50" s="208"/>
      <c r="I50" s="222"/>
      <c r="J50" s="228"/>
      <c r="K50" s="228"/>
    </row>
    <row r="51" spans="1:11" ht="25.5" customHeight="1" x14ac:dyDescent="0.2">
      <c r="A51" s="207" t="s">
        <v>271</v>
      </c>
      <c r="B51" s="329"/>
      <c r="C51" s="330"/>
      <c r="D51" s="329" t="s">
        <v>273</v>
      </c>
      <c r="E51" s="319"/>
      <c r="F51" s="319"/>
      <c r="G51" s="330"/>
      <c r="H51" s="209"/>
      <c r="I51" s="223"/>
      <c r="J51" s="228"/>
      <c r="K51" s="228"/>
    </row>
    <row r="52" spans="1:11" x14ac:dyDescent="0.2">
      <c r="A52" s="207" t="s">
        <v>271</v>
      </c>
      <c r="B52" s="329"/>
      <c r="C52" s="330"/>
      <c r="D52" s="329" t="s">
        <v>307</v>
      </c>
      <c r="E52" s="319"/>
      <c r="F52" s="319"/>
      <c r="G52" s="330"/>
      <c r="H52" s="209"/>
      <c r="I52" s="223"/>
      <c r="J52" s="228"/>
      <c r="K52" s="228"/>
    </row>
    <row r="53" spans="1:11" x14ac:dyDescent="0.2">
      <c r="A53" s="207" t="s">
        <v>271</v>
      </c>
      <c r="B53" s="329"/>
      <c r="C53" s="330"/>
      <c r="D53" s="329" t="s">
        <v>296</v>
      </c>
      <c r="E53" s="319"/>
      <c r="F53" s="319"/>
      <c r="G53" s="330"/>
      <c r="H53" s="209"/>
      <c r="I53" s="223"/>
      <c r="J53" s="228"/>
      <c r="K53" s="228"/>
    </row>
    <row r="54" spans="1:11" ht="15.75" customHeight="1" x14ac:dyDescent="0.2">
      <c r="A54" s="207" t="s">
        <v>271</v>
      </c>
      <c r="B54" s="334"/>
      <c r="C54" s="335"/>
      <c r="D54" s="334" t="s">
        <v>276</v>
      </c>
      <c r="E54" s="321"/>
      <c r="F54" s="321"/>
      <c r="G54" s="335"/>
      <c r="H54" s="208"/>
      <c r="I54" s="222"/>
      <c r="J54" s="228"/>
      <c r="K54" s="228"/>
    </row>
    <row r="55" spans="1:11" ht="12.75" customHeight="1" x14ac:dyDescent="0.2">
      <c r="A55" s="207" t="s">
        <v>271</v>
      </c>
      <c r="B55" s="329"/>
      <c r="C55" s="330"/>
      <c r="D55" s="329" t="s">
        <v>297</v>
      </c>
      <c r="E55" s="319"/>
      <c r="F55" s="319"/>
      <c r="G55" s="330"/>
      <c r="H55" s="209"/>
      <c r="I55" s="223"/>
      <c r="J55" s="228"/>
      <c r="K55" s="228"/>
    </row>
    <row r="56" spans="1:11" ht="12.75" customHeight="1" x14ac:dyDescent="0.2">
      <c r="A56" s="207" t="s">
        <v>271</v>
      </c>
      <c r="B56" s="329"/>
      <c r="C56" s="330"/>
      <c r="D56" s="329" t="s">
        <v>298</v>
      </c>
      <c r="E56" s="319"/>
      <c r="F56" s="319"/>
      <c r="G56" s="330"/>
      <c r="H56" s="209"/>
      <c r="I56" s="223"/>
      <c r="J56" s="228"/>
      <c r="K56" s="228"/>
    </row>
    <row r="57" spans="1:11" x14ac:dyDescent="0.2">
      <c r="A57" s="207" t="s">
        <v>271</v>
      </c>
      <c r="B57" s="329"/>
      <c r="C57" s="330"/>
      <c r="D57" s="329" t="s">
        <v>299</v>
      </c>
      <c r="E57" s="319"/>
      <c r="F57" s="319"/>
      <c r="G57" s="330"/>
      <c r="H57" s="209"/>
      <c r="I57" s="223"/>
      <c r="J57" s="228"/>
      <c r="K57" s="228"/>
    </row>
    <row r="58" spans="1:11" ht="12.75" customHeight="1" x14ac:dyDescent="0.2">
      <c r="A58" s="207" t="s">
        <v>271</v>
      </c>
      <c r="B58" s="329"/>
      <c r="C58" s="330"/>
      <c r="D58" s="329" t="s">
        <v>300</v>
      </c>
      <c r="E58" s="319"/>
      <c r="F58" s="319"/>
      <c r="G58" s="330"/>
      <c r="H58" s="209"/>
      <c r="I58" s="223"/>
      <c r="J58" s="228"/>
      <c r="K58" s="228"/>
    </row>
    <row r="59" spans="1:11" ht="12.75" customHeight="1" x14ac:dyDescent="0.2">
      <c r="A59" s="207" t="s">
        <v>271</v>
      </c>
      <c r="B59" s="329"/>
      <c r="C59" s="330"/>
      <c r="D59" s="329" t="s">
        <v>301</v>
      </c>
      <c r="E59" s="319"/>
      <c r="F59" s="319"/>
      <c r="G59" s="330"/>
      <c r="H59" s="209"/>
      <c r="I59" s="223"/>
      <c r="J59" s="228"/>
      <c r="K59" s="228"/>
    </row>
    <row r="60" spans="1:11" ht="12.75" customHeight="1" x14ac:dyDescent="0.2">
      <c r="A60" s="207" t="s">
        <v>271</v>
      </c>
      <c r="B60" s="329"/>
      <c r="C60" s="330"/>
      <c r="D60" s="329" t="s">
        <v>302</v>
      </c>
      <c r="E60" s="319"/>
      <c r="F60" s="319"/>
      <c r="G60" s="330"/>
      <c r="H60" s="209"/>
      <c r="I60" s="223"/>
      <c r="J60" s="228"/>
      <c r="K60" s="228"/>
    </row>
    <row r="61" spans="1:11" ht="12.75" customHeight="1" x14ac:dyDescent="0.2">
      <c r="A61" s="210" t="s">
        <v>271</v>
      </c>
      <c r="B61" s="331"/>
      <c r="C61" s="332"/>
      <c r="D61" s="331" t="s">
        <v>303</v>
      </c>
      <c r="E61" s="333"/>
      <c r="F61" s="333"/>
      <c r="G61" s="332"/>
      <c r="H61" s="211"/>
      <c r="I61" s="224"/>
      <c r="J61" s="228"/>
      <c r="K61" s="228"/>
    </row>
    <row r="62" spans="1:11" ht="12.75" customHeight="1" x14ac:dyDescent="0.2">
      <c r="A62" s="212" t="s">
        <v>16</v>
      </c>
      <c r="B62" s="324" t="s">
        <v>308</v>
      </c>
      <c r="C62" s="325"/>
      <c r="D62" s="324"/>
      <c r="E62" s="326"/>
      <c r="F62" s="326"/>
      <c r="G62" s="325"/>
      <c r="H62" s="213"/>
      <c r="I62" s="225">
        <f>ROUND((SUM($I$15:$I$48)),2)</f>
        <v>1392841.88</v>
      </c>
      <c r="J62" s="228">
        <f>SUM(J15:J61)</f>
        <v>67949.95</v>
      </c>
      <c r="K62" s="228">
        <f>SUM(K15:K61)</f>
        <v>1324891.93</v>
      </c>
    </row>
    <row r="63" spans="1:11" ht="12.75" customHeight="1" x14ac:dyDescent="0.2">
      <c r="A63" s="212" t="s">
        <v>17</v>
      </c>
      <c r="B63" s="324" t="s">
        <v>309</v>
      </c>
      <c r="C63" s="325"/>
      <c r="D63" s="324"/>
      <c r="E63" s="326"/>
      <c r="F63" s="326"/>
      <c r="G63" s="325"/>
      <c r="H63" s="213" t="s">
        <v>310</v>
      </c>
      <c r="I63" s="225">
        <f>ROUND(($I$62),2)</f>
        <v>1392841.88</v>
      </c>
      <c r="J63" s="228">
        <f>J62</f>
        <v>67949.95</v>
      </c>
      <c r="K63" s="228">
        <f>K62</f>
        <v>1324891.93</v>
      </c>
    </row>
    <row r="64" spans="1:11" ht="45.6" customHeight="1" x14ac:dyDescent="0.2">
      <c r="A64" s="213">
        <v>7</v>
      </c>
      <c r="B64" s="327" t="s">
        <v>311</v>
      </c>
      <c r="C64" s="327"/>
      <c r="D64" s="328" t="s">
        <v>312</v>
      </c>
      <c r="E64" s="328"/>
      <c r="F64" s="328"/>
      <c r="G64" s="328"/>
      <c r="H64" s="214">
        <v>4.47</v>
      </c>
      <c r="I64" s="226">
        <f>I63*H64</f>
        <v>6226003.2000000002</v>
      </c>
      <c r="J64" s="229">
        <f>J63*$H$64</f>
        <v>303736.28000000003</v>
      </c>
      <c r="K64" s="229">
        <f>K63*$H$64-0.01</f>
        <v>5922266.9199999999</v>
      </c>
    </row>
    <row r="65" spans="1:9" s="215" customFormat="1" ht="24.95" customHeight="1" x14ac:dyDescent="0.25">
      <c r="A65" s="319" t="s">
        <v>313</v>
      </c>
      <c r="B65" s="319"/>
      <c r="C65" s="319"/>
      <c r="D65" s="320">
        <f>I64</f>
        <v>6226003.2000000002</v>
      </c>
      <c r="E65" s="321"/>
      <c r="F65" s="321"/>
      <c r="G65" s="321"/>
      <c r="H65" s="321"/>
      <c r="I65" s="321"/>
    </row>
    <row r="66" spans="1:9" ht="12.75" customHeight="1" x14ac:dyDescent="0.2">
      <c r="A66" s="216"/>
      <c r="B66" s="216"/>
      <c r="C66" s="216"/>
      <c r="D66" s="217"/>
      <c r="E66" s="216"/>
      <c r="F66" s="216"/>
      <c r="G66" s="216"/>
      <c r="H66" s="216"/>
      <c r="I66" s="216"/>
    </row>
    <row r="67" spans="1:9" x14ac:dyDescent="0.2">
      <c r="A67" s="322" t="s">
        <v>314</v>
      </c>
      <c r="B67" s="322"/>
      <c r="C67" s="322"/>
      <c r="D67" s="322"/>
      <c r="E67" s="322"/>
      <c r="F67" s="322"/>
      <c r="G67" s="322"/>
      <c r="H67" s="322"/>
      <c r="I67" s="322"/>
    </row>
    <row r="68" spans="1:9" x14ac:dyDescent="0.2">
      <c r="A68" s="322"/>
      <c r="B68" s="322"/>
      <c r="C68" s="322"/>
      <c r="D68" s="322"/>
      <c r="E68" s="322"/>
      <c r="F68" s="322"/>
      <c r="G68" s="322"/>
      <c r="H68" s="322"/>
      <c r="I68" s="322"/>
    </row>
    <row r="69" spans="1:9" s="198" customFormat="1" ht="25.5" customHeight="1" x14ac:dyDescent="0.2">
      <c r="A69" s="322" t="s">
        <v>315</v>
      </c>
      <c r="B69" s="322"/>
      <c r="C69" s="322"/>
      <c r="D69" s="322"/>
      <c r="E69" s="322"/>
      <c r="F69" s="322"/>
      <c r="G69" s="322"/>
      <c r="H69" s="322"/>
      <c r="I69" s="322"/>
    </row>
    <row r="70" spans="1:9" s="218" customFormat="1" ht="12.75" customHeight="1" x14ac:dyDescent="0.2">
      <c r="A70" s="323"/>
      <c r="B70" s="323"/>
      <c r="C70" s="323"/>
      <c r="D70" s="323"/>
      <c r="E70" s="323"/>
      <c r="F70" s="323"/>
      <c r="G70" s="323"/>
      <c r="H70" s="323"/>
      <c r="I70" s="323"/>
    </row>
  </sheetData>
  <mergeCells count="124">
    <mergeCell ref="A8:C8"/>
    <mergeCell ref="D8:I8"/>
    <mergeCell ref="A10:C10"/>
    <mergeCell ref="D10:I10"/>
    <mergeCell ref="A12:I12"/>
    <mergeCell ref="B13:C13"/>
    <mergeCell ref="D13:G13"/>
    <mergeCell ref="A1:C1"/>
    <mergeCell ref="D1:I1"/>
    <mergeCell ref="A3:I3"/>
    <mergeCell ref="A4:I4"/>
    <mergeCell ref="D5:H5"/>
    <mergeCell ref="A6:C6"/>
    <mergeCell ref="D6:I6"/>
    <mergeCell ref="B17:C17"/>
    <mergeCell ref="D17:G17"/>
    <mergeCell ref="B18:C18"/>
    <mergeCell ref="D18:G18"/>
    <mergeCell ref="B19:C19"/>
    <mergeCell ref="D19:G19"/>
    <mergeCell ref="B14:C14"/>
    <mergeCell ref="D14:G14"/>
    <mergeCell ref="B15:C15"/>
    <mergeCell ref="D15:G15"/>
    <mergeCell ref="B16:C16"/>
    <mergeCell ref="D16:G16"/>
    <mergeCell ref="B23:C23"/>
    <mergeCell ref="D23:G23"/>
    <mergeCell ref="B24:C24"/>
    <mergeCell ref="D24:G24"/>
    <mergeCell ref="B25:C25"/>
    <mergeCell ref="D25:G25"/>
    <mergeCell ref="B20:C20"/>
    <mergeCell ref="D20:G20"/>
    <mergeCell ref="B21:C21"/>
    <mergeCell ref="D21:G21"/>
    <mergeCell ref="B22:C22"/>
    <mergeCell ref="D22:G22"/>
    <mergeCell ref="B29:C29"/>
    <mergeCell ref="D29:G29"/>
    <mergeCell ref="B30:C30"/>
    <mergeCell ref="D30:G30"/>
    <mergeCell ref="B31:C31"/>
    <mergeCell ref="D31:G31"/>
    <mergeCell ref="B26:C26"/>
    <mergeCell ref="D26:G26"/>
    <mergeCell ref="B27:C27"/>
    <mergeCell ref="D27:G27"/>
    <mergeCell ref="B28:C28"/>
    <mergeCell ref="D28:G28"/>
    <mergeCell ref="B35:C35"/>
    <mergeCell ref="D35:G35"/>
    <mergeCell ref="B36:C36"/>
    <mergeCell ref="D36:G36"/>
    <mergeCell ref="B37:C37"/>
    <mergeCell ref="D37:G37"/>
    <mergeCell ref="B32:C32"/>
    <mergeCell ref="D32:G32"/>
    <mergeCell ref="B33:C33"/>
    <mergeCell ref="D33:G33"/>
    <mergeCell ref="B34:C34"/>
    <mergeCell ref="D34:G34"/>
    <mergeCell ref="B41:C41"/>
    <mergeCell ref="D41:G41"/>
    <mergeCell ref="B42:C42"/>
    <mergeCell ref="D42:G42"/>
    <mergeCell ref="B43:C43"/>
    <mergeCell ref="D43:G43"/>
    <mergeCell ref="B38:C38"/>
    <mergeCell ref="D38:G38"/>
    <mergeCell ref="B39:C39"/>
    <mergeCell ref="D39:G39"/>
    <mergeCell ref="B40:C40"/>
    <mergeCell ref="D40:G40"/>
    <mergeCell ref="B47:C47"/>
    <mergeCell ref="D47:G47"/>
    <mergeCell ref="A48:A49"/>
    <mergeCell ref="B48:C49"/>
    <mergeCell ref="D48:G49"/>
    <mergeCell ref="H48:H49"/>
    <mergeCell ref="B44:C44"/>
    <mergeCell ref="D44:G44"/>
    <mergeCell ref="B45:C45"/>
    <mergeCell ref="D45:G45"/>
    <mergeCell ref="B46:C46"/>
    <mergeCell ref="D46:G46"/>
    <mergeCell ref="D58:G58"/>
    <mergeCell ref="B53:C53"/>
    <mergeCell ref="D53:G53"/>
    <mergeCell ref="B54:C54"/>
    <mergeCell ref="D54:G54"/>
    <mergeCell ref="B55:C55"/>
    <mergeCell ref="D55:G55"/>
    <mergeCell ref="I48:I49"/>
    <mergeCell ref="B50:C50"/>
    <mergeCell ref="D50:G50"/>
    <mergeCell ref="B51:C51"/>
    <mergeCell ref="D51:G51"/>
    <mergeCell ref="B52:C52"/>
    <mergeCell ref="D52:G52"/>
    <mergeCell ref="J12:K12"/>
    <mergeCell ref="A65:C65"/>
    <mergeCell ref="D65:I65"/>
    <mergeCell ref="A67:I67"/>
    <mergeCell ref="A68:I68"/>
    <mergeCell ref="A69:I69"/>
    <mergeCell ref="A70:I70"/>
    <mergeCell ref="B62:C62"/>
    <mergeCell ref="D62:G62"/>
    <mergeCell ref="B63:C63"/>
    <mergeCell ref="D63:G63"/>
    <mergeCell ref="B64:C64"/>
    <mergeCell ref="D64:G64"/>
    <mergeCell ref="B59:C59"/>
    <mergeCell ref="D59:G59"/>
    <mergeCell ref="B60:C60"/>
    <mergeCell ref="D60:G60"/>
    <mergeCell ref="B61:C61"/>
    <mergeCell ref="D61:G61"/>
    <mergeCell ref="B56:C56"/>
    <mergeCell ref="D56:G56"/>
    <mergeCell ref="B57:C57"/>
    <mergeCell ref="D57:G57"/>
    <mergeCell ref="B58:C58"/>
  </mergeCells>
  <pageMargins left="0.39370078740157477" right="0.39370078740157477" top="0.74803149606299213" bottom="0.74803149606299213" header="0.31496062992125984" footer="0.31496062992125984"/>
  <pageSetup paperSize="9" orientation="portrait" useFirstPageNumber="1" horizontalDpi="300" verticalDpi="300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autoPageBreaks="0"/>
  </sheetPr>
  <dimension ref="A1:I145"/>
  <sheetViews>
    <sheetView showGridLines="0" view="pageBreakPreview" topLeftCell="A67" zoomScale="85" zoomScaleNormal="100" zoomScaleSheetLayoutView="85" workbookViewId="0">
      <pane ySplit="11220" topLeftCell="A143"/>
      <selection activeCell="C77" sqref="C77"/>
      <selection pane="bottomLeft" activeCell="F141" sqref="F141"/>
    </sheetView>
  </sheetViews>
  <sheetFormatPr defaultColWidth="9.140625" defaultRowHeight="12.75" x14ac:dyDescent="0.2"/>
  <cols>
    <col min="1" max="1" width="5" style="77" customWidth="1"/>
    <col min="2" max="2" width="22.140625" style="61" customWidth="1"/>
    <col min="3" max="3" width="42.28515625" style="61" customWidth="1"/>
    <col min="4" max="4" width="13.7109375" style="62" customWidth="1"/>
    <col min="5" max="5" width="13" style="62" customWidth="1"/>
    <col min="6" max="6" width="13.42578125" style="62" customWidth="1"/>
    <col min="7" max="7" width="12.5703125" style="62" customWidth="1"/>
    <col min="8" max="8" width="13.85546875" style="62" customWidth="1"/>
    <col min="9" max="16384" width="9.140625" style="63"/>
  </cols>
  <sheetData>
    <row r="1" spans="2:8" x14ac:dyDescent="0.2">
      <c r="H1" s="62" t="s">
        <v>103</v>
      </c>
    </row>
    <row r="2" spans="2:8" x14ac:dyDescent="0.2">
      <c r="H2" s="62" t="s">
        <v>104</v>
      </c>
    </row>
    <row r="3" spans="2:8" x14ac:dyDescent="0.2">
      <c r="H3" s="62" t="s">
        <v>105</v>
      </c>
    </row>
    <row r="4" spans="2:8" x14ac:dyDescent="0.2">
      <c r="H4" s="62" t="s">
        <v>106</v>
      </c>
    </row>
    <row r="5" spans="2:8" x14ac:dyDescent="0.2">
      <c r="H5" s="62" t="s">
        <v>107</v>
      </c>
    </row>
    <row r="6" spans="2:8" x14ac:dyDescent="0.2">
      <c r="H6" s="62" t="s">
        <v>108</v>
      </c>
    </row>
    <row r="7" spans="2:8" x14ac:dyDescent="0.2">
      <c r="H7" s="62" t="s">
        <v>109</v>
      </c>
    </row>
    <row r="8" spans="2:8" x14ac:dyDescent="0.2">
      <c r="H8" s="62" t="s">
        <v>110</v>
      </c>
    </row>
    <row r="11" spans="2:8" x14ac:dyDescent="0.2">
      <c r="B11" s="61" t="s">
        <v>1</v>
      </c>
      <c r="C11" s="283" t="s">
        <v>111</v>
      </c>
      <c r="D11" s="284"/>
      <c r="E11" s="284"/>
      <c r="F11" s="284"/>
      <c r="G11" s="284"/>
      <c r="H11" s="64"/>
    </row>
    <row r="12" spans="2:8" x14ac:dyDescent="0.2">
      <c r="C12" s="65"/>
      <c r="D12" s="66" t="s">
        <v>2</v>
      </c>
      <c r="E12" s="67"/>
      <c r="F12" s="68"/>
      <c r="G12" s="68"/>
      <c r="H12" s="64"/>
    </row>
    <row r="13" spans="2:8" x14ac:dyDescent="0.2">
      <c r="B13" s="61" t="s">
        <v>112</v>
      </c>
      <c r="D13" s="64"/>
      <c r="E13" s="69"/>
      <c r="F13" s="64"/>
      <c r="G13" s="64"/>
      <c r="H13" s="64"/>
    </row>
    <row r="14" spans="2:8" x14ac:dyDescent="0.2">
      <c r="D14" s="64"/>
      <c r="E14" s="69"/>
      <c r="F14" s="64"/>
      <c r="G14" s="64"/>
      <c r="H14" s="64"/>
    </row>
    <row r="15" spans="2:8" x14ac:dyDescent="0.2">
      <c r="B15" s="70" t="s">
        <v>113</v>
      </c>
      <c r="D15" s="71">
        <v>622369.12</v>
      </c>
      <c r="E15" s="72"/>
      <c r="F15" s="73"/>
      <c r="G15" s="63" t="s">
        <v>114</v>
      </c>
      <c r="H15" s="64"/>
    </row>
    <row r="16" spans="2:8" ht="52.9" customHeight="1" x14ac:dyDescent="0.2">
      <c r="B16" s="74" t="s">
        <v>115</v>
      </c>
      <c r="C16" s="73"/>
      <c r="D16" s="75">
        <v>43411.360000000001</v>
      </c>
      <c r="E16" s="72"/>
      <c r="F16" s="73"/>
      <c r="G16" s="76" t="s">
        <v>114</v>
      </c>
      <c r="H16" s="70"/>
    </row>
    <row r="17" spans="1:8" ht="39.6" customHeight="1" x14ac:dyDescent="0.2">
      <c r="B17" s="74" t="s">
        <v>116</v>
      </c>
      <c r="C17" s="78"/>
      <c r="D17" s="75">
        <v>578957.76</v>
      </c>
      <c r="E17" s="72"/>
      <c r="F17" s="73"/>
      <c r="G17" s="76" t="s">
        <v>114</v>
      </c>
      <c r="H17" s="70"/>
    </row>
    <row r="18" spans="1:8" x14ac:dyDescent="0.2">
      <c r="D18" s="64"/>
      <c r="E18" s="64"/>
      <c r="F18" s="64"/>
      <c r="G18" s="64"/>
      <c r="H18" s="64"/>
    </row>
    <row r="19" spans="1:8" x14ac:dyDescent="0.2">
      <c r="B19" s="79"/>
      <c r="C19" s="80"/>
      <c r="D19" s="81"/>
      <c r="E19" s="81"/>
      <c r="F19" s="81"/>
      <c r="G19" s="81"/>
      <c r="H19" s="64"/>
    </row>
    <row r="20" spans="1:8" x14ac:dyDescent="0.2">
      <c r="D20" s="69" t="s">
        <v>4</v>
      </c>
      <c r="F20" s="64"/>
      <c r="G20" s="64"/>
      <c r="H20" s="64"/>
    </row>
    <row r="21" spans="1:8" x14ac:dyDescent="0.2">
      <c r="D21" s="64"/>
      <c r="E21" s="69"/>
      <c r="F21" s="64"/>
      <c r="G21" s="64"/>
      <c r="H21" s="64"/>
    </row>
    <row r="22" spans="1:8" x14ac:dyDescent="0.2">
      <c r="H22" s="64"/>
    </row>
    <row r="23" spans="1:8" x14ac:dyDescent="0.2">
      <c r="G23" s="64"/>
      <c r="H23" s="64"/>
    </row>
    <row r="24" spans="1:8" x14ac:dyDescent="0.2">
      <c r="D24" s="82" t="s">
        <v>117</v>
      </c>
      <c r="F24" s="64"/>
      <c r="G24" s="64"/>
      <c r="H24" s="64"/>
    </row>
    <row r="25" spans="1:8" x14ac:dyDescent="0.2">
      <c r="D25" s="82"/>
      <c r="F25" s="64"/>
      <c r="G25" s="64"/>
      <c r="H25" s="64"/>
    </row>
    <row r="26" spans="1:8" x14ac:dyDescent="0.2">
      <c r="A26" s="285" t="s">
        <v>118</v>
      </c>
      <c r="B26" s="285"/>
      <c r="C26" s="285"/>
      <c r="D26" s="285"/>
      <c r="E26" s="285"/>
      <c r="F26" s="285"/>
      <c r="G26" s="285"/>
      <c r="H26" s="285"/>
    </row>
    <row r="27" spans="1:8" x14ac:dyDescent="0.2">
      <c r="D27" s="83"/>
      <c r="F27" s="64"/>
      <c r="G27" s="64"/>
      <c r="H27" s="64"/>
    </row>
    <row r="28" spans="1:8" ht="12.75" customHeight="1" x14ac:dyDescent="0.2">
      <c r="B28" s="286" t="s">
        <v>119</v>
      </c>
      <c r="C28" s="286"/>
      <c r="D28" s="286"/>
      <c r="E28" s="286"/>
      <c r="F28" s="286"/>
      <c r="G28" s="286"/>
      <c r="H28" s="286"/>
    </row>
    <row r="29" spans="1:8" x14ac:dyDescent="0.2">
      <c r="D29" s="84" t="s">
        <v>7</v>
      </c>
      <c r="F29" s="64"/>
      <c r="G29" s="64"/>
      <c r="H29" s="64"/>
    </row>
    <row r="30" spans="1:8" x14ac:dyDescent="0.2">
      <c r="H30" s="64"/>
    </row>
    <row r="31" spans="1:8" x14ac:dyDescent="0.2">
      <c r="B31" s="61" t="s">
        <v>120</v>
      </c>
      <c r="D31" s="85" t="s">
        <v>121</v>
      </c>
      <c r="E31" s="86"/>
      <c r="F31" s="64"/>
      <c r="G31" s="64"/>
      <c r="H31" s="64"/>
    </row>
    <row r="32" spans="1:8" x14ac:dyDescent="0.2">
      <c r="D32" s="87"/>
      <c r="E32" s="64"/>
      <c r="F32" s="64"/>
      <c r="G32" s="64"/>
      <c r="H32" s="64"/>
    </row>
    <row r="33" spans="1:9" x14ac:dyDescent="0.2">
      <c r="D33" s="64"/>
      <c r="E33" s="64"/>
      <c r="F33" s="64"/>
      <c r="G33" s="64"/>
      <c r="H33" s="64"/>
    </row>
    <row r="34" spans="1:9" ht="12.75" customHeight="1" x14ac:dyDescent="0.2">
      <c r="A34" s="287" t="s">
        <v>8</v>
      </c>
      <c r="B34" s="288" t="s">
        <v>122</v>
      </c>
      <c r="C34" s="288" t="s">
        <v>123</v>
      </c>
      <c r="D34" s="289" t="s">
        <v>27</v>
      </c>
      <c r="E34" s="289"/>
      <c r="F34" s="289"/>
      <c r="G34" s="289"/>
      <c r="H34" s="287" t="s">
        <v>124</v>
      </c>
    </row>
    <row r="35" spans="1:9" x14ac:dyDescent="0.2">
      <c r="A35" s="287"/>
      <c r="B35" s="288"/>
      <c r="C35" s="288"/>
      <c r="D35" s="287" t="s">
        <v>125</v>
      </c>
      <c r="E35" s="287" t="s">
        <v>12</v>
      </c>
      <c r="F35" s="287" t="s">
        <v>13</v>
      </c>
      <c r="G35" s="287" t="s">
        <v>14</v>
      </c>
      <c r="H35" s="287"/>
    </row>
    <row r="36" spans="1:9" x14ac:dyDescent="0.2">
      <c r="A36" s="287"/>
      <c r="B36" s="288"/>
      <c r="C36" s="288"/>
      <c r="D36" s="287"/>
      <c r="E36" s="287"/>
      <c r="F36" s="287"/>
      <c r="G36" s="287"/>
      <c r="H36" s="287"/>
    </row>
    <row r="37" spans="1:9" x14ac:dyDescent="0.2">
      <c r="A37" s="287"/>
      <c r="B37" s="288"/>
      <c r="C37" s="288"/>
      <c r="D37" s="287"/>
      <c r="E37" s="287"/>
      <c r="F37" s="287"/>
      <c r="G37" s="287"/>
      <c r="H37" s="287"/>
    </row>
    <row r="38" spans="1:9" x14ac:dyDescent="0.2">
      <c r="A38" s="88">
        <v>1</v>
      </c>
      <c r="B38" s="89">
        <v>2</v>
      </c>
      <c r="C38" s="89">
        <v>3</v>
      </c>
      <c r="D38" s="88">
        <v>4</v>
      </c>
      <c r="E38" s="88">
        <v>5</v>
      </c>
      <c r="F38" s="88">
        <v>6</v>
      </c>
      <c r="G38" s="88">
        <v>7</v>
      </c>
      <c r="H38" s="88">
        <v>8</v>
      </c>
    </row>
    <row r="39" spans="1:9" ht="12.75" customHeight="1" x14ac:dyDescent="0.2">
      <c r="A39" s="292" t="s">
        <v>29</v>
      </c>
      <c r="B39" s="293"/>
      <c r="C39" s="293"/>
      <c r="D39" s="293"/>
      <c r="E39" s="293"/>
      <c r="F39" s="293"/>
      <c r="G39" s="293"/>
      <c r="H39" s="294"/>
    </row>
    <row r="40" spans="1:9" ht="27" customHeight="1" x14ac:dyDescent="0.2">
      <c r="A40" s="90">
        <v>1</v>
      </c>
      <c r="B40" s="91" t="s">
        <v>126</v>
      </c>
      <c r="C40" s="91" t="s">
        <v>127</v>
      </c>
      <c r="D40" s="92"/>
      <c r="E40" s="92"/>
      <c r="F40" s="92"/>
      <c r="G40" s="93">
        <f>18286.59/1000</f>
        <v>18.29</v>
      </c>
      <c r="H40" s="92">
        <f t="shared" ref="H40:H45" si="0">SUM(D40:G40)</f>
        <v>18.29</v>
      </c>
    </row>
    <row r="41" spans="1:9" ht="27" customHeight="1" x14ac:dyDescent="0.2">
      <c r="A41" s="90">
        <v>2</v>
      </c>
      <c r="B41" s="91" t="s">
        <v>126</v>
      </c>
      <c r="C41" s="91" t="s">
        <v>128</v>
      </c>
      <c r="D41" s="92"/>
      <c r="E41" s="92"/>
      <c r="F41" s="92"/>
      <c r="G41" s="93">
        <f>32963.16/1000</f>
        <v>32.96</v>
      </c>
      <c r="H41" s="92">
        <f t="shared" si="0"/>
        <v>32.96</v>
      </c>
    </row>
    <row r="42" spans="1:9" x14ac:dyDescent="0.2">
      <c r="A42" s="90"/>
      <c r="B42" s="295" t="s">
        <v>30</v>
      </c>
      <c r="C42" s="296"/>
      <c r="D42" s="92"/>
      <c r="E42" s="92"/>
      <c r="F42" s="92"/>
      <c r="G42" s="93">
        <f>G40+G41</f>
        <v>51.25</v>
      </c>
      <c r="H42" s="94">
        <f t="shared" si="0"/>
        <v>51.25</v>
      </c>
    </row>
    <row r="43" spans="1:9" ht="27.95" customHeight="1" x14ac:dyDescent="0.2">
      <c r="A43" s="95"/>
      <c r="B43" s="290" t="s">
        <v>129</v>
      </c>
      <c r="C43" s="291"/>
      <c r="D43" s="92"/>
      <c r="E43" s="92"/>
      <c r="F43" s="92"/>
      <c r="G43" s="96">
        <f>G40</f>
        <v>18.29</v>
      </c>
      <c r="H43" s="94">
        <f t="shared" si="0"/>
        <v>18.29</v>
      </c>
    </row>
    <row r="44" spans="1:9" ht="27.95" customHeight="1" x14ac:dyDescent="0.2">
      <c r="A44" s="95"/>
      <c r="B44" s="290" t="s">
        <v>130</v>
      </c>
      <c r="C44" s="291"/>
      <c r="D44" s="92"/>
      <c r="E44" s="92"/>
      <c r="F44" s="92"/>
      <c r="G44" s="96">
        <f>G41</f>
        <v>32.96</v>
      </c>
      <c r="H44" s="94">
        <f t="shared" si="0"/>
        <v>32.96</v>
      </c>
    </row>
    <row r="45" spans="1:9" x14ac:dyDescent="0.2">
      <c r="A45" s="90">
        <v>3</v>
      </c>
      <c r="B45" s="91" t="s">
        <v>131</v>
      </c>
      <c r="C45" s="91" t="s">
        <v>132</v>
      </c>
      <c r="D45" s="92">
        <f>D46+D47+D48</f>
        <v>6089.56</v>
      </c>
      <c r="E45" s="92"/>
      <c r="F45" s="92">
        <f>F46+F47+F48</f>
        <v>262.22000000000003</v>
      </c>
      <c r="G45" s="93"/>
      <c r="H45" s="92">
        <f t="shared" si="0"/>
        <v>6351.78</v>
      </c>
    </row>
    <row r="46" spans="1:9" s="135" customFormat="1" ht="15" x14ac:dyDescent="0.25">
      <c r="A46" s="136" t="s">
        <v>225</v>
      </c>
      <c r="B46" s="131" t="s">
        <v>39</v>
      </c>
      <c r="C46" s="132" t="s">
        <v>221</v>
      </c>
      <c r="D46" s="133">
        <v>5641.02</v>
      </c>
      <c r="E46" s="133"/>
      <c r="F46" s="133"/>
      <c r="G46" s="133"/>
      <c r="H46" s="133">
        <f t="shared" ref="H46:H48" si="1">SUM(D46:G46)</f>
        <v>5641.02</v>
      </c>
      <c r="I46" s="134"/>
    </row>
    <row r="47" spans="1:9" s="135" customFormat="1" ht="25.5" x14ac:dyDescent="0.25">
      <c r="A47" s="136" t="s">
        <v>226</v>
      </c>
      <c r="B47" s="131" t="s">
        <v>40</v>
      </c>
      <c r="C47" s="132" t="s">
        <v>222</v>
      </c>
      <c r="D47" s="133">
        <v>448.54</v>
      </c>
      <c r="E47" s="133"/>
      <c r="F47" s="133"/>
      <c r="G47" s="133"/>
      <c r="H47" s="133">
        <f t="shared" si="1"/>
        <v>448.54</v>
      </c>
      <c r="I47" s="134"/>
    </row>
    <row r="48" spans="1:9" s="135" customFormat="1" ht="15" x14ac:dyDescent="0.25">
      <c r="A48" s="136" t="s">
        <v>227</v>
      </c>
      <c r="B48" s="131" t="s">
        <v>223</v>
      </c>
      <c r="C48" s="132" t="s">
        <v>224</v>
      </c>
      <c r="D48" s="133"/>
      <c r="E48" s="133"/>
      <c r="F48" s="133">
        <v>262.22000000000003</v>
      </c>
      <c r="G48" s="133"/>
      <c r="H48" s="133">
        <f t="shared" si="1"/>
        <v>262.22000000000003</v>
      </c>
      <c r="I48" s="134"/>
    </row>
    <row r="49" spans="1:8" x14ac:dyDescent="0.2">
      <c r="A49" s="90">
        <v>4</v>
      </c>
      <c r="B49" s="91" t="s">
        <v>131</v>
      </c>
      <c r="C49" s="91" t="s">
        <v>133</v>
      </c>
      <c r="D49" s="92">
        <f>D50+D51+D52</f>
        <v>28588.47</v>
      </c>
      <c r="E49" s="92"/>
      <c r="F49" s="92">
        <f>F50+F51+F52</f>
        <v>93.54</v>
      </c>
      <c r="G49" s="93"/>
      <c r="H49" s="92">
        <f t="shared" ref="H49:H105" si="2">SUM(D49:G49)</f>
        <v>28682.01</v>
      </c>
    </row>
    <row r="50" spans="1:8" s="135" customFormat="1" ht="15" x14ac:dyDescent="0.25">
      <c r="A50" s="136" t="s">
        <v>231</v>
      </c>
      <c r="B50" s="131" t="s">
        <v>39</v>
      </c>
      <c r="C50" s="132" t="s">
        <v>228</v>
      </c>
      <c r="D50" s="133">
        <v>25072.18</v>
      </c>
      <c r="E50" s="133"/>
      <c r="F50" s="133"/>
      <c r="G50" s="133"/>
      <c r="H50" s="133">
        <f t="shared" si="2"/>
        <v>25072.18</v>
      </c>
    </row>
    <row r="51" spans="1:8" s="135" customFormat="1" ht="25.5" x14ac:dyDescent="0.25">
      <c r="A51" s="136" t="s">
        <v>232</v>
      </c>
      <c r="B51" s="131" t="s">
        <v>40</v>
      </c>
      <c r="C51" s="132" t="s">
        <v>229</v>
      </c>
      <c r="D51" s="133">
        <v>3516.29</v>
      </c>
      <c r="E51" s="133"/>
      <c r="F51" s="133"/>
      <c r="G51" s="133"/>
      <c r="H51" s="133">
        <f t="shared" si="2"/>
        <v>3516.29</v>
      </c>
    </row>
    <row r="52" spans="1:8" s="135" customFormat="1" ht="15" x14ac:dyDescent="0.25">
      <c r="A52" s="136" t="s">
        <v>233</v>
      </c>
      <c r="B52" s="131" t="s">
        <v>223</v>
      </c>
      <c r="C52" s="132" t="s">
        <v>230</v>
      </c>
      <c r="D52" s="133"/>
      <c r="E52" s="133"/>
      <c r="F52" s="133">
        <v>93.54</v>
      </c>
      <c r="G52" s="133"/>
      <c r="H52" s="133">
        <f t="shared" si="2"/>
        <v>93.54</v>
      </c>
    </row>
    <row r="53" spans="1:8" x14ac:dyDescent="0.2">
      <c r="A53" s="90">
        <v>5</v>
      </c>
      <c r="B53" s="91" t="s">
        <v>134</v>
      </c>
      <c r="C53" s="91" t="s">
        <v>135</v>
      </c>
      <c r="D53" s="92">
        <f>16999111/1000</f>
        <v>16999.11</v>
      </c>
      <c r="E53" s="92"/>
      <c r="F53" s="92"/>
      <c r="G53" s="93"/>
      <c r="H53" s="92">
        <f t="shared" si="2"/>
        <v>16999.11</v>
      </c>
    </row>
    <row r="54" spans="1:8" x14ac:dyDescent="0.2">
      <c r="A54" s="90">
        <v>6</v>
      </c>
      <c r="B54" s="91" t="s">
        <v>134</v>
      </c>
      <c r="C54" s="91" t="s">
        <v>136</v>
      </c>
      <c r="D54" s="92">
        <f>5491769/1000</f>
        <v>5491.77</v>
      </c>
      <c r="E54" s="92"/>
      <c r="F54" s="92"/>
      <c r="G54" s="93"/>
      <c r="H54" s="92">
        <f t="shared" si="2"/>
        <v>5491.77</v>
      </c>
    </row>
    <row r="55" spans="1:8" ht="39" customHeight="1" x14ac:dyDescent="0.2">
      <c r="A55" s="90">
        <v>7</v>
      </c>
      <c r="B55" s="91" t="s">
        <v>137</v>
      </c>
      <c r="C55" s="91" t="s">
        <v>138</v>
      </c>
      <c r="D55" s="92">
        <f>196414652.64/1000</f>
        <v>196414.65</v>
      </c>
      <c r="E55" s="92">
        <f>1443757.94/1000</f>
        <v>1443.76</v>
      </c>
      <c r="F55" s="92"/>
      <c r="G55" s="93"/>
      <c r="H55" s="92">
        <f t="shared" si="2"/>
        <v>197858.41</v>
      </c>
    </row>
    <row r="56" spans="1:8" ht="25.5" x14ac:dyDescent="0.2">
      <c r="A56" s="90">
        <v>8</v>
      </c>
      <c r="B56" s="91" t="s">
        <v>139</v>
      </c>
      <c r="C56" s="91" t="s">
        <v>140</v>
      </c>
      <c r="D56" s="92">
        <f>216726453/1000</f>
        <v>216726.45</v>
      </c>
      <c r="E56" s="92"/>
      <c r="F56" s="92"/>
      <c r="G56" s="93"/>
      <c r="H56" s="92">
        <f t="shared" si="2"/>
        <v>216726.45</v>
      </c>
    </row>
    <row r="57" spans="1:8" x14ac:dyDescent="0.2">
      <c r="A57" s="90"/>
      <c r="B57" s="295" t="s">
        <v>31</v>
      </c>
      <c r="C57" s="297"/>
      <c r="D57" s="94">
        <f>D58+D59</f>
        <v>470310.01</v>
      </c>
      <c r="E57" s="94">
        <f>E58+E59</f>
        <v>1443.76</v>
      </c>
      <c r="F57" s="94">
        <f>F58+F59</f>
        <v>355.76</v>
      </c>
      <c r="G57" s="97"/>
      <c r="H57" s="94">
        <f t="shared" si="2"/>
        <v>472109.53</v>
      </c>
    </row>
    <row r="58" spans="1:8" ht="27.95" customHeight="1" x14ac:dyDescent="0.2">
      <c r="A58" s="95"/>
      <c r="B58" s="298" t="s">
        <v>141</v>
      </c>
      <c r="C58" s="299"/>
      <c r="D58" s="96">
        <f>D45+D53</f>
        <v>23088.67</v>
      </c>
      <c r="E58" s="96"/>
      <c r="F58" s="96">
        <f>F45</f>
        <v>262.22000000000003</v>
      </c>
      <c r="G58" s="96"/>
      <c r="H58" s="96">
        <f t="shared" si="2"/>
        <v>23350.89</v>
      </c>
    </row>
    <row r="59" spans="1:8" ht="27.75" customHeight="1" x14ac:dyDescent="0.2">
      <c r="A59" s="95"/>
      <c r="B59" s="298" t="s">
        <v>142</v>
      </c>
      <c r="C59" s="299"/>
      <c r="D59" s="96">
        <f>D49+D54+D55+D56</f>
        <v>447221.34</v>
      </c>
      <c r="E59" s="96">
        <f>E55</f>
        <v>1443.76</v>
      </c>
      <c r="F59" s="96">
        <f>F49</f>
        <v>93.54</v>
      </c>
      <c r="G59" s="96"/>
      <c r="H59" s="96">
        <f t="shared" si="2"/>
        <v>448758.64</v>
      </c>
    </row>
    <row r="60" spans="1:8" x14ac:dyDescent="0.2">
      <c r="A60" s="95"/>
      <c r="B60" s="300" t="s">
        <v>32</v>
      </c>
      <c r="C60" s="301"/>
      <c r="D60" s="94">
        <f>D62+D61</f>
        <v>470310.01</v>
      </c>
      <c r="E60" s="94">
        <f>E62</f>
        <v>1443.76</v>
      </c>
      <c r="F60" s="94">
        <f>F61+F62</f>
        <v>355.76</v>
      </c>
      <c r="G60" s="94">
        <f>G61+G62</f>
        <v>51.25</v>
      </c>
      <c r="H60" s="94">
        <f t="shared" si="2"/>
        <v>472160.78</v>
      </c>
    </row>
    <row r="61" spans="1:8" x14ac:dyDescent="0.2">
      <c r="A61" s="95"/>
      <c r="B61" s="290" t="s">
        <v>143</v>
      </c>
      <c r="C61" s="291"/>
      <c r="D61" s="96">
        <f>D43+D58</f>
        <v>23088.67</v>
      </c>
      <c r="E61" s="96"/>
      <c r="F61" s="96">
        <f>F43+F58</f>
        <v>262.22000000000003</v>
      </c>
      <c r="G61" s="96">
        <f>G43+G58</f>
        <v>18.29</v>
      </c>
      <c r="H61" s="96">
        <f t="shared" si="2"/>
        <v>23369.18</v>
      </c>
    </row>
    <row r="62" spans="1:8" ht="12.75" customHeight="1" x14ac:dyDescent="0.2">
      <c r="A62" s="95"/>
      <c r="B62" s="290" t="s">
        <v>144</v>
      </c>
      <c r="C62" s="291"/>
      <c r="D62" s="96">
        <f>D44+D59</f>
        <v>447221.34</v>
      </c>
      <c r="E62" s="96">
        <f>E44+E59</f>
        <v>1443.76</v>
      </c>
      <c r="F62" s="96">
        <f>F59</f>
        <v>93.54</v>
      </c>
      <c r="G62" s="96">
        <f>G44</f>
        <v>32.96</v>
      </c>
      <c r="H62" s="96">
        <f t="shared" si="2"/>
        <v>448791.6</v>
      </c>
    </row>
    <row r="63" spans="1:8" x14ac:dyDescent="0.2">
      <c r="A63" s="302" t="s">
        <v>33</v>
      </c>
      <c r="B63" s="303"/>
      <c r="C63" s="303"/>
      <c r="D63" s="303"/>
      <c r="E63" s="303"/>
      <c r="F63" s="303"/>
      <c r="G63" s="303"/>
      <c r="H63" s="303"/>
    </row>
    <row r="64" spans="1:8" ht="136.15" customHeight="1" x14ac:dyDescent="0.2">
      <c r="A64" s="90">
        <v>9</v>
      </c>
      <c r="B64" s="91" t="s">
        <v>145</v>
      </c>
      <c r="C64" s="91" t="s">
        <v>146</v>
      </c>
      <c r="D64" s="92">
        <f>D61*0.023</f>
        <v>531.04</v>
      </c>
      <c r="E64" s="92">
        <f>E61*0.031</f>
        <v>0</v>
      </c>
      <c r="F64" s="93"/>
      <c r="G64" s="93"/>
      <c r="H64" s="92">
        <f t="shared" si="2"/>
        <v>531.04</v>
      </c>
    </row>
    <row r="65" spans="1:8" x14ac:dyDescent="0.2">
      <c r="A65" s="90"/>
      <c r="B65" s="91"/>
      <c r="C65" s="98" t="s">
        <v>147</v>
      </c>
      <c r="D65" s="92">
        <f>D64*0.15</f>
        <v>79.66</v>
      </c>
      <c r="E65" s="92"/>
      <c r="F65" s="93"/>
      <c r="G65" s="93"/>
      <c r="H65" s="92">
        <f t="shared" si="2"/>
        <v>79.66</v>
      </c>
    </row>
    <row r="66" spans="1:8" ht="144" customHeight="1" x14ac:dyDescent="0.2">
      <c r="A66" s="90">
        <v>10</v>
      </c>
      <c r="B66" s="91" t="s">
        <v>145</v>
      </c>
      <c r="C66" s="91" t="s">
        <v>148</v>
      </c>
      <c r="D66" s="92">
        <f>D62*0.023</f>
        <v>10286.09</v>
      </c>
      <c r="E66" s="92">
        <f>E62*0.023</f>
        <v>33.21</v>
      </c>
      <c r="F66" s="93"/>
      <c r="G66" s="93"/>
      <c r="H66" s="92">
        <f t="shared" si="2"/>
        <v>10319.299999999999</v>
      </c>
    </row>
    <row r="67" spans="1:8" x14ac:dyDescent="0.2">
      <c r="A67" s="90"/>
      <c r="B67" s="91"/>
      <c r="C67" s="98" t="s">
        <v>149</v>
      </c>
      <c r="D67" s="92">
        <f>D66*0.15</f>
        <v>1542.91</v>
      </c>
      <c r="E67" s="92">
        <f>E66*0.15</f>
        <v>4.9800000000000004</v>
      </c>
      <c r="F67" s="93"/>
      <c r="G67" s="93"/>
      <c r="H67" s="92">
        <f t="shared" si="2"/>
        <v>1547.89</v>
      </c>
    </row>
    <row r="68" spans="1:8" x14ac:dyDescent="0.2">
      <c r="A68" s="90"/>
      <c r="B68" s="295" t="s">
        <v>34</v>
      </c>
      <c r="C68" s="296"/>
      <c r="D68" s="92">
        <f>D69+D70</f>
        <v>10817.13</v>
      </c>
      <c r="E68" s="92">
        <f>E70</f>
        <v>33.21</v>
      </c>
      <c r="F68" s="93"/>
      <c r="G68" s="93"/>
      <c r="H68" s="92">
        <f t="shared" si="2"/>
        <v>10850.34</v>
      </c>
    </row>
    <row r="69" spans="1:8" ht="27.75" customHeight="1" x14ac:dyDescent="0.2">
      <c r="A69" s="95"/>
      <c r="B69" s="290" t="s">
        <v>150</v>
      </c>
      <c r="C69" s="291"/>
      <c r="D69" s="99">
        <f>SUM(D64)</f>
        <v>531.04</v>
      </c>
      <c r="E69" s="99"/>
      <c r="F69" s="99"/>
      <c r="G69" s="99"/>
      <c r="H69" s="92">
        <f t="shared" si="2"/>
        <v>531.04</v>
      </c>
    </row>
    <row r="70" spans="1:8" ht="25.5" customHeight="1" x14ac:dyDescent="0.2">
      <c r="A70" s="95"/>
      <c r="B70" s="290" t="s">
        <v>151</v>
      </c>
      <c r="C70" s="291"/>
      <c r="D70" s="99">
        <f>D66</f>
        <v>10286.09</v>
      </c>
      <c r="E70" s="99">
        <f t="shared" ref="E70" si="3">E66</f>
        <v>33.21</v>
      </c>
      <c r="F70" s="99"/>
      <c r="G70" s="99"/>
      <c r="H70" s="92">
        <f t="shared" si="2"/>
        <v>10319.299999999999</v>
      </c>
    </row>
    <row r="71" spans="1:8" x14ac:dyDescent="0.2">
      <c r="A71" s="95"/>
      <c r="B71" s="295" t="s">
        <v>35</v>
      </c>
      <c r="C71" s="296"/>
      <c r="D71" s="94">
        <f>D72+D73</f>
        <v>481127.14</v>
      </c>
      <c r="E71" s="94">
        <f t="shared" ref="E71:G71" si="4">E72+E73</f>
        <v>1476.97</v>
      </c>
      <c r="F71" s="94">
        <f t="shared" si="4"/>
        <v>355.76</v>
      </c>
      <c r="G71" s="94">
        <f t="shared" si="4"/>
        <v>51.25</v>
      </c>
      <c r="H71" s="94">
        <f t="shared" si="2"/>
        <v>483011.12</v>
      </c>
    </row>
    <row r="72" spans="1:8" x14ac:dyDescent="0.2">
      <c r="A72" s="95"/>
      <c r="B72" s="298" t="s">
        <v>152</v>
      </c>
      <c r="C72" s="304"/>
      <c r="D72" s="96">
        <f>D61+D69</f>
        <v>23619.71</v>
      </c>
      <c r="E72" s="96">
        <f t="shared" ref="E72:G73" si="5">E61+E69</f>
        <v>0</v>
      </c>
      <c r="F72" s="96">
        <f t="shared" si="5"/>
        <v>262.22000000000003</v>
      </c>
      <c r="G72" s="96">
        <f t="shared" si="5"/>
        <v>18.29</v>
      </c>
      <c r="H72" s="94">
        <f t="shared" si="2"/>
        <v>23900.22</v>
      </c>
    </row>
    <row r="73" spans="1:8" ht="12.75" customHeight="1" x14ac:dyDescent="0.2">
      <c r="A73" s="95"/>
      <c r="B73" s="298" t="s">
        <v>153</v>
      </c>
      <c r="C73" s="304"/>
      <c r="D73" s="96">
        <f>D62+D70</f>
        <v>457507.43</v>
      </c>
      <c r="E73" s="96">
        <f t="shared" si="5"/>
        <v>1476.97</v>
      </c>
      <c r="F73" s="96">
        <f t="shared" si="5"/>
        <v>93.54</v>
      </c>
      <c r="G73" s="96">
        <f t="shared" si="5"/>
        <v>32.96</v>
      </c>
      <c r="H73" s="94">
        <f t="shared" si="2"/>
        <v>459110.9</v>
      </c>
    </row>
    <row r="74" spans="1:8" x14ac:dyDescent="0.2">
      <c r="A74" s="302" t="s">
        <v>36</v>
      </c>
      <c r="B74" s="303"/>
      <c r="C74" s="303"/>
      <c r="D74" s="303"/>
      <c r="E74" s="303"/>
      <c r="F74" s="303"/>
      <c r="G74" s="303"/>
      <c r="H74" s="303"/>
    </row>
    <row r="75" spans="1:8" ht="25.5" x14ac:dyDescent="0.2">
      <c r="A75" s="100">
        <v>11</v>
      </c>
      <c r="B75" s="101" t="s">
        <v>154</v>
      </c>
      <c r="C75" s="101" t="s">
        <v>155</v>
      </c>
      <c r="D75" s="102"/>
      <c r="E75" s="102"/>
      <c r="F75" s="102"/>
      <c r="G75" s="103">
        <f>(5164.35+105964.35)/1000</f>
        <v>111.13</v>
      </c>
      <c r="H75" s="103">
        <f t="shared" si="2"/>
        <v>111.13</v>
      </c>
    </row>
    <row r="76" spans="1:8" ht="25.5" x14ac:dyDescent="0.2">
      <c r="A76" s="90">
        <v>12</v>
      </c>
      <c r="B76" s="91" t="s">
        <v>154</v>
      </c>
      <c r="C76" s="91" t="s">
        <v>156</v>
      </c>
      <c r="D76" s="93"/>
      <c r="E76" s="93"/>
      <c r="F76" s="93"/>
      <c r="G76" s="92">
        <f>(10328.69+111128.69)/1000</f>
        <v>121.46</v>
      </c>
      <c r="H76" s="92">
        <f t="shared" si="2"/>
        <v>121.46</v>
      </c>
    </row>
    <row r="77" spans="1:8" ht="63.75" x14ac:dyDescent="0.2">
      <c r="A77" s="90">
        <v>13</v>
      </c>
      <c r="B77" s="91" t="s">
        <v>157</v>
      </c>
      <c r="C77" s="91" t="s">
        <v>158</v>
      </c>
      <c r="D77" s="93"/>
      <c r="E77" s="93"/>
      <c r="F77" s="93"/>
      <c r="G77" s="92">
        <f>(6.45+10.15+9.25+36)/1000</f>
        <v>0.06</v>
      </c>
      <c r="H77" s="92">
        <f t="shared" si="2"/>
        <v>0.06</v>
      </c>
    </row>
    <row r="78" spans="1:8" ht="25.5" x14ac:dyDescent="0.2">
      <c r="A78" s="100">
        <v>18</v>
      </c>
      <c r="B78" s="101" t="s">
        <v>159</v>
      </c>
      <c r="C78" s="101" t="s">
        <v>160</v>
      </c>
      <c r="D78" s="102"/>
      <c r="E78" s="102"/>
      <c r="F78" s="102"/>
      <c r="G78" s="103">
        <f>61367.13*4.55/1000</f>
        <v>279.22000000000003</v>
      </c>
      <c r="H78" s="103">
        <f t="shared" si="2"/>
        <v>279.22000000000003</v>
      </c>
    </row>
    <row r="79" spans="1:8" ht="25.5" x14ac:dyDescent="0.2">
      <c r="A79" s="100">
        <v>19</v>
      </c>
      <c r="B79" s="101" t="s">
        <v>159</v>
      </c>
      <c r="C79" s="101" t="s">
        <v>161</v>
      </c>
      <c r="D79" s="102"/>
      <c r="E79" s="102"/>
      <c r="F79" s="102"/>
      <c r="G79" s="103">
        <f>75957.76*4.55/1000</f>
        <v>345.61</v>
      </c>
      <c r="H79" s="103">
        <f t="shared" si="2"/>
        <v>345.61</v>
      </c>
    </row>
    <row r="80" spans="1:8" x14ac:dyDescent="0.2">
      <c r="A80" s="90"/>
      <c r="B80" s="305" t="s">
        <v>162</v>
      </c>
      <c r="C80" s="306"/>
      <c r="D80" s="97"/>
      <c r="E80" s="97"/>
      <c r="F80" s="97"/>
      <c r="G80" s="94">
        <f>G81+G82</f>
        <v>857.48</v>
      </c>
      <c r="H80" s="94">
        <f t="shared" si="2"/>
        <v>857.48</v>
      </c>
    </row>
    <row r="81" spans="1:8" ht="26.25" customHeight="1" x14ac:dyDescent="0.2">
      <c r="A81" s="95"/>
      <c r="B81" s="290" t="s">
        <v>163</v>
      </c>
      <c r="C81" s="291"/>
      <c r="D81" s="96"/>
      <c r="E81" s="96"/>
      <c r="F81" s="96"/>
      <c r="G81" s="96">
        <f>G75+G77+G78</f>
        <v>390.41</v>
      </c>
      <c r="H81" s="96">
        <f t="shared" si="2"/>
        <v>390.41</v>
      </c>
    </row>
    <row r="82" spans="1:8" ht="24.75" customHeight="1" x14ac:dyDescent="0.2">
      <c r="A82" s="95"/>
      <c r="B82" s="290" t="s">
        <v>164</v>
      </c>
      <c r="C82" s="291"/>
      <c r="D82" s="96"/>
      <c r="E82" s="96"/>
      <c r="F82" s="96"/>
      <c r="G82" s="96">
        <f>G76+G79</f>
        <v>467.07</v>
      </c>
      <c r="H82" s="96">
        <f t="shared" si="2"/>
        <v>467.07</v>
      </c>
    </row>
    <row r="83" spans="1:8" x14ac:dyDescent="0.2">
      <c r="A83" s="95"/>
      <c r="B83" s="295" t="s">
        <v>37</v>
      </c>
      <c r="C83" s="296"/>
      <c r="D83" s="96">
        <f>D84+D85</f>
        <v>481127.14</v>
      </c>
      <c r="E83" s="96">
        <f t="shared" ref="E83:G83" si="6">E84+E85</f>
        <v>1476.97</v>
      </c>
      <c r="F83" s="96">
        <f t="shared" si="6"/>
        <v>355.76</v>
      </c>
      <c r="G83" s="96">
        <f t="shared" si="6"/>
        <v>908.73</v>
      </c>
      <c r="H83" s="96">
        <f t="shared" si="2"/>
        <v>483868.6</v>
      </c>
    </row>
    <row r="84" spans="1:8" x14ac:dyDescent="0.2">
      <c r="A84" s="95"/>
      <c r="B84" s="290" t="s">
        <v>165</v>
      </c>
      <c r="C84" s="291"/>
      <c r="D84" s="96">
        <f t="shared" ref="D84:G85" si="7">D72+D81</f>
        <v>23619.71</v>
      </c>
      <c r="E84" s="96">
        <f t="shared" si="7"/>
        <v>0</v>
      </c>
      <c r="F84" s="96">
        <f t="shared" si="7"/>
        <v>262.22000000000003</v>
      </c>
      <c r="G84" s="96">
        <f t="shared" si="7"/>
        <v>408.7</v>
      </c>
      <c r="H84" s="96">
        <f t="shared" si="2"/>
        <v>24290.63</v>
      </c>
    </row>
    <row r="85" spans="1:8" x14ac:dyDescent="0.2">
      <c r="A85" s="95"/>
      <c r="B85" s="290" t="s">
        <v>166</v>
      </c>
      <c r="C85" s="291"/>
      <c r="D85" s="96">
        <f t="shared" si="7"/>
        <v>457507.43</v>
      </c>
      <c r="E85" s="96">
        <f t="shared" si="7"/>
        <v>1476.97</v>
      </c>
      <c r="F85" s="96">
        <f t="shared" si="7"/>
        <v>93.54</v>
      </c>
      <c r="G85" s="96">
        <f t="shared" si="7"/>
        <v>500.03</v>
      </c>
      <c r="H85" s="96">
        <f t="shared" si="2"/>
        <v>459577.97</v>
      </c>
    </row>
    <row r="86" spans="1:8" x14ac:dyDescent="0.2">
      <c r="A86" s="302" t="s">
        <v>167</v>
      </c>
      <c r="B86" s="303"/>
      <c r="C86" s="303"/>
      <c r="D86" s="303"/>
      <c r="E86" s="303"/>
      <c r="F86" s="303"/>
      <c r="G86" s="303"/>
      <c r="H86" s="303"/>
    </row>
    <row r="87" spans="1:8" ht="38.25" x14ac:dyDescent="0.2">
      <c r="A87" s="90">
        <v>11</v>
      </c>
      <c r="B87" s="91" t="s">
        <v>168</v>
      </c>
      <c r="C87" s="91" t="s">
        <v>169</v>
      </c>
      <c r="D87" s="104"/>
      <c r="E87" s="104"/>
      <c r="F87" s="104"/>
      <c r="G87" s="105">
        <f>0.0172*D84+0.0172*E84+0.0172*F84</f>
        <v>410.77</v>
      </c>
      <c r="H87" s="105">
        <f t="shared" si="2"/>
        <v>410.77</v>
      </c>
    </row>
    <row r="88" spans="1:8" ht="38.25" x14ac:dyDescent="0.2">
      <c r="A88" s="90">
        <v>12</v>
      </c>
      <c r="B88" s="91" t="s">
        <v>168</v>
      </c>
      <c r="C88" s="91" t="s">
        <v>170</v>
      </c>
      <c r="D88" s="104"/>
      <c r="E88" s="104"/>
      <c r="F88" s="104"/>
      <c r="G88" s="105">
        <f>0.0172*D85+0.0172*E85+0.0172*F85</f>
        <v>7896.14</v>
      </c>
      <c r="H88" s="105">
        <f t="shared" si="2"/>
        <v>7896.14</v>
      </c>
    </row>
    <row r="89" spans="1:8" ht="26.25" customHeight="1" x14ac:dyDescent="0.2">
      <c r="A89" s="90"/>
      <c r="B89" s="305" t="s">
        <v>171</v>
      </c>
      <c r="C89" s="306"/>
      <c r="D89" s="104"/>
      <c r="E89" s="104"/>
      <c r="F89" s="104"/>
      <c r="G89" s="106">
        <f>G90+G91</f>
        <v>8306.91</v>
      </c>
      <c r="H89" s="106">
        <f t="shared" si="2"/>
        <v>8306.91</v>
      </c>
    </row>
    <row r="90" spans="1:8" ht="27.95" customHeight="1" x14ac:dyDescent="0.2">
      <c r="A90" s="95"/>
      <c r="B90" s="290" t="s">
        <v>172</v>
      </c>
      <c r="C90" s="291"/>
      <c r="D90" s="104"/>
      <c r="E90" s="104"/>
      <c r="F90" s="104"/>
      <c r="G90" s="107">
        <f t="shared" ref="G90" si="8">SUM(G87)</f>
        <v>410.77</v>
      </c>
      <c r="H90" s="107">
        <f t="shared" si="2"/>
        <v>410.77</v>
      </c>
    </row>
    <row r="91" spans="1:8" ht="27.95" customHeight="1" x14ac:dyDescent="0.2">
      <c r="A91" s="95"/>
      <c r="B91" s="290" t="s">
        <v>172</v>
      </c>
      <c r="C91" s="291"/>
      <c r="D91" s="104"/>
      <c r="E91" s="104"/>
      <c r="F91" s="104"/>
      <c r="G91" s="107">
        <f>G88</f>
        <v>7896.14</v>
      </c>
      <c r="H91" s="107">
        <f t="shared" si="2"/>
        <v>7896.14</v>
      </c>
    </row>
    <row r="92" spans="1:8" ht="60" customHeight="1" x14ac:dyDescent="0.2">
      <c r="A92" s="302" t="s">
        <v>173</v>
      </c>
      <c r="B92" s="303"/>
      <c r="C92" s="303"/>
      <c r="D92" s="303"/>
      <c r="E92" s="303"/>
      <c r="F92" s="303"/>
      <c r="G92" s="303"/>
      <c r="H92" s="303"/>
    </row>
    <row r="93" spans="1:8" x14ac:dyDescent="0.2">
      <c r="A93" s="90">
        <v>13</v>
      </c>
      <c r="B93" s="91" t="s">
        <v>174</v>
      </c>
      <c r="C93" s="91" t="s">
        <v>175</v>
      </c>
      <c r="D93" s="104"/>
      <c r="E93" s="104"/>
      <c r="F93" s="104"/>
      <c r="G93" s="105">
        <f>3438143.5/1000</f>
        <v>3438.14</v>
      </c>
      <c r="H93" s="105">
        <f t="shared" si="2"/>
        <v>3438.14</v>
      </c>
    </row>
    <row r="94" spans="1:8" x14ac:dyDescent="0.2">
      <c r="A94" s="90">
        <v>14</v>
      </c>
      <c r="B94" s="91" t="s">
        <v>176</v>
      </c>
      <c r="C94" s="91" t="s">
        <v>177</v>
      </c>
      <c r="D94" s="104"/>
      <c r="E94" s="104"/>
      <c r="F94" s="104"/>
      <c r="G94" s="105">
        <f>6226003.2/1000</f>
        <v>6226</v>
      </c>
      <c r="H94" s="105">
        <f t="shared" si="2"/>
        <v>6226</v>
      </c>
    </row>
    <row r="95" spans="1:8" ht="25.5" x14ac:dyDescent="0.2">
      <c r="A95" s="90">
        <v>15</v>
      </c>
      <c r="B95" s="91" t="s">
        <v>178</v>
      </c>
      <c r="C95" s="91" t="s">
        <v>179</v>
      </c>
      <c r="D95" s="104"/>
      <c r="E95" s="104"/>
      <c r="F95" s="104"/>
      <c r="G95" s="105">
        <f>696674.36/1000</f>
        <v>696.67</v>
      </c>
      <c r="H95" s="105">
        <f t="shared" si="2"/>
        <v>696.67</v>
      </c>
    </row>
    <row r="96" spans="1:8" ht="89.25" x14ac:dyDescent="0.2">
      <c r="A96" s="90">
        <v>16</v>
      </c>
      <c r="B96" s="91" t="s">
        <v>180</v>
      </c>
      <c r="C96" s="91" t="s">
        <v>181</v>
      </c>
      <c r="D96" s="104"/>
      <c r="E96" s="104"/>
      <c r="F96" s="104"/>
      <c r="G96" s="105">
        <f>0.002*H84</f>
        <v>48.58</v>
      </c>
      <c r="H96" s="105">
        <f t="shared" si="2"/>
        <v>48.58</v>
      </c>
    </row>
    <row r="97" spans="1:8" ht="89.25" x14ac:dyDescent="0.2">
      <c r="A97" s="90">
        <v>17</v>
      </c>
      <c r="B97" s="91" t="s">
        <v>180</v>
      </c>
      <c r="C97" s="91" t="s">
        <v>182</v>
      </c>
      <c r="D97" s="104"/>
      <c r="E97" s="104"/>
      <c r="F97" s="104"/>
      <c r="G97" s="105">
        <f>0.002*H85</f>
        <v>919.16</v>
      </c>
      <c r="H97" s="105">
        <f t="shared" si="2"/>
        <v>919.16</v>
      </c>
    </row>
    <row r="98" spans="1:8" ht="27" customHeight="1" x14ac:dyDescent="0.2">
      <c r="A98" s="90">
        <v>18</v>
      </c>
      <c r="B98" s="91" t="s">
        <v>183</v>
      </c>
      <c r="C98" s="91" t="s">
        <v>184</v>
      </c>
      <c r="D98" s="104"/>
      <c r="E98" s="104"/>
      <c r="F98" s="104"/>
      <c r="G98" s="105">
        <f>11659.51/1000</f>
        <v>11.66</v>
      </c>
      <c r="H98" s="105">
        <f t="shared" si="2"/>
        <v>11.66</v>
      </c>
    </row>
    <row r="99" spans="1:8" ht="27" customHeight="1" x14ac:dyDescent="0.2">
      <c r="A99" s="90">
        <v>19</v>
      </c>
      <c r="B99" s="91" t="s">
        <v>183</v>
      </c>
      <c r="C99" s="91" t="s">
        <v>185</v>
      </c>
      <c r="D99" s="104"/>
      <c r="E99" s="104"/>
      <c r="F99" s="104"/>
      <c r="G99" s="105">
        <f>19158.06/1000</f>
        <v>19.16</v>
      </c>
      <c r="H99" s="105">
        <f t="shared" si="2"/>
        <v>19.16</v>
      </c>
    </row>
    <row r="100" spans="1:8" ht="124.5" customHeight="1" x14ac:dyDescent="0.2">
      <c r="A100" s="90"/>
      <c r="B100" s="295" t="s">
        <v>186</v>
      </c>
      <c r="C100" s="296"/>
      <c r="D100" s="104"/>
      <c r="E100" s="104"/>
      <c r="F100" s="104"/>
      <c r="G100" s="106">
        <f>G101+G102</f>
        <v>11359.37</v>
      </c>
      <c r="H100" s="106">
        <f t="shared" si="2"/>
        <v>11359.37</v>
      </c>
    </row>
    <row r="101" spans="1:8" ht="137.25" customHeight="1" x14ac:dyDescent="0.2">
      <c r="A101" s="95"/>
      <c r="B101" s="298" t="s">
        <v>187</v>
      </c>
      <c r="C101" s="304"/>
      <c r="D101" s="108"/>
      <c r="E101" s="108"/>
      <c r="F101" s="108"/>
      <c r="G101" s="109">
        <f>G93+G94+G95+G96+G98</f>
        <v>10421.049999999999</v>
      </c>
      <c r="H101" s="109">
        <f t="shared" si="2"/>
        <v>10421.049999999999</v>
      </c>
    </row>
    <row r="102" spans="1:8" ht="138.75" customHeight="1" x14ac:dyDescent="0.2">
      <c r="A102" s="95"/>
      <c r="B102" s="290" t="s">
        <v>188</v>
      </c>
      <c r="C102" s="291"/>
      <c r="D102" s="108"/>
      <c r="E102" s="108"/>
      <c r="F102" s="108"/>
      <c r="G102" s="109">
        <f>G97+G99</f>
        <v>938.32</v>
      </c>
      <c r="H102" s="109">
        <f t="shared" si="2"/>
        <v>938.32</v>
      </c>
    </row>
    <row r="103" spans="1:8" x14ac:dyDescent="0.2">
      <c r="A103" s="95"/>
      <c r="B103" s="305" t="s">
        <v>38</v>
      </c>
      <c r="C103" s="306"/>
      <c r="D103" s="97">
        <f>D104+D105</f>
        <v>481127.14</v>
      </c>
      <c r="E103" s="97">
        <f t="shared" ref="E103:G103" si="9">E104+E105</f>
        <v>1476.97</v>
      </c>
      <c r="F103" s="97">
        <f t="shared" si="9"/>
        <v>355.76</v>
      </c>
      <c r="G103" s="97">
        <f t="shared" si="9"/>
        <v>20575.009999999998</v>
      </c>
      <c r="H103" s="97">
        <f t="shared" si="2"/>
        <v>503534.88</v>
      </c>
    </row>
    <row r="104" spans="1:8" x14ac:dyDescent="0.2">
      <c r="A104" s="95"/>
      <c r="B104" s="290" t="s">
        <v>189</v>
      </c>
      <c r="C104" s="291"/>
      <c r="D104" s="96">
        <f>D84+D90+D101</f>
        <v>23619.71</v>
      </c>
      <c r="E104" s="96">
        <f t="shared" ref="E104:G105" si="10">E84+E90+E101</f>
        <v>0</v>
      </c>
      <c r="F104" s="96">
        <f t="shared" si="10"/>
        <v>262.22000000000003</v>
      </c>
      <c r="G104" s="96">
        <f t="shared" si="10"/>
        <v>11240.52</v>
      </c>
      <c r="H104" s="96">
        <f t="shared" si="2"/>
        <v>35122.449999999997</v>
      </c>
    </row>
    <row r="105" spans="1:8" ht="12.75" customHeight="1" x14ac:dyDescent="0.2">
      <c r="A105" s="95"/>
      <c r="B105" s="290" t="s">
        <v>190</v>
      </c>
      <c r="C105" s="291"/>
      <c r="D105" s="96">
        <f>D85+D91+D102</f>
        <v>457507.43</v>
      </c>
      <c r="E105" s="96">
        <f t="shared" si="10"/>
        <v>1476.97</v>
      </c>
      <c r="F105" s="96">
        <f t="shared" si="10"/>
        <v>93.54</v>
      </c>
      <c r="G105" s="96">
        <f t="shared" si="10"/>
        <v>9334.49</v>
      </c>
      <c r="H105" s="96">
        <f t="shared" si="2"/>
        <v>468412.43</v>
      </c>
    </row>
    <row r="106" spans="1:8" x14ac:dyDescent="0.2">
      <c r="A106" s="302" t="s">
        <v>191</v>
      </c>
      <c r="B106" s="303"/>
      <c r="C106" s="303"/>
      <c r="D106" s="303"/>
      <c r="E106" s="303"/>
      <c r="F106" s="303"/>
      <c r="G106" s="303"/>
      <c r="H106" s="303"/>
    </row>
    <row r="107" spans="1:8" ht="89.25" x14ac:dyDescent="0.2">
      <c r="A107" s="90">
        <v>20</v>
      </c>
      <c r="B107" s="91" t="s">
        <v>192</v>
      </c>
      <c r="C107" s="91" t="s">
        <v>193</v>
      </c>
      <c r="D107" s="105">
        <f>D104*0.03</f>
        <v>708.59</v>
      </c>
      <c r="E107" s="110"/>
      <c r="F107" s="105">
        <f t="shared" ref="E107:G108" si="11">F104*0.03</f>
        <v>7.87</v>
      </c>
      <c r="G107" s="105">
        <f t="shared" si="11"/>
        <v>337.22</v>
      </c>
      <c r="H107" s="105">
        <f>SUM(D107:G107)</f>
        <v>1053.68</v>
      </c>
    </row>
    <row r="108" spans="1:8" ht="89.25" x14ac:dyDescent="0.2">
      <c r="A108" s="90">
        <v>21</v>
      </c>
      <c r="B108" s="91" t="s">
        <v>192</v>
      </c>
      <c r="C108" s="91" t="s">
        <v>194</v>
      </c>
      <c r="D108" s="105">
        <f>D105*0.03</f>
        <v>13725.22</v>
      </c>
      <c r="E108" s="105">
        <f t="shared" si="11"/>
        <v>44.31</v>
      </c>
      <c r="F108" s="105">
        <f t="shared" si="11"/>
        <v>2.81</v>
      </c>
      <c r="G108" s="105">
        <f t="shared" si="11"/>
        <v>280.02999999999997</v>
      </c>
      <c r="H108" s="105">
        <f>SUM(D108:G108)</f>
        <v>14052.37</v>
      </c>
    </row>
    <row r="109" spans="1:8" x14ac:dyDescent="0.2">
      <c r="A109" s="90"/>
      <c r="B109" s="305" t="s">
        <v>195</v>
      </c>
      <c r="C109" s="306"/>
      <c r="D109" s="106">
        <f>D110+D111</f>
        <v>14433.81</v>
      </c>
      <c r="E109" s="106">
        <f t="shared" ref="E109:G109" si="12">E110+E111</f>
        <v>44.31</v>
      </c>
      <c r="F109" s="106">
        <f t="shared" si="12"/>
        <v>10.68</v>
      </c>
      <c r="G109" s="106">
        <f t="shared" si="12"/>
        <v>617.25</v>
      </c>
      <c r="H109" s="106">
        <f>SUM(D109:G109)</f>
        <v>15106.05</v>
      </c>
    </row>
    <row r="110" spans="1:8" x14ac:dyDescent="0.2">
      <c r="A110" s="95"/>
      <c r="B110" s="305" t="s">
        <v>196</v>
      </c>
      <c r="C110" s="306"/>
      <c r="D110" s="106">
        <f>SUM(D107)</f>
        <v>708.59</v>
      </c>
      <c r="E110" s="111"/>
      <c r="F110" s="106">
        <f>SUM(F107)</f>
        <v>7.87</v>
      </c>
      <c r="G110" s="106">
        <f>SUM(G107)</f>
        <v>337.22</v>
      </c>
      <c r="H110" s="106">
        <f t="shared" ref="H110:H125" si="13">SUM(D110:G110)</f>
        <v>1053.68</v>
      </c>
    </row>
    <row r="111" spans="1:8" ht="12.75" customHeight="1" x14ac:dyDescent="0.2">
      <c r="A111" s="95"/>
      <c r="B111" s="305" t="s">
        <v>197</v>
      </c>
      <c r="C111" s="306"/>
      <c r="D111" s="106">
        <f>SUM(D108)</f>
        <v>13725.22</v>
      </c>
      <c r="E111" s="106">
        <f t="shared" ref="E111:G111" si="14">SUM(E108)</f>
        <v>44.31</v>
      </c>
      <c r="F111" s="106">
        <f t="shared" si="14"/>
        <v>2.81</v>
      </c>
      <c r="G111" s="106">
        <f t="shared" si="14"/>
        <v>280.02999999999997</v>
      </c>
      <c r="H111" s="106">
        <f t="shared" si="13"/>
        <v>14052.37</v>
      </c>
    </row>
    <row r="112" spans="1:8" x14ac:dyDescent="0.2">
      <c r="A112" s="302" t="s">
        <v>198</v>
      </c>
      <c r="B112" s="303"/>
      <c r="C112" s="303"/>
      <c r="D112" s="303"/>
      <c r="E112" s="303"/>
      <c r="F112" s="303"/>
      <c r="G112" s="303"/>
      <c r="H112" s="303"/>
    </row>
    <row r="113" spans="1:8" ht="25.5" x14ac:dyDescent="0.2">
      <c r="A113" s="90">
        <v>22</v>
      </c>
      <c r="B113" s="112"/>
      <c r="C113" s="113" t="s">
        <v>199</v>
      </c>
      <c r="D113" s="114">
        <f>D114+D115</f>
        <v>495560.95</v>
      </c>
      <c r="E113" s="114">
        <f t="shared" ref="E113:G113" si="15">E114+E115</f>
        <v>1521.28</v>
      </c>
      <c r="F113" s="114">
        <f t="shared" si="15"/>
        <v>366.44</v>
      </c>
      <c r="G113" s="114">
        <f t="shared" si="15"/>
        <v>21192.26</v>
      </c>
      <c r="H113" s="114">
        <f t="shared" si="13"/>
        <v>518640.93</v>
      </c>
    </row>
    <row r="114" spans="1:8" ht="25.5" x14ac:dyDescent="0.2">
      <c r="A114" s="90">
        <v>23</v>
      </c>
      <c r="B114" s="115"/>
      <c r="C114" s="116" t="s">
        <v>200</v>
      </c>
      <c r="D114" s="96">
        <f>D104+D110</f>
        <v>24328.3</v>
      </c>
      <c r="E114" s="96">
        <f t="shared" ref="E114:G115" si="16">E104+E110</f>
        <v>0</v>
      </c>
      <c r="F114" s="96">
        <f t="shared" si="16"/>
        <v>270.08999999999997</v>
      </c>
      <c r="G114" s="96">
        <f t="shared" si="16"/>
        <v>11577.74</v>
      </c>
      <c r="H114" s="96">
        <f t="shared" si="13"/>
        <v>36176.129999999997</v>
      </c>
    </row>
    <row r="115" spans="1:8" ht="25.5" x14ac:dyDescent="0.2">
      <c r="A115" s="90">
        <v>24</v>
      </c>
      <c r="B115" s="115"/>
      <c r="C115" s="116" t="s">
        <v>201</v>
      </c>
      <c r="D115" s="96">
        <f>D105+D111</f>
        <v>471232.65</v>
      </c>
      <c r="E115" s="96">
        <f t="shared" si="16"/>
        <v>1521.28</v>
      </c>
      <c r="F115" s="96">
        <f t="shared" si="16"/>
        <v>96.35</v>
      </c>
      <c r="G115" s="96">
        <f t="shared" si="16"/>
        <v>9614.52</v>
      </c>
      <c r="H115" s="96">
        <f t="shared" si="13"/>
        <v>482464.8</v>
      </c>
    </row>
    <row r="116" spans="1:8" x14ac:dyDescent="0.2">
      <c r="A116" s="90">
        <v>25</v>
      </c>
      <c r="B116" s="115"/>
      <c r="C116" s="117" t="s">
        <v>202</v>
      </c>
      <c r="D116" s="92">
        <f>D113*0.2</f>
        <v>99112.19</v>
      </c>
      <c r="E116" s="92">
        <f t="shared" ref="E116:G116" si="17">E113*0.2</f>
        <v>304.26</v>
      </c>
      <c r="F116" s="92">
        <f t="shared" si="17"/>
        <v>73.290000000000006</v>
      </c>
      <c r="G116" s="92">
        <f t="shared" si="17"/>
        <v>4238.45</v>
      </c>
      <c r="H116" s="92">
        <f t="shared" si="13"/>
        <v>103728.19</v>
      </c>
    </row>
    <row r="117" spans="1:8" ht="25.5" x14ac:dyDescent="0.2">
      <c r="A117" s="90">
        <v>26</v>
      </c>
      <c r="B117" s="115"/>
      <c r="C117" s="118" t="s">
        <v>203</v>
      </c>
      <c r="D117" s="99">
        <f t="shared" ref="D117:G118" si="18">D114*0.2</f>
        <v>4865.66</v>
      </c>
      <c r="E117" s="99">
        <f t="shared" si="18"/>
        <v>0</v>
      </c>
      <c r="F117" s="99">
        <f t="shared" si="18"/>
        <v>54.02</v>
      </c>
      <c r="G117" s="99">
        <f t="shared" si="18"/>
        <v>2315.5500000000002</v>
      </c>
      <c r="H117" s="99">
        <f t="shared" si="13"/>
        <v>7235.23</v>
      </c>
    </row>
    <row r="118" spans="1:8" ht="25.5" x14ac:dyDescent="0.2">
      <c r="A118" s="90">
        <v>27</v>
      </c>
      <c r="B118" s="115"/>
      <c r="C118" s="118" t="s">
        <v>204</v>
      </c>
      <c r="D118" s="99">
        <f t="shared" si="18"/>
        <v>94246.53</v>
      </c>
      <c r="E118" s="99">
        <f t="shared" si="18"/>
        <v>304.26</v>
      </c>
      <c r="F118" s="99">
        <f t="shared" si="18"/>
        <v>19.27</v>
      </c>
      <c r="G118" s="99">
        <f t="shared" si="18"/>
        <v>1922.9</v>
      </c>
      <c r="H118" s="99">
        <f t="shared" si="13"/>
        <v>96492.96</v>
      </c>
    </row>
    <row r="119" spans="1:8" ht="25.5" x14ac:dyDescent="0.2">
      <c r="A119" s="90">
        <v>28</v>
      </c>
      <c r="B119" s="115"/>
      <c r="C119" s="113" t="s">
        <v>205</v>
      </c>
      <c r="D119" s="94">
        <f>D113+D116</f>
        <v>594673.14</v>
      </c>
      <c r="E119" s="94">
        <f t="shared" ref="E119:G120" si="19">E113+E116</f>
        <v>1825.54</v>
      </c>
      <c r="F119" s="94">
        <f t="shared" si="19"/>
        <v>439.73</v>
      </c>
      <c r="G119" s="94">
        <f t="shared" si="19"/>
        <v>25430.71</v>
      </c>
      <c r="H119" s="96">
        <f t="shared" si="13"/>
        <v>622369.12</v>
      </c>
    </row>
    <row r="120" spans="1:8" ht="25.5" x14ac:dyDescent="0.2">
      <c r="A120" s="90">
        <v>29</v>
      </c>
      <c r="B120" s="115"/>
      <c r="C120" s="116" t="s">
        <v>206</v>
      </c>
      <c r="D120" s="94">
        <f>D114+D117</f>
        <v>29193.96</v>
      </c>
      <c r="E120" s="94">
        <f t="shared" si="19"/>
        <v>0</v>
      </c>
      <c r="F120" s="94">
        <f t="shared" si="19"/>
        <v>324.11</v>
      </c>
      <c r="G120" s="94">
        <f t="shared" si="19"/>
        <v>13893.29</v>
      </c>
      <c r="H120" s="96">
        <f t="shared" si="13"/>
        <v>43411.360000000001</v>
      </c>
    </row>
    <row r="121" spans="1:8" ht="25.5" x14ac:dyDescent="0.2">
      <c r="A121" s="90">
        <v>30</v>
      </c>
      <c r="B121" s="115"/>
      <c r="C121" s="116" t="s">
        <v>207</v>
      </c>
      <c r="D121" s="94">
        <f t="shared" ref="D121:G121" si="20">D115+D118</f>
        <v>565479.18000000005</v>
      </c>
      <c r="E121" s="94">
        <f t="shared" si="20"/>
        <v>1825.54</v>
      </c>
      <c r="F121" s="94">
        <f t="shared" si="20"/>
        <v>115.62</v>
      </c>
      <c r="G121" s="94">
        <f t="shared" si="20"/>
        <v>11537.42</v>
      </c>
      <c r="H121" s="96">
        <f t="shared" si="13"/>
        <v>578957.76</v>
      </c>
    </row>
    <row r="122" spans="1:8" ht="25.5" x14ac:dyDescent="0.2">
      <c r="A122" s="90">
        <v>31</v>
      </c>
      <c r="B122" s="115"/>
      <c r="C122" s="91" t="s">
        <v>208</v>
      </c>
      <c r="D122" s="93"/>
      <c r="E122" s="93"/>
      <c r="F122" s="93"/>
      <c r="G122" s="93">
        <f>G93+G94</f>
        <v>9664.14</v>
      </c>
      <c r="H122" s="93">
        <f t="shared" si="13"/>
        <v>9664.14</v>
      </c>
    </row>
    <row r="123" spans="1:8" x14ac:dyDescent="0.2">
      <c r="A123" s="90">
        <v>32</v>
      </c>
      <c r="B123" s="115"/>
      <c r="C123" s="98" t="s">
        <v>209</v>
      </c>
      <c r="D123" s="119">
        <f>D124+D125</f>
        <v>1947.08</v>
      </c>
      <c r="E123" s="119">
        <f t="shared" ref="E123" si="21">E124+E125</f>
        <v>5.98</v>
      </c>
      <c r="F123" s="119"/>
      <c r="G123" s="119"/>
      <c r="H123" s="119">
        <f t="shared" si="13"/>
        <v>1953.06</v>
      </c>
    </row>
    <row r="124" spans="1:8" x14ac:dyDescent="0.2">
      <c r="A124" s="90">
        <v>33</v>
      </c>
      <c r="B124" s="115"/>
      <c r="C124" s="98" t="s">
        <v>210</v>
      </c>
      <c r="D124" s="119">
        <f>D65*1.2</f>
        <v>95.59</v>
      </c>
      <c r="E124" s="119"/>
      <c r="F124" s="119"/>
      <c r="G124" s="119"/>
      <c r="H124" s="119">
        <f t="shared" si="13"/>
        <v>95.59</v>
      </c>
    </row>
    <row r="125" spans="1:8" x14ac:dyDescent="0.2">
      <c r="A125" s="90">
        <v>34</v>
      </c>
      <c r="B125" s="115"/>
      <c r="C125" s="98" t="s">
        <v>211</v>
      </c>
      <c r="D125" s="119">
        <f>D67*1.2</f>
        <v>1851.49</v>
      </c>
      <c r="E125" s="119">
        <f>E67*1.2</f>
        <v>5.98</v>
      </c>
      <c r="F125" s="119"/>
      <c r="G125" s="119"/>
      <c r="H125" s="119">
        <f t="shared" si="13"/>
        <v>1857.47</v>
      </c>
    </row>
    <row r="126" spans="1:8" x14ac:dyDescent="0.2">
      <c r="A126" s="120"/>
      <c r="B126" s="121"/>
      <c r="C126" s="122"/>
      <c r="D126" s="123"/>
      <c r="E126" s="123"/>
      <c r="F126" s="123"/>
      <c r="G126" s="123"/>
      <c r="H126" s="123"/>
    </row>
    <row r="127" spans="1:8" x14ac:dyDescent="0.2">
      <c r="A127" s="120"/>
      <c r="B127" s="121"/>
      <c r="C127" s="122"/>
      <c r="D127" s="123"/>
      <c r="E127" s="123"/>
      <c r="F127" s="123"/>
      <c r="G127" s="123"/>
      <c r="H127" s="123"/>
    </row>
    <row r="128" spans="1:8" x14ac:dyDescent="0.2">
      <c r="A128" s="124"/>
      <c r="B128" s="124"/>
      <c r="C128" s="124" t="s">
        <v>212</v>
      </c>
      <c r="D128" s="125"/>
      <c r="E128" s="125"/>
      <c r="F128" s="124" t="s">
        <v>213</v>
      </c>
      <c r="G128" s="124"/>
      <c r="H128" s="124"/>
    </row>
    <row r="129" spans="1:8" x14ac:dyDescent="0.2">
      <c r="A129" s="124"/>
      <c r="B129" s="124"/>
      <c r="C129" s="124"/>
      <c r="D129" s="307" t="s">
        <v>28</v>
      </c>
      <c r="E129" s="307"/>
      <c r="F129" s="124"/>
      <c r="G129" s="124"/>
      <c r="H129" s="124"/>
    </row>
    <row r="130" spans="1:8" x14ac:dyDescent="0.2">
      <c r="A130" s="124"/>
      <c r="B130" s="124"/>
      <c r="C130" s="126"/>
      <c r="D130" s="126"/>
      <c r="E130" s="126"/>
      <c r="F130" s="126"/>
      <c r="G130" s="126"/>
      <c r="H130" s="124"/>
    </row>
    <row r="131" spans="1:8" x14ac:dyDescent="0.2">
      <c r="A131" s="124"/>
      <c r="B131" s="124"/>
      <c r="C131" s="124" t="s">
        <v>214</v>
      </c>
      <c r="D131" s="125"/>
      <c r="E131" s="125"/>
      <c r="F131" s="124" t="s">
        <v>215</v>
      </c>
      <c r="G131" s="124"/>
      <c r="H131" s="124"/>
    </row>
    <row r="132" spans="1:8" x14ac:dyDescent="0.2">
      <c r="A132" s="124"/>
      <c r="B132" s="124"/>
      <c r="C132" s="124"/>
      <c r="D132" s="308" t="s">
        <v>28</v>
      </c>
      <c r="E132" s="308"/>
      <c r="F132" s="124"/>
      <c r="G132" s="124"/>
      <c r="H132" s="124"/>
    </row>
    <row r="133" spans="1:8" x14ac:dyDescent="0.2">
      <c r="A133" s="124"/>
      <c r="B133" s="124"/>
      <c r="C133" s="126"/>
      <c r="D133" s="126"/>
      <c r="E133" s="126"/>
      <c r="F133" s="126"/>
      <c r="G133" s="126"/>
      <c r="H133" s="124"/>
    </row>
    <row r="134" spans="1:8" ht="58.15" customHeight="1" x14ac:dyDescent="0.2">
      <c r="A134" s="124"/>
      <c r="B134" s="124"/>
      <c r="C134" s="127" t="s">
        <v>216</v>
      </c>
      <c r="D134" s="124"/>
      <c r="E134" s="124"/>
      <c r="F134" s="124" t="s">
        <v>217</v>
      </c>
      <c r="G134" s="124"/>
      <c r="H134" s="124"/>
    </row>
    <row r="135" spans="1:8" ht="29.45" customHeight="1" x14ac:dyDescent="0.2">
      <c r="A135" s="124"/>
      <c r="B135" s="124"/>
      <c r="C135" s="127"/>
      <c r="D135" s="309" t="s">
        <v>218</v>
      </c>
      <c r="E135" s="309"/>
      <c r="F135" s="127"/>
      <c r="G135" s="127"/>
      <c r="H135" s="124"/>
    </row>
    <row r="136" spans="1:8" ht="76.5" x14ac:dyDescent="0.2">
      <c r="A136" s="124"/>
      <c r="B136" s="124"/>
      <c r="C136" s="127" t="s">
        <v>219</v>
      </c>
      <c r="D136" s="125"/>
      <c r="E136" s="125"/>
      <c r="F136" s="124" t="s">
        <v>220</v>
      </c>
      <c r="G136" s="124"/>
      <c r="H136" s="124"/>
    </row>
    <row r="137" spans="1:8" ht="36" customHeight="1" x14ac:dyDescent="0.2">
      <c r="A137" s="128"/>
      <c r="B137" s="128"/>
      <c r="C137" s="128"/>
      <c r="D137" s="310" t="s">
        <v>218</v>
      </c>
      <c r="E137" s="310"/>
      <c r="F137" s="128"/>
      <c r="G137" s="128"/>
      <c r="H137" s="128"/>
    </row>
    <row r="138" spans="1:8" x14ac:dyDescent="0.2">
      <c r="A138" s="129"/>
      <c r="B138" s="130"/>
      <c r="C138" s="130"/>
      <c r="D138" s="130"/>
      <c r="E138" s="130"/>
      <c r="F138" s="130"/>
      <c r="G138" s="130"/>
      <c r="H138" s="130"/>
    </row>
    <row r="140" spans="1:8" x14ac:dyDescent="0.2">
      <c r="D140" s="62">
        <v>594673.14</v>
      </c>
      <c r="E140" s="62">
        <v>1825.54</v>
      </c>
      <c r="F140" s="62">
        <v>439.73</v>
      </c>
      <c r="G140" s="62">
        <v>25430.71</v>
      </c>
      <c r="H140" s="62">
        <v>622369.12</v>
      </c>
    </row>
    <row r="141" spans="1:8" x14ac:dyDescent="0.2">
      <c r="D141" s="62">
        <v>29193.96</v>
      </c>
      <c r="E141" s="62">
        <v>0</v>
      </c>
      <c r="F141" s="62">
        <v>324.11</v>
      </c>
      <c r="G141" s="62">
        <v>13893.29</v>
      </c>
      <c r="H141" s="62">
        <v>43411.360000000001</v>
      </c>
    </row>
    <row r="142" spans="1:8" x14ac:dyDescent="0.2">
      <c r="D142" s="62">
        <v>565479.18000000005</v>
      </c>
      <c r="E142" s="62">
        <v>1825.54</v>
      </c>
      <c r="F142" s="62">
        <v>115.62</v>
      </c>
      <c r="G142" s="62">
        <v>11537.42</v>
      </c>
      <c r="H142" s="62">
        <v>578957.76</v>
      </c>
    </row>
    <row r="143" spans="1:8" x14ac:dyDescent="0.2">
      <c r="D143" s="62" t="b">
        <f>D119=D140</f>
        <v>1</v>
      </c>
      <c r="E143" s="62" t="b">
        <f t="shared" ref="E143:H143" si="22">E119=E140</f>
        <v>1</v>
      </c>
      <c r="F143" s="62" t="b">
        <f t="shared" si="22"/>
        <v>1</v>
      </c>
      <c r="G143" s="62" t="b">
        <f t="shared" si="22"/>
        <v>1</v>
      </c>
      <c r="H143" s="62" t="b">
        <f t="shared" si="22"/>
        <v>1</v>
      </c>
    </row>
    <row r="144" spans="1:8" x14ac:dyDescent="0.2">
      <c r="D144" s="62" t="b">
        <f t="shared" ref="D144:H145" si="23">D120=D141</f>
        <v>1</v>
      </c>
      <c r="E144" s="62" t="b">
        <f t="shared" si="23"/>
        <v>1</v>
      </c>
      <c r="F144" s="62" t="b">
        <f t="shared" si="23"/>
        <v>1</v>
      </c>
      <c r="G144" s="62" t="b">
        <f t="shared" si="23"/>
        <v>1</v>
      </c>
      <c r="H144" s="62" t="b">
        <f t="shared" si="23"/>
        <v>1</v>
      </c>
    </row>
    <row r="145" spans="4:8" x14ac:dyDescent="0.2">
      <c r="D145" s="62" t="b">
        <f t="shared" si="23"/>
        <v>1</v>
      </c>
      <c r="E145" s="62" t="b">
        <f t="shared" si="23"/>
        <v>1</v>
      </c>
      <c r="F145" s="62" t="b">
        <f t="shared" si="23"/>
        <v>1</v>
      </c>
      <c r="G145" s="62" t="b">
        <f t="shared" si="23"/>
        <v>1</v>
      </c>
      <c r="H145" s="62" t="b">
        <f t="shared" si="23"/>
        <v>1</v>
      </c>
    </row>
  </sheetData>
  <mergeCells count="56">
    <mergeCell ref="D129:E129"/>
    <mergeCell ref="D132:E132"/>
    <mergeCell ref="D135:E135"/>
    <mergeCell ref="D137:E137"/>
    <mergeCell ref="B105:C105"/>
    <mergeCell ref="A106:H106"/>
    <mergeCell ref="B109:C109"/>
    <mergeCell ref="B110:C110"/>
    <mergeCell ref="B111:C111"/>
    <mergeCell ref="A112:H112"/>
    <mergeCell ref="B104:C104"/>
    <mergeCell ref="B84:C84"/>
    <mergeCell ref="B85:C85"/>
    <mergeCell ref="A86:H86"/>
    <mergeCell ref="B89:C89"/>
    <mergeCell ref="B90:C90"/>
    <mergeCell ref="B91:C91"/>
    <mergeCell ref="A92:H92"/>
    <mergeCell ref="B100:C100"/>
    <mergeCell ref="B101:C101"/>
    <mergeCell ref="B102:C102"/>
    <mergeCell ref="B103:C103"/>
    <mergeCell ref="B83:C83"/>
    <mergeCell ref="A63:H63"/>
    <mergeCell ref="B68:C68"/>
    <mergeCell ref="B69:C69"/>
    <mergeCell ref="B70:C70"/>
    <mergeCell ref="B71:C71"/>
    <mergeCell ref="B72:C72"/>
    <mergeCell ref="B73:C73"/>
    <mergeCell ref="A74:H74"/>
    <mergeCell ref="B80:C80"/>
    <mergeCell ref="B81:C81"/>
    <mergeCell ref="B82:C82"/>
    <mergeCell ref="B62:C62"/>
    <mergeCell ref="F35:F37"/>
    <mergeCell ref="G35:G37"/>
    <mergeCell ref="A39:H39"/>
    <mergeCell ref="B42:C42"/>
    <mergeCell ref="B43:C43"/>
    <mergeCell ref="B44:C44"/>
    <mergeCell ref="B57:C57"/>
    <mergeCell ref="B58:C58"/>
    <mergeCell ref="B59:C59"/>
    <mergeCell ref="B60:C60"/>
    <mergeCell ref="B61:C61"/>
    <mergeCell ref="C11:G11"/>
    <mergeCell ref="A26:H26"/>
    <mergeCell ref="B28:H28"/>
    <mergeCell ref="A34:A37"/>
    <mergeCell ref="B34:B37"/>
    <mergeCell ref="C34:C37"/>
    <mergeCell ref="D34:G34"/>
    <mergeCell ref="H34:H37"/>
    <mergeCell ref="D35:D37"/>
    <mergeCell ref="E35:E37"/>
  </mergeCells>
  <conditionalFormatting sqref="D143:H145">
    <cfRule type="containsText" dxfId="1" priority="1" operator="containsText" text="ложь">
      <formula>NOT(ISERROR(SEARCH("ложь",D143)))</formula>
    </cfRule>
    <cfRule type="containsText" dxfId="0" priority="2" operator="containsText" text="истина">
      <formula>NOT(ISERROR(SEARCH("истина",D143)))</formula>
    </cfRule>
  </conditionalFormatting>
  <printOptions horizontalCentered="1"/>
  <pageMargins left="0.39370078740157483" right="0.39370078740157483" top="0.98425196850393704" bottom="0.39370078740157483" header="0.31496062992125984" footer="0.31496062992125984"/>
  <pageSetup paperSize="9" fitToHeight="20" orientation="landscape" r:id="rId1"/>
  <headerFooter alignWithMargins="0">
    <oddHeader>&amp;LГРАНД-Смета 2021</oddHeader>
  </headerFooter>
  <rowBreaks count="3" manualBreakCount="3">
    <brk id="33" max="16383" man="1"/>
    <brk id="105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12</vt:i4>
      </vt:variant>
    </vt:vector>
  </HeadingPairs>
  <TitlesOfParts>
    <vt:vector size="22" baseType="lpstr">
      <vt:lpstr>ПЗ</vt:lpstr>
      <vt:lpstr>НМЦ</vt:lpstr>
      <vt:lpstr>Протокол НМЦ</vt:lpstr>
      <vt:lpstr>ВОР</vt:lpstr>
      <vt:lpstr>Смета контракта</vt:lpstr>
      <vt:lpstr>НМЦК</vt:lpstr>
      <vt:lpstr>Затраты подрядчика </vt:lpstr>
      <vt:lpstr>ПИР РД_тц</vt:lpstr>
      <vt:lpstr>ССРСС ТУЦ</vt:lpstr>
      <vt:lpstr>ССР с Горными работами</vt:lpstr>
      <vt:lpstr>'Затраты подрядчика '!Заголовки_для_печати</vt:lpstr>
      <vt:lpstr>НМЦК!Заголовки_для_печати</vt:lpstr>
      <vt:lpstr>'ПИР РД_тц'!Заголовки_для_печати</vt:lpstr>
      <vt:lpstr>'ССР с Горными работами'!Заголовки_для_печати</vt:lpstr>
      <vt:lpstr>'ССРСС ТУЦ'!Заголовки_для_печати</vt:lpstr>
      <vt:lpstr>'Затраты подрядчика '!Область_печати</vt:lpstr>
      <vt:lpstr>НМЦ!Область_печати</vt:lpstr>
      <vt:lpstr>НМЦК!Область_печати</vt:lpstr>
      <vt:lpstr>ПЗ!Область_печати</vt:lpstr>
      <vt:lpstr>'ПИР РД_тц'!Область_печати</vt:lpstr>
      <vt:lpstr>'Протокол НМЦ'!Область_печати</vt:lpstr>
      <vt:lpstr>'Смета контракта'!Область_печати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Будников Василий Геннадьевич</cp:lastModifiedBy>
  <cp:lastPrinted>2021-10-08T12:24:59Z</cp:lastPrinted>
  <dcterms:created xsi:type="dcterms:W3CDTF">2019-08-12T13:12:09Z</dcterms:created>
  <dcterms:modified xsi:type="dcterms:W3CDTF">2021-10-08T12:25:05Z</dcterms:modified>
</cp:coreProperties>
</file>