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Департамент торгов\ПРОЦЕДУРЫ\2-1 КОНКУРС в электронной форме\ОКЭФ-202 ПИР и СМР Энергоцентр 44-фз\"/>
    </mc:Choice>
  </mc:AlternateContent>
  <bookViews>
    <workbookView xWindow="0" yWindow="0" windowWidth="28800" windowHeight="12330" tabRatio="847" activeTab="3"/>
  </bookViews>
  <sheets>
    <sheet name="График" sheetId="219" r:id="rId1"/>
    <sheet name="Пояснительная" sheetId="36" r:id="rId2"/>
    <sheet name="Протокол" sheetId="37" r:id="rId3"/>
    <sheet name="НМЦ" sheetId="33" r:id="rId4"/>
    <sheet name="НМЦК (ПИР)" sheetId="205" r:id="rId5"/>
    <sheet name="НМЦК" sheetId="34" state="hidden" r:id="rId6"/>
    <sheet name="Cводная смета ПИР" sheetId="26" r:id="rId7"/>
    <sheet name="ИГДИ" sheetId="201" r:id="rId8"/>
    <sheet name="ИГИ" sheetId="220" r:id="rId9"/>
    <sheet name="ИГМИ" sheetId="207" r:id="rId10"/>
    <sheet name="Экология" sheetId="203" r:id="rId11"/>
    <sheet name="Археология" sheetId="199" r:id="rId12"/>
    <sheet name="ВОП" sheetId="202" r:id="rId13"/>
    <sheet name="ПД" sheetId="228" r:id="rId14"/>
    <sheet name="РД" sheetId="229" r:id="rId15"/>
    <sheet name="ОВОС" sheetId="179" r:id="rId16"/>
    <sheet name="Экспертиза ГЭЭ" sheetId="180" r:id="rId17"/>
    <sheet name="Экспертиза ГГЭ" sheetId="70" r:id="rId18"/>
    <sheet name="Прогнозные индексы" sheetId="130" r:id="rId19"/>
    <sheet name="Индексы Росстата" sheetId="221" state="hidden" r:id="rId20"/>
    <sheet name="КСБ Архыз Удельные показатели" sheetId="211" state="hidden" r:id="rId21"/>
    <sheet name="КВЛ (в работе!)" sheetId="222" state="hidden" r:id="rId22"/>
  </sheets>
  <externalReferences>
    <externalReference r:id="rId23"/>
    <externalReference r:id="rId24"/>
  </externalReferences>
  <definedNames>
    <definedName name="_" localSheetId="11" hidden="1">{"IMRAK42x8x8",#N/A,TRUE,"IMRAK 1400 42U 800X800";"IMRAK32x6x6",#N/A,TRUE,"IMRAK 1400 32U 600x600";"IMRAK42x12x8",#N/A,TRUE,"IMRAK 1400 42U 1200x800";"IMRAK15x6x4",#N/A,TRUE,"IMRAK 400 15U FRONT SECTION"}</definedName>
    <definedName name="_" localSheetId="19" hidden="1">{"IMRAK42x8x8",#N/A,TRUE,"IMRAK 1400 42U 800X800";"IMRAK32x6x6",#N/A,TRUE,"IMRAK 1400 32U 600x600";"IMRAK42x12x8",#N/A,TRUE,"IMRAK 1400 42U 1200x800";"IMRAK15x6x4",#N/A,TRUE,"IMRAK 400 15U FRONT SECTION"}</definedName>
    <definedName name="_" localSheetId="21" hidden="1">{"IMRAK42x8x8",#N/A,TRUE,"IMRAK 1400 42U 800X800";"IMRAK32x6x6",#N/A,TRUE,"IMRAK 1400 32U 600x600";"IMRAK42x12x8",#N/A,TRUE,"IMRAK 1400 42U 1200x800";"IMRAK15x6x4",#N/A,TRUE,"IMRAK 400 15U FRONT SECTION"}</definedName>
    <definedName name="_" localSheetId="20" hidden="1">{"IMRAK42x8x8",#N/A,TRUE,"IMRAK 1400 42U 800X800";"IMRAK32x6x6",#N/A,TRUE,"IMRAK 1400 32U 600x600";"IMRAK42x12x8",#N/A,TRUE,"IMRAK 1400 42U 1200x800";"IMRAK15x6x4",#N/A,TRUE,"IMRAK 400 15U FRONT SECTION"}</definedName>
    <definedName name="_" localSheetId="4" hidden="1">{"IMRAK42x8x8",#N/A,TRUE,"IMRAK 1400 42U 800X800";"IMRAK32x6x6",#N/A,TRUE,"IMRAK 1400 32U 600x600";"IMRAK42x12x8",#N/A,TRUE,"IMRAK 1400 42U 1200x800";"IMRAK15x6x4",#N/A,TRUE,"IMRAK 400 15U FRONT SECTION"}</definedName>
    <definedName name="_" localSheetId="10" hidden="1">{"IMRAK42x8x8",#N/A,TRUE,"IMRAK 1400 42U 800X800";"IMRAK32x6x6",#N/A,TRUE,"IMRAK 1400 32U 600x600";"IMRAK42x12x8",#N/A,TRUE,"IMRAK 1400 42U 1200x800";"IMRAK15x6x4",#N/A,TRUE,"IMRAK 400 15U FRONT SECTION"}</definedName>
    <definedName name="_" hidden="1">{"IMRAK42x8x8",#N/A,TRUE,"IMRAK 1400 42U 800X800";"IMRAK32x6x6",#N/A,TRUE,"IMRAK 1400 32U 600x600";"IMRAK42x12x8",#N/A,TRUE,"IMRAK 1400 42U 1200x800";"IMRAK15x6x4",#N/A,TRUE,"IMRAK 400 15U FRONT SECTION"}</definedName>
    <definedName name="___________App2" localSheetId="11" hidden="1">{"IMRAK42x8x8",#N/A,TRUE,"IMRAK 1400 42U 800X800";"IMRAK32x6x6",#N/A,TRUE,"IMRAK 1400 32U 600x600";"IMRAK42x12x8",#N/A,TRUE,"IMRAK 1400 42U 1200x800";"IMRAK15x6x4",#N/A,TRUE,"IMRAK 400 15U FRONT SECTION"}</definedName>
    <definedName name="___________App2" localSheetId="19" hidden="1">{"IMRAK42x8x8",#N/A,TRUE,"IMRAK 1400 42U 800X800";"IMRAK32x6x6",#N/A,TRUE,"IMRAK 1400 32U 600x600";"IMRAK42x12x8",#N/A,TRUE,"IMRAK 1400 42U 1200x800";"IMRAK15x6x4",#N/A,TRUE,"IMRAK 400 15U FRONT SECTION"}</definedName>
    <definedName name="___________App2" localSheetId="21" hidden="1">{"IMRAK42x8x8",#N/A,TRUE,"IMRAK 1400 42U 800X800";"IMRAK32x6x6",#N/A,TRUE,"IMRAK 1400 32U 600x600";"IMRAK42x12x8",#N/A,TRUE,"IMRAK 1400 42U 1200x800";"IMRAK15x6x4",#N/A,TRUE,"IMRAK 400 15U FRONT SECTION"}</definedName>
    <definedName name="___________App2" localSheetId="20" hidden="1">{"IMRAK42x8x8",#N/A,TRUE,"IMRAK 1400 42U 800X800";"IMRAK32x6x6",#N/A,TRUE,"IMRAK 1400 32U 600x600";"IMRAK42x12x8",#N/A,TRUE,"IMRAK 1400 42U 1200x800";"IMRAK15x6x4",#N/A,TRUE,"IMRAK 400 15U FRONT SECTION"}</definedName>
    <definedName name="___________App2" localSheetId="4" hidden="1">{"IMRAK42x8x8",#N/A,TRUE,"IMRAK 1400 42U 800X800";"IMRAK32x6x6",#N/A,TRUE,"IMRAK 1400 32U 600x600";"IMRAK42x12x8",#N/A,TRUE,"IMRAK 1400 42U 1200x800";"IMRAK15x6x4",#N/A,TRUE,"IMRAK 400 15U FRONT SECTION"}</definedName>
    <definedName name="___________App2" localSheetId="10" hidden="1">{"IMRAK42x8x8",#N/A,TRUE,"IMRAK 1400 42U 800X800";"IMRAK32x6x6",#N/A,TRUE,"IMRAK 1400 32U 600x600";"IMRAK42x12x8",#N/A,TRUE,"IMRAK 1400 42U 1200x800";"IMRAK15x6x4",#N/A,TRUE,"IMRAK 400 15U FRONT SECTION"}</definedName>
    <definedName name="___________App2" hidden="1">{"IMRAK42x8x8",#N/A,TRUE,"IMRAK 1400 42U 800X800";"IMRAK32x6x6",#N/A,TRUE,"IMRAK 1400 32U 600x600";"IMRAK42x12x8",#N/A,TRUE,"IMRAK 1400 42U 1200x800";"IMRAK15x6x4",#N/A,TRUE,"IMRAK 400 15U FRONT SECTION"}</definedName>
    <definedName name="__________App2" localSheetId="11" hidden="1">{"IMRAK42x8x8",#N/A,TRUE,"IMRAK 1400 42U 800X800";"IMRAK32x6x6",#N/A,TRUE,"IMRAK 1400 32U 600x600";"IMRAK42x12x8",#N/A,TRUE,"IMRAK 1400 42U 1200x800";"IMRAK15x6x4",#N/A,TRUE,"IMRAK 400 15U FRONT SECTION"}</definedName>
    <definedName name="__________App2" localSheetId="19" hidden="1">{"IMRAK42x8x8",#N/A,TRUE,"IMRAK 1400 42U 800X800";"IMRAK32x6x6",#N/A,TRUE,"IMRAK 1400 32U 600x600";"IMRAK42x12x8",#N/A,TRUE,"IMRAK 1400 42U 1200x800";"IMRAK15x6x4",#N/A,TRUE,"IMRAK 400 15U FRONT SECTION"}</definedName>
    <definedName name="__________App2" localSheetId="21" hidden="1">{"IMRAK42x8x8",#N/A,TRUE,"IMRAK 1400 42U 800X800";"IMRAK32x6x6",#N/A,TRUE,"IMRAK 1400 32U 600x600";"IMRAK42x12x8",#N/A,TRUE,"IMRAK 1400 42U 1200x800";"IMRAK15x6x4",#N/A,TRUE,"IMRAK 400 15U FRONT SECTION"}</definedName>
    <definedName name="__________App2" localSheetId="20" hidden="1">{"IMRAK42x8x8",#N/A,TRUE,"IMRAK 1400 42U 800X800";"IMRAK32x6x6",#N/A,TRUE,"IMRAK 1400 32U 600x600";"IMRAK42x12x8",#N/A,TRUE,"IMRAK 1400 42U 1200x800";"IMRAK15x6x4",#N/A,TRUE,"IMRAK 400 15U FRONT SECTION"}</definedName>
    <definedName name="__________App2" localSheetId="4" hidden="1">{"IMRAK42x8x8",#N/A,TRUE,"IMRAK 1400 42U 800X800";"IMRAK32x6x6",#N/A,TRUE,"IMRAK 1400 32U 600x600";"IMRAK42x12x8",#N/A,TRUE,"IMRAK 1400 42U 1200x800";"IMRAK15x6x4",#N/A,TRUE,"IMRAK 400 15U FRONT SECTION"}</definedName>
    <definedName name="__________App2" localSheetId="10" hidden="1">{"IMRAK42x8x8",#N/A,TRUE,"IMRAK 1400 42U 800X800";"IMRAK32x6x6",#N/A,TRUE,"IMRAK 1400 32U 600x600";"IMRAK42x12x8",#N/A,TRUE,"IMRAK 1400 42U 1200x800";"IMRAK15x6x4",#N/A,TRUE,"IMRAK 400 15U FRONT SECTION"}</definedName>
    <definedName name="__________App2" hidden="1">{"IMRAK42x8x8",#N/A,TRUE,"IMRAK 1400 42U 800X800";"IMRAK32x6x6",#N/A,TRUE,"IMRAK 1400 32U 600x600";"IMRAK42x12x8",#N/A,TRUE,"IMRAK 1400 42U 1200x800";"IMRAK15x6x4",#N/A,TRUE,"IMRAK 400 15U FRONT SECTION"}</definedName>
    <definedName name="_________App2" localSheetId="11" hidden="1">{"IMRAK42x8x8",#N/A,TRUE,"IMRAK 1400 42U 800X800";"IMRAK32x6x6",#N/A,TRUE,"IMRAK 1400 32U 600x600";"IMRAK42x12x8",#N/A,TRUE,"IMRAK 1400 42U 1200x800";"IMRAK15x6x4",#N/A,TRUE,"IMRAK 400 15U FRONT SECTION"}</definedName>
    <definedName name="_________App2" localSheetId="19" hidden="1">{"IMRAK42x8x8",#N/A,TRUE,"IMRAK 1400 42U 800X800";"IMRAK32x6x6",#N/A,TRUE,"IMRAK 1400 32U 600x600";"IMRAK42x12x8",#N/A,TRUE,"IMRAK 1400 42U 1200x800";"IMRAK15x6x4",#N/A,TRUE,"IMRAK 400 15U FRONT SECTION"}</definedName>
    <definedName name="_________App2" localSheetId="21" hidden="1">{"IMRAK42x8x8",#N/A,TRUE,"IMRAK 1400 42U 800X800";"IMRAK32x6x6",#N/A,TRUE,"IMRAK 1400 32U 600x600";"IMRAK42x12x8",#N/A,TRUE,"IMRAK 1400 42U 1200x800";"IMRAK15x6x4",#N/A,TRUE,"IMRAK 400 15U FRONT SECTION"}</definedName>
    <definedName name="_________App2" localSheetId="20" hidden="1">{"IMRAK42x8x8",#N/A,TRUE,"IMRAK 1400 42U 800X800";"IMRAK32x6x6",#N/A,TRUE,"IMRAK 1400 32U 600x600";"IMRAK42x12x8",#N/A,TRUE,"IMRAK 1400 42U 1200x800";"IMRAK15x6x4",#N/A,TRUE,"IMRAK 400 15U FRONT SECTION"}</definedName>
    <definedName name="_________App2" localSheetId="4" hidden="1">{"IMRAK42x8x8",#N/A,TRUE,"IMRAK 1400 42U 800X800";"IMRAK32x6x6",#N/A,TRUE,"IMRAK 1400 32U 600x600";"IMRAK42x12x8",#N/A,TRUE,"IMRAK 1400 42U 1200x800";"IMRAK15x6x4",#N/A,TRUE,"IMRAK 400 15U FRONT SECTION"}</definedName>
    <definedName name="_________App2" localSheetId="10" hidden="1">{"IMRAK42x8x8",#N/A,TRUE,"IMRAK 1400 42U 800X800";"IMRAK32x6x6",#N/A,TRUE,"IMRAK 1400 32U 600x600";"IMRAK42x12x8",#N/A,TRUE,"IMRAK 1400 42U 1200x800";"IMRAK15x6x4",#N/A,TRUE,"IMRAK 400 15U FRONT SECTION"}</definedName>
    <definedName name="_________App2" hidden="1">{"IMRAK42x8x8",#N/A,TRUE,"IMRAK 1400 42U 800X800";"IMRAK32x6x6",#N/A,TRUE,"IMRAK 1400 32U 600x600";"IMRAK42x12x8",#N/A,TRUE,"IMRAK 1400 42U 1200x800";"IMRAK15x6x4",#N/A,TRUE,"IMRAK 400 15U FRONT SECTION"}</definedName>
    <definedName name="________App2" localSheetId="11" hidden="1">{"IMRAK42x8x8",#N/A,TRUE,"IMRAK 1400 42U 800X800";"IMRAK32x6x6",#N/A,TRUE,"IMRAK 1400 32U 600x600";"IMRAK42x12x8",#N/A,TRUE,"IMRAK 1400 42U 1200x800";"IMRAK15x6x4",#N/A,TRUE,"IMRAK 400 15U FRONT SECTION"}</definedName>
    <definedName name="________App2" localSheetId="19" hidden="1">{"IMRAK42x8x8",#N/A,TRUE,"IMRAK 1400 42U 800X800";"IMRAK32x6x6",#N/A,TRUE,"IMRAK 1400 32U 600x600";"IMRAK42x12x8",#N/A,TRUE,"IMRAK 1400 42U 1200x800";"IMRAK15x6x4",#N/A,TRUE,"IMRAK 400 15U FRONT SECTION"}</definedName>
    <definedName name="________App2" localSheetId="21" hidden="1">{"IMRAK42x8x8",#N/A,TRUE,"IMRAK 1400 42U 800X800";"IMRAK32x6x6",#N/A,TRUE,"IMRAK 1400 32U 600x600";"IMRAK42x12x8",#N/A,TRUE,"IMRAK 1400 42U 1200x800";"IMRAK15x6x4",#N/A,TRUE,"IMRAK 400 15U FRONT SECTION"}</definedName>
    <definedName name="________App2" localSheetId="20" hidden="1">{"IMRAK42x8x8",#N/A,TRUE,"IMRAK 1400 42U 800X800";"IMRAK32x6x6",#N/A,TRUE,"IMRAK 1400 32U 600x600";"IMRAK42x12x8",#N/A,TRUE,"IMRAK 1400 42U 1200x800";"IMRAK15x6x4",#N/A,TRUE,"IMRAK 400 15U FRONT SECTION"}</definedName>
    <definedName name="________App2" localSheetId="4" hidden="1">{"IMRAK42x8x8",#N/A,TRUE,"IMRAK 1400 42U 800X800";"IMRAK32x6x6",#N/A,TRUE,"IMRAK 1400 32U 600x600";"IMRAK42x12x8",#N/A,TRUE,"IMRAK 1400 42U 1200x800";"IMRAK15x6x4",#N/A,TRUE,"IMRAK 400 15U FRONT SECTION"}</definedName>
    <definedName name="________App2" localSheetId="10" hidden="1">{"IMRAK42x8x8",#N/A,TRUE,"IMRAK 1400 42U 800X800";"IMRAK32x6x6",#N/A,TRUE,"IMRAK 1400 32U 600x600";"IMRAK42x12x8",#N/A,TRUE,"IMRAK 1400 42U 1200x800";"IMRAK15x6x4",#N/A,TRUE,"IMRAK 400 15U FRONT SECTION"}</definedName>
    <definedName name="________App2" hidden="1">{"IMRAK42x8x8",#N/A,TRUE,"IMRAK 1400 42U 800X800";"IMRAK32x6x6",#N/A,TRUE,"IMRAK 1400 32U 600x600";"IMRAK42x12x8",#N/A,TRUE,"IMRAK 1400 42U 1200x800";"IMRAK15x6x4",#N/A,TRUE,"IMRAK 400 15U FRONT SECTION"}</definedName>
    <definedName name="_______App2" localSheetId="11" hidden="1">{"IMRAK42x8x8",#N/A,TRUE,"IMRAK 1400 42U 800X800";"IMRAK32x6x6",#N/A,TRUE,"IMRAK 1400 32U 600x600";"IMRAK42x12x8",#N/A,TRUE,"IMRAK 1400 42U 1200x800";"IMRAK15x6x4",#N/A,TRUE,"IMRAK 400 15U FRONT SECTION"}</definedName>
    <definedName name="_______App2" localSheetId="19" hidden="1">{"IMRAK42x8x8",#N/A,TRUE,"IMRAK 1400 42U 800X800";"IMRAK32x6x6",#N/A,TRUE,"IMRAK 1400 32U 600x600";"IMRAK42x12x8",#N/A,TRUE,"IMRAK 1400 42U 1200x800";"IMRAK15x6x4",#N/A,TRUE,"IMRAK 400 15U FRONT SECTION"}</definedName>
    <definedName name="_______App2" localSheetId="21" hidden="1">{"IMRAK42x8x8",#N/A,TRUE,"IMRAK 1400 42U 800X800";"IMRAK32x6x6",#N/A,TRUE,"IMRAK 1400 32U 600x600";"IMRAK42x12x8",#N/A,TRUE,"IMRAK 1400 42U 1200x800";"IMRAK15x6x4",#N/A,TRUE,"IMRAK 400 15U FRONT SECTION"}</definedName>
    <definedName name="_______App2" localSheetId="20" hidden="1">{"IMRAK42x8x8",#N/A,TRUE,"IMRAK 1400 42U 800X800";"IMRAK32x6x6",#N/A,TRUE,"IMRAK 1400 32U 600x600";"IMRAK42x12x8",#N/A,TRUE,"IMRAK 1400 42U 1200x800";"IMRAK15x6x4",#N/A,TRUE,"IMRAK 400 15U FRONT SECTION"}</definedName>
    <definedName name="_______App2" localSheetId="4" hidden="1">{"IMRAK42x8x8",#N/A,TRUE,"IMRAK 1400 42U 800X800";"IMRAK32x6x6",#N/A,TRUE,"IMRAK 1400 32U 600x600";"IMRAK42x12x8",#N/A,TRUE,"IMRAK 1400 42U 1200x800";"IMRAK15x6x4",#N/A,TRUE,"IMRAK 400 15U FRONT SECTION"}</definedName>
    <definedName name="_______App2" localSheetId="10" hidden="1">{"IMRAK42x8x8",#N/A,TRUE,"IMRAK 1400 42U 800X800";"IMRAK32x6x6",#N/A,TRUE,"IMRAK 1400 32U 600x600";"IMRAK42x12x8",#N/A,TRUE,"IMRAK 1400 42U 1200x800";"IMRAK15x6x4",#N/A,TRUE,"IMRAK 400 15U FRONT SECTION"}</definedName>
    <definedName name="_______App2" hidden="1">{"IMRAK42x8x8",#N/A,TRUE,"IMRAK 1400 42U 800X800";"IMRAK32x6x6",#N/A,TRUE,"IMRAK 1400 32U 600x600";"IMRAK42x12x8",#N/A,TRUE,"IMRAK 1400 42U 1200x800";"IMRAK15x6x4",#N/A,TRUE,"IMRAK 400 15U FRONT SECTION"}</definedName>
    <definedName name="______App2" localSheetId="11" hidden="1">{"IMRAK42x8x8",#N/A,TRUE,"IMRAK 1400 42U 800X800";"IMRAK32x6x6",#N/A,TRUE,"IMRAK 1400 32U 600x600";"IMRAK42x12x8",#N/A,TRUE,"IMRAK 1400 42U 1200x800";"IMRAK15x6x4",#N/A,TRUE,"IMRAK 400 15U FRONT SECTION"}</definedName>
    <definedName name="______App2" localSheetId="19" hidden="1">{"IMRAK42x8x8",#N/A,TRUE,"IMRAK 1400 42U 800X800";"IMRAK32x6x6",#N/A,TRUE,"IMRAK 1400 32U 600x600";"IMRAK42x12x8",#N/A,TRUE,"IMRAK 1400 42U 1200x800";"IMRAK15x6x4",#N/A,TRUE,"IMRAK 400 15U FRONT SECTION"}</definedName>
    <definedName name="______App2" localSheetId="21" hidden="1">{"IMRAK42x8x8",#N/A,TRUE,"IMRAK 1400 42U 800X800";"IMRAK32x6x6",#N/A,TRUE,"IMRAK 1400 32U 600x600";"IMRAK42x12x8",#N/A,TRUE,"IMRAK 1400 42U 1200x800";"IMRAK15x6x4",#N/A,TRUE,"IMRAK 400 15U FRONT SECTION"}</definedName>
    <definedName name="______App2" localSheetId="20" hidden="1">{"IMRAK42x8x8",#N/A,TRUE,"IMRAK 1400 42U 800X800";"IMRAK32x6x6",#N/A,TRUE,"IMRAK 1400 32U 600x600";"IMRAK42x12x8",#N/A,TRUE,"IMRAK 1400 42U 1200x800";"IMRAK15x6x4",#N/A,TRUE,"IMRAK 400 15U FRONT SECTION"}</definedName>
    <definedName name="______App2" localSheetId="4" hidden="1">{"IMRAK42x8x8",#N/A,TRUE,"IMRAK 1400 42U 800X800";"IMRAK32x6x6",#N/A,TRUE,"IMRAK 1400 32U 600x600";"IMRAK42x12x8",#N/A,TRUE,"IMRAK 1400 42U 1200x800";"IMRAK15x6x4",#N/A,TRUE,"IMRAK 400 15U FRONT SECTION"}</definedName>
    <definedName name="______App2" localSheetId="10" hidden="1">{"IMRAK42x8x8",#N/A,TRUE,"IMRAK 1400 42U 800X800";"IMRAK32x6x6",#N/A,TRUE,"IMRAK 1400 32U 600x600";"IMRAK42x12x8",#N/A,TRUE,"IMRAK 1400 42U 1200x800";"IMRAK15x6x4",#N/A,TRUE,"IMRAK 400 15U FRONT SECTION"}</definedName>
    <definedName name="______App2" hidden="1">{"IMRAK42x8x8",#N/A,TRUE,"IMRAK 1400 42U 800X800";"IMRAK32x6x6",#N/A,TRUE,"IMRAK 1400 32U 600x600";"IMRAK42x12x8",#N/A,TRUE,"IMRAK 1400 42U 1200x800";"IMRAK15x6x4",#N/A,TRUE,"IMRAK 400 15U FRONT SECTION"}</definedName>
    <definedName name="_____App2" localSheetId="11" hidden="1">{"IMRAK42x8x8",#N/A,TRUE,"IMRAK 1400 42U 800X800";"IMRAK32x6x6",#N/A,TRUE,"IMRAK 1400 32U 600x600";"IMRAK42x12x8",#N/A,TRUE,"IMRAK 1400 42U 1200x800";"IMRAK15x6x4",#N/A,TRUE,"IMRAK 400 15U FRONT SECTION"}</definedName>
    <definedName name="_____App2" localSheetId="19" hidden="1">{"IMRAK42x8x8",#N/A,TRUE,"IMRAK 1400 42U 800X800";"IMRAK32x6x6",#N/A,TRUE,"IMRAK 1400 32U 600x600";"IMRAK42x12x8",#N/A,TRUE,"IMRAK 1400 42U 1200x800";"IMRAK15x6x4",#N/A,TRUE,"IMRAK 400 15U FRONT SECTION"}</definedName>
    <definedName name="_____App2" localSheetId="21" hidden="1">{"IMRAK42x8x8",#N/A,TRUE,"IMRAK 1400 42U 800X800";"IMRAK32x6x6",#N/A,TRUE,"IMRAK 1400 32U 600x600";"IMRAK42x12x8",#N/A,TRUE,"IMRAK 1400 42U 1200x800";"IMRAK15x6x4",#N/A,TRUE,"IMRAK 400 15U FRONT SECTION"}</definedName>
    <definedName name="_____App2" localSheetId="20" hidden="1">{"IMRAK42x8x8",#N/A,TRUE,"IMRAK 1400 42U 800X800";"IMRAK32x6x6",#N/A,TRUE,"IMRAK 1400 32U 600x600";"IMRAK42x12x8",#N/A,TRUE,"IMRAK 1400 42U 1200x800";"IMRAK15x6x4",#N/A,TRUE,"IMRAK 400 15U FRONT SECTION"}</definedName>
    <definedName name="_____App2" localSheetId="4" hidden="1">{"IMRAK42x8x8",#N/A,TRUE,"IMRAK 1400 42U 800X800";"IMRAK32x6x6",#N/A,TRUE,"IMRAK 1400 32U 600x600";"IMRAK42x12x8",#N/A,TRUE,"IMRAK 1400 42U 1200x800";"IMRAK15x6x4",#N/A,TRUE,"IMRAK 400 15U FRONT SECTION"}</definedName>
    <definedName name="_____App2" localSheetId="10" hidden="1">{"IMRAK42x8x8",#N/A,TRUE,"IMRAK 1400 42U 800X800";"IMRAK32x6x6",#N/A,TRUE,"IMRAK 1400 32U 600x600";"IMRAK42x12x8",#N/A,TRUE,"IMRAK 1400 42U 1200x800";"IMRAK15x6x4",#N/A,TRUE,"IMRAK 400 15U FRONT SECTION"}</definedName>
    <definedName name="_____App2" hidden="1">{"IMRAK42x8x8",#N/A,TRUE,"IMRAK 1400 42U 800X800";"IMRAK32x6x6",#N/A,TRUE,"IMRAK 1400 32U 600x600";"IMRAK42x12x8",#N/A,TRUE,"IMRAK 1400 42U 1200x800";"IMRAK15x6x4",#N/A,TRUE,"IMRAK 400 15U FRONT SECTION"}</definedName>
    <definedName name="____App2" localSheetId="11" hidden="1">{"IMRAK42x8x8",#N/A,TRUE,"IMRAK 1400 42U 800X800";"IMRAK32x6x6",#N/A,TRUE,"IMRAK 1400 32U 600x600";"IMRAK42x12x8",#N/A,TRUE,"IMRAK 1400 42U 1200x800";"IMRAK15x6x4",#N/A,TRUE,"IMRAK 400 15U FRONT SECTION"}</definedName>
    <definedName name="____App2" localSheetId="19" hidden="1">{"IMRAK42x8x8",#N/A,TRUE,"IMRAK 1400 42U 800X800";"IMRAK32x6x6",#N/A,TRUE,"IMRAK 1400 32U 600x600";"IMRAK42x12x8",#N/A,TRUE,"IMRAK 1400 42U 1200x800";"IMRAK15x6x4",#N/A,TRUE,"IMRAK 400 15U FRONT SECTION"}</definedName>
    <definedName name="____App2" localSheetId="21" hidden="1">{"IMRAK42x8x8",#N/A,TRUE,"IMRAK 1400 42U 800X800";"IMRAK32x6x6",#N/A,TRUE,"IMRAK 1400 32U 600x600";"IMRAK42x12x8",#N/A,TRUE,"IMRAK 1400 42U 1200x800";"IMRAK15x6x4",#N/A,TRUE,"IMRAK 400 15U FRONT SECTION"}</definedName>
    <definedName name="____App2" localSheetId="20" hidden="1">{"IMRAK42x8x8",#N/A,TRUE,"IMRAK 1400 42U 800X800";"IMRAK32x6x6",#N/A,TRUE,"IMRAK 1400 32U 600x600";"IMRAK42x12x8",#N/A,TRUE,"IMRAK 1400 42U 1200x800";"IMRAK15x6x4",#N/A,TRUE,"IMRAK 400 15U FRONT SECTION"}</definedName>
    <definedName name="____App2" localSheetId="4" hidden="1">{"IMRAK42x8x8",#N/A,TRUE,"IMRAK 1400 42U 800X800";"IMRAK32x6x6",#N/A,TRUE,"IMRAK 1400 32U 600x600";"IMRAK42x12x8",#N/A,TRUE,"IMRAK 1400 42U 1200x800";"IMRAK15x6x4",#N/A,TRUE,"IMRAK 400 15U FRONT SECTION"}</definedName>
    <definedName name="____App2" localSheetId="10" hidden="1">{"IMRAK42x8x8",#N/A,TRUE,"IMRAK 1400 42U 800X800";"IMRAK32x6x6",#N/A,TRUE,"IMRAK 1400 32U 600x600";"IMRAK42x12x8",#N/A,TRUE,"IMRAK 1400 42U 1200x800";"IMRAK15x6x4",#N/A,TRUE,"IMRAK 400 15U FRONT SECTION"}</definedName>
    <definedName name="____App2" hidden="1">{"IMRAK42x8x8",#N/A,TRUE,"IMRAK 1400 42U 800X800";"IMRAK32x6x6",#N/A,TRUE,"IMRAK 1400 32U 600x600";"IMRAK42x12x8",#N/A,TRUE,"IMRAK 1400 42U 1200x800";"IMRAK15x6x4",#N/A,TRUE,"IMRAK 400 15U FRONT SECTION"}</definedName>
    <definedName name="___App2" localSheetId="11" hidden="1">{"IMRAK42x8x8",#N/A,TRUE,"IMRAK 1400 42U 800X800";"IMRAK32x6x6",#N/A,TRUE,"IMRAK 1400 32U 600x600";"IMRAK42x12x8",#N/A,TRUE,"IMRAK 1400 42U 1200x800";"IMRAK15x6x4",#N/A,TRUE,"IMRAK 400 15U FRONT SECTION"}</definedName>
    <definedName name="___App2" localSheetId="19" hidden="1">{"IMRAK42x8x8",#N/A,TRUE,"IMRAK 1400 42U 800X800";"IMRAK32x6x6",#N/A,TRUE,"IMRAK 1400 32U 600x600";"IMRAK42x12x8",#N/A,TRUE,"IMRAK 1400 42U 1200x800";"IMRAK15x6x4",#N/A,TRUE,"IMRAK 400 15U FRONT SECTION"}</definedName>
    <definedName name="___App2" localSheetId="21" hidden="1">{"IMRAK42x8x8",#N/A,TRUE,"IMRAK 1400 42U 800X800";"IMRAK32x6x6",#N/A,TRUE,"IMRAK 1400 32U 600x600";"IMRAK42x12x8",#N/A,TRUE,"IMRAK 1400 42U 1200x800";"IMRAK15x6x4",#N/A,TRUE,"IMRAK 400 15U FRONT SECTION"}</definedName>
    <definedName name="___App2" localSheetId="20" hidden="1">{"IMRAK42x8x8",#N/A,TRUE,"IMRAK 1400 42U 800X800";"IMRAK32x6x6",#N/A,TRUE,"IMRAK 1400 32U 600x600";"IMRAK42x12x8",#N/A,TRUE,"IMRAK 1400 42U 1200x800";"IMRAK15x6x4",#N/A,TRUE,"IMRAK 400 15U FRONT SECTION"}</definedName>
    <definedName name="___App2" localSheetId="4" hidden="1">{"IMRAK42x8x8",#N/A,TRUE,"IMRAK 1400 42U 800X800";"IMRAK32x6x6",#N/A,TRUE,"IMRAK 1400 32U 600x600";"IMRAK42x12x8",#N/A,TRUE,"IMRAK 1400 42U 1200x800";"IMRAK15x6x4",#N/A,TRUE,"IMRAK 400 15U FRONT SECTION"}</definedName>
    <definedName name="___App2" localSheetId="10" hidden="1">{"IMRAK42x8x8",#N/A,TRUE,"IMRAK 1400 42U 800X800";"IMRAK32x6x6",#N/A,TRUE,"IMRAK 1400 32U 600x600";"IMRAK42x12x8",#N/A,TRUE,"IMRAK 1400 42U 1200x800";"IMRAK15x6x4",#N/A,TRUE,"IMRAK 400 15U FRONT SECTION"}</definedName>
    <definedName name="___App2" hidden="1">{"IMRAK42x8x8",#N/A,TRUE,"IMRAK 1400 42U 800X800";"IMRAK32x6x6",#N/A,TRUE,"IMRAK 1400 32U 600x600";"IMRAK42x12x8",#N/A,TRUE,"IMRAK 1400 42U 1200x800";"IMRAK15x6x4",#N/A,TRUE,"IMRAK 400 15U FRONT SECTION"}</definedName>
    <definedName name="___xlfn.BAHTTEXT" hidden="1">#NAME?</definedName>
    <definedName name="__App2" localSheetId="11" hidden="1">{"IMRAK42x8x8",#N/A,TRUE,"IMRAK 1400 42U 800X800";"IMRAK32x6x6",#N/A,TRUE,"IMRAK 1400 32U 600x600";"IMRAK42x12x8",#N/A,TRUE,"IMRAK 1400 42U 1200x800";"IMRAK15x6x4",#N/A,TRUE,"IMRAK 400 15U FRONT SECTION"}</definedName>
    <definedName name="__App2" localSheetId="19" hidden="1">{"IMRAK42x8x8",#N/A,TRUE,"IMRAK 1400 42U 800X800";"IMRAK32x6x6",#N/A,TRUE,"IMRAK 1400 32U 600x600";"IMRAK42x12x8",#N/A,TRUE,"IMRAK 1400 42U 1200x800";"IMRAK15x6x4",#N/A,TRUE,"IMRAK 400 15U FRONT SECTION"}</definedName>
    <definedName name="__App2" localSheetId="21" hidden="1">{"IMRAK42x8x8",#N/A,TRUE,"IMRAK 1400 42U 800X800";"IMRAK32x6x6",#N/A,TRUE,"IMRAK 1400 32U 600x600";"IMRAK42x12x8",#N/A,TRUE,"IMRAK 1400 42U 1200x800";"IMRAK15x6x4",#N/A,TRUE,"IMRAK 400 15U FRONT SECTION"}</definedName>
    <definedName name="__App2" localSheetId="20" hidden="1">{"IMRAK42x8x8",#N/A,TRUE,"IMRAK 1400 42U 800X800";"IMRAK32x6x6",#N/A,TRUE,"IMRAK 1400 32U 600x600";"IMRAK42x12x8",#N/A,TRUE,"IMRAK 1400 42U 1200x800";"IMRAK15x6x4",#N/A,TRUE,"IMRAK 400 15U FRONT SECTION"}</definedName>
    <definedName name="__App2" localSheetId="4" hidden="1">{"IMRAK42x8x8",#N/A,TRUE,"IMRAK 1400 42U 800X800";"IMRAK32x6x6",#N/A,TRUE,"IMRAK 1400 32U 600x600";"IMRAK42x12x8",#N/A,TRUE,"IMRAK 1400 42U 1200x800";"IMRAK15x6x4",#N/A,TRUE,"IMRAK 400 15U FRONT SECTION"}</definedName>
    <definedName name="__App2" localSheetId="10" hidden="1">{"IMRAK42x8x8",#N/A,TRUE,"IMRAK 1400 42U 800X800";"IMRAK32x6x6",#N/A,TRUE,"IMRAK 1400 32U 600x600";"IMRAK42x12x8",#N/A,TRUE,"IMRAK 1400 42U 1200x800";"IMRAK15x6x4",#N/A,TRUE,"IMRAK 400 15U FRONT SECTION"}</definedName>
    <definedName name="__App2" hidden="1">{"IMRAK42x8x8",#N/A,TRUE,"IMRAK 1400 42U 800X800";"IMRAK32x6x6",#N/A,TRUE,"IMRAK 1400 32U 600x600";"IMRAK42x12x8",#N/A,TRUE,"IMRAK 1400 42U 1200x800";"IMRAK15x6x4",#N/A,TRUE,"IMRAK 400 15U FRONT SECTION"}</definedName>
    <definedName name="__xlfn.BAHTTEXT" hidden="1">#NAME?</definedName>
    <definedName name="_01" localSheetId="11" hidden="1">{"IMRAK42x8x8",#N/A,TRUE,"IMRAK 1400 42U 800X800";"IMRAK32x6x6",#N/A,TRUE,"IMRAK 1400 32U 600x600";"IMRAK42x12x8",#N/A,TRUE,"IMRAK 1400 42U 1200x800";"IMRAK15x6x4",#N/A,TRUE,"IMRAK 400 15U FRONT SECTION"}</definedName>
    <definedName name="_01" localSheetId="19" hidden="1">{"IMRAK42x8x8",#N/A,TRUE,"IMRAK 1400 42U 800X800";"IMRAK32x6x6",#N/A,TRUE,"IMRAK 1400 32U 600x600";"IMRAK42x12x8",#N/A,TRUE,"IMRAK 1400 42U 1200x800";"IMRAK15x6x4",#N/A,TRUE,"IMRAK 400 15U FRONT SECTION"}</definedName>
    <definedName name="_01" localSheetId="21" hidden="1">{"IMRAK42x8x8",#N/A,TRUE,"IMRAK 1400 42U 800X800";"IMRAK32x6x6",#N/A,TRUE,"IMRAK 1400 32U 600x600";"IMRAK42x12x8",#N/A,TRUE,"IMRAK 1400 42U 1200x800";"IMRAK15x6x4",#N/A,TRUE,"IMRAK 400 15U FRONT SECTION"}</definedName>
    <definedName name="_01" localSheetId="20" hidden="1">{"IMRAK42x8x8",#N/A,TRUE,"IMRAK 1400 42U 800X800";"IMRAK32x6x6",#N/A,TRUE,"IMRAK 1400 32U 600x600";"IMRAK42x12x8",#N/A,TRUE,"IMRAK 1400 42U 1200x800";"IMRAK15x6x4",#N/A,TRUE,"IMRAK 400 15U FRONT SECTION"}</definedName>
    <definedName name="_01" localSheetId="4" hidden="1">{"IMRAK42x8x8",#N/A,TRUE,"IMRAK 1400 42U 800X800";"IMRAK32x6x6",#N/A,TRUE,"IMRAK 1400 32U 600x600";"IMRAK42x12x8",#N/A,TRUE,"IMRAK 1400 42U 1200x800";"IMRAK15x6x4",#N/A,TRUE,"IMRAK 400 15U FRONT SECTION"}</definedName>
    <definedName name="_01" localSheetId="10" hidden="1">{"IMRAK42x8x8",#N/A,TRUE,"IMRAK 1400 42U 800X800";"IMRAK32x6x6",#N/A,TRUE,"IMRAK 1400 32U 600x600";"IMRAK42x12x8",#N/A,TRUE,"IMRAK 1400 42U 1200x800";"IMRAK15x6x4",#N/A,TRUE,"IMRAK 400 15U FRONT SECTION"}</definedName>
    <definedName name="_01" hidden="1">{"IMRAK42x8x8",#N/A,TRUE,"IMRAK 1400 42U 800X800";"IMRAK32x6x6",#N/A,TRUE,"IMRAK 1400 32U 600x600";"IMRAK42x12x8",#N/A,TRUE,"IMRAK 1400 42U 1200x800";"IMRAK15x6x4",#N/A,TRUE,"IMRAK 400 15U FRONT SECTION"}</definedName>
    <definedName name="_02" localSheetId="11" hidden="1">{"IMRAK42x8x8",#N/A,TRUE,"IMRAK 1400 42U 800X800";"IMRAK32x6x6",#N/A,TRUE,"IMRAK 1400 32U 600x600";"IMRAK42x12x8",#N/A,TRUE,"IMRAK 1400 42U 1200x800";"IMRAK15x6x4",#N/A,TRUE,"IMRAK 400 15U FRONT SECTION"}</definedName>
    <definedName name="_02" localSheetId="19" hidden="1">{"IMRAK42x8x8",#N/A,TRUE,"IMRAK 1400 42U 800X800";"IMRAK32x6x6",#N/A,TRUE,"IMRAK 1400 32U 600x600";"IMRAK42x12x8",#N/A,TRUE,"IMRAK 1400 42U 1200x800";"IMRAK15x6x4",#N/A,TRUE,"IMRAK 400 15U FRONT SECTION"}</definedName>
    <definedName name="_02" localSheetId="21" hidden="1">{"IMRAK42x8x8",#N/A,TRUE,"IMRAK 1400 42U 800X800";"IMRAK32x6x6",#N/A,TRUE,"IMRAK 1400 32U 600x600";"IMRAK42x12x8",#N/A,TRUE,"IMRAK 1400 42U 1200x800";"IMRAK15x6x4",#N/A,TRUE,"IMRAK 400 15U FRONT SECTION"}</definedName>
    <definedName name="_02" localSheetId="20" hidden="1">{"IMRAK42x8x8",#N/A,TRUE,"IMRAK 1400 42U 800X800";"IMRAK32x6x6",#N/A,TRUE,"IMRAK 1400 32U 600x600";"IMRAK42x12x8",#N/A,TRUE,"IMRAK 1400 42U 1200x800";"IMRAK15x6x4",#N/A,TRUE,"IMRAK 400 15U FRONT SECTION"}</definedName>
    <definedName name="_02" localSheetId="4" hidden="1">{"IMRAK42x8x8",#N/A,TRUE,"IMRAK 1400 42U 800X800";"IMRAK32x6x6",#N/A,TRUE,"IMRAK 1400 32U 600x600";"IMRAK42x12x8",#N/A,TRUE,"IMRAK 1400 42U 1200x800";"IMRAK15x6x4",#N/A,TRUE,"IMRAK 400 15U FRONT SECTION"}</definedName>
    <definedName name="_02" localSheetId="10" hidden="1">{"IMRAK42x8x8",#N/A,TRUE,"IMRAK 1400 42U 800X800";"IMRAK32x6x6",#N/A,TRUE,"IMRAK 1400 32U 600x600";"IMRAK42x12x8",#N/A,TRUE,"IMRAK 1400 42U 1200x800";"IMRAK15x6x4",#N/A,TRUE,"IMRAK 400 15U FRONT SECTION"}</definedName>
    <definedName name="_02" hidden="1">{"IMRAK42x8x8",#N/A,TRUE,"IMRAK 1400 42U 800X800";"IMRAK32x6x6",#N/A,TRUE,"IMRAK 1400 32U 600x600";"IMRAK42x12x8",#N/A,TRUE,"IMRAK 1400 42U 1200x800";"IMRAK15x6x4",#N/A,TRUE,"IMRAK 400 15U FRONT SECTION"}</definedName>
    <definedName name="_03" localSheetId="11" hidden="1">{"IMRAK42x8x8",#N/A,TRUE,"IMRAK 1400 42U 800X800";"IMRAK32x6x6",#N/A,TRUE,"IMRAK 1400 32U 600x600";"IMRAK42x12x8",#N/A,TRUE,"IMRAK 1400 42U 1200x800";"IMRAK15x6x4",#N/A,TRUE,"IMRAK 400 15U FRONT SECTION"}</definedName>
    <definedName name="_03" localSheetId="19" hidden="1">{"IMRAK42x8x8",#N/A,TRUE,"IMRAK 1400 42U 800X800";"IMRAK32x6x6",#N/A,TRUE,"IMRAK 1400 32U 600x600";"IMRAK42x12x8",#N/A,TRUE,"IMRAK 1400 42U 1200x800";"IMRAK15x6x4",#N/A,TRUE,"IMRAK 400 15U FRONT SECTION"}</definedName>
    <definedName name="_03" localSheetId="21" hidden="1">{"IMRAK42x8x8",#N/A,TRUE,"IMRAK 1400 42U 800X800";"IMRAK32x6x6",#N/A,TRUE,"IMRAK 1400 32U 600x600";"IMRAK42x12x8",#N/A,TRUE,"IMRAK 1400 42U 1200x800";"IMRAK15x6x4",#N/A,TRUE,"IMRAK 400 15U FRONT SECTION"}</definedName>
    <definedName name="_03" localSheetId="20" hidden="1">{"IMRAK42x8x8",#N/A,TRUE,"IMRAK 1400 42U 800X800";"IMRAK32x6x6",#N/A,TRUE,"IMRAK 1400 32U 600x600";"IMRAK42x12x8",#N/A,TRUE,"IMRAK 1400 42U 1200x800";"IMRAK15x6x4",#N/A,TRUE,"IMRAK 400 15U FRONT SECTION"}</definedName>
    <definedName name="_03" localSheetId="4" hidden="1">{"IMRAK42x8x8",#N/A,TRUE,"IMRAK 1400 42U 800X800";"IMRAK32x6x6",#N/A,TRUE,"IMRAK 1400 32U 600x600";"IMRAK42x12x8",#N/A,TRUE,"IMRAK 1400 42U 1200x800";"IMRAK15x6x4",#N/A,TRUE,"IMRAK 400 15U FRONT SECTION"}</definedName>
    <definedName name="_03" localSheetId="10" hidden="1">{"IMRAK42x8x8",#N/A,TRUE,"IMRAK 1400 42U 800X800";"IMRAK32x6x6",#N/A,TRUE,"IMRAK 1400 32U 600x600";"IMRAK42x12x8",#N/A,TRUE,"IMRAK 1400 42U 1200x800";"IMRAK15x6x4",#N/A,TRUE,"IMRAK 400 15U FRONT SECTION"}</definedName>
    <definedName name="_03" hidden="1">{"IMRAK42x8x8",#N/A,TRUE,"IMRAK 1400 42U 800X800";"IMRAK32x6x6",#N/A,TRUE,"IMRAK 1400 32U 600x600";"IMRAK42x12x8",#N/A,TRUE,"IMRAK 1400 42U 1200x800";"IMRAK15x6x4",#N/A,TRUE,"IMRAK 400 15U FRONT SECTION"}</definedName>
    <definedName name="_111" localSheetId="11" hidden="1">{"IMRAK42x8x8",#N/A,TRUE,"IMRAK 1400 42U 800X800";"IMRAK32x6x6",#N/A,TRUE,"IMRAK 1400 32U 600x600";"IMRAK42x12x8",#N/A,TRUE,"IMRAK 1400 42U 1200x800";"IMRAK15x6x4",#N/A,TRUE,"IMRAK 400 15U FRONT SECTION"}</definedName>
    <definedName name="_111" localSheetId="19" hidden="1">{"IMRAK42x8x8",#N/A,TRUE,"IMRAK 1400 42U 800X800";"IMRAK32x6x6",#N/A,TRUE,"IMRAK 1400 32U 600x600";"IMRAK42x12x8",#N/A,TRUE,"IMRAK 1400 42U 1200x800";"IMRAK15x6x4",#N/A,TRUE,"IMRAK 400 15U FRONT SECTION"}</definedName>
    <definedName name="_111" localSheetId="21" hidden="1">{"IMRAK42x8x8",#N/A,TRUE,"IMRAK 1400 42U 800X800";"IMRAK32x6x6",#N/A,TRUE,"IMRAK 1400 32U 600x600";"IMRAK42x12x8",#N/A,TRUE,"IMRAK 1400 42U 1200x800";"IMRAK15x6x4",#N/A,TRUE,"IMRAK 400 15U FRONT SECTION"}</definedName>
    <definedName name="_111" localSheetId="20" hidden="1">{"IMRAK42x8x8",#N/A,TRUE,"IMRAK 1400 42U 800X800";"IMRAK32x6x6",#N/A,TRUE,"IMRAK 1400 32U 600x600";"IMRAK42x12x8",#N/A,TRUE,"IMRAK 1400 42U 1200x800";"IMRAK15x6x4",#N/A,TRUE,"IMRAK 400 15U FRONT SECTION"}</definedName>
    <definedName name="_111" localSheetId="4" hidden="1">{"IMRAK42x8x8",#N/A,TRUE,"IMRAK 1400 42U 800X800";"IMRAK32x6x6",#N/A,TRUE,"IMRAK 1400 32U 600x600";"IMRAK42x12x8",#N/A,TRUE,"IMRAK 1400 42U 1200x800";"IMRAK15x6x4",#N/A,TRUE,"IMRAK 400 15U FRONT SECTION"}</definedName>
    <definedName name="_111" localSheetId="10" hidden="1">{"IMRAK42x8x8",#N/A,TRUE,"IMRAK 1400 42U 800X800";"IMRAK32x6x6",#N/A,TRUE,"IMRAK 1400 32U 600x600";"IMRAK42x12x8",#N/A,TRUE,"IMRAK 1400 42U 1200x800";"IMRAK15x6x4",#N/A,TRUE,"IMRAK 400 15U FRONT SECTION"}</definedName>
    <definedName name="_111" hidden="1">{"IMRAK42x8x8",#N/A,TRUE,"IMRAK 1400 42U 800X800";"IMRAK32x6x6",#N/A,TRUE,"IMRAK 1400 32U 600x600";"IMRAK42x12x8",#N/A,TRUE,"IMRAK 1400 42U 1200x800";"IMRAK15x6x4",#N/A,TRUE,"IMRAK 400 15U FRONT SECTION"}</definedName>
    <definedName name="_aa" localSheetId="11" hidden="1">{"IMRAK42x8x8",#N/A,TRUE,"IMRAK 1400 42U 800X800";"IMRAK32x6x6",#N/A,TRUE,"IMRAK 1400 32U 600x600";"IMRAK42x12x8",#N/A,TRUE,"IMRAK 1400 42U 1200x800";"IMRAK15x6x4",#N/A,TRUE,"IMRAK 400 15U FRONT SECTION"}</definedName>
    <definedName name="_aa" localSheetId="19" hidden="1">{"IMRAK42x8x8",#N/A,TRUE,"IMRAK 1400 42U 800X800";"IMRAK32x6x6",#N/A,TRUE,"IMRAK 1400 32U 600x600";"IMRAK42x12x8",#N/A,TRUE,"IMRAK 1400 42U 1200x800";"IMRAK15x6x4",#N/A,TRUE,"IMRAK 400 15U FRONT SECTION"}</definedName>
    <definedName name="_aa" localSheetId="21" hidden="1">{"IMRAK42x8x8",#N/A,TRUE,"IMRAK 1400 42U 800X800";"IMRAK32x6x6",#N/A,TRUE,"IMRAK 1400 32U 600x600";"IMRAK42x12x8",#N/A,TRUE,"IMRAK 1400 42U 1200x800";"IMRAK15x6x4",#N/A,TRUE,"IMRAK 400 15U FRONT SECTION"}</definedName>
    <definedName name="_aa" localSheetId="20" hidden="1">{"IMRAK42x8x8",#N/A,TRUE,"IMRAK 1400 42U 800X800";"IMRAK32x6x6",#N/A,TRUE,"IMRAK 1400 32U 600x600";"IMRAK42x12x8",#N/A,TRUE,"IMRAK 1400 42U 1200x800";"IMRAK15x6x4",#N/A,TRUE,"IMRAK 400 15U FRONT SECTION"}</definedName>
    <definedName name="_aa" localSheetId="4" hidden="1">{"IMRAK42x8x8",#N/A,TRUE,"IMRAK 1400 42U 800X800";"IMRAK32x6x6",#N/A,TRUE,"IMRAK 1400 32U 600x600";"IMRAK42x12x8",#N/A,TRUE,"IMRAK 1400 42U 1200x800";"IMRAK15x6x4",#N/A,TRUE,"IMRAK 400 15U FRONT SECTION"}</definedName>
    <definedName name="_aa" localSheetId="10" hidden="1">{"IMRAK42x8x8",#N/A,TRUE,"IMRAK 1400 42U 800X800";"IMRAK32x6x6",#N/A,TRUE,"IMRAK 1400 32U 600x600";"IMRAK42x12x8",#N/A,TRUE,"IMRAK 1400 42U 1200x800";"IMRAK15x6x4",#N/A,TRUE,"IMRAK 400 15U FRONT SECTION"}</definedName>
    <definedName name="_aa" hidden="1">{"IMRAK42x8x8",#N/A,TRUE,"IMRAK 1400 42U 800X800";"IMRAK32x6x6",#N/A,TRUE,"IMRAK 1400 32U 600x600";"IMRAK42x12x8",#N/A,TRUE,"IMRAK 1400 42U 1200x800";"IMRAK15x6x4",#N/A,TRUE,"IMRAK 400 15U FRONT SECTION"}</definedName>
    <definedName name="_App2" localSheetId="11" hidden="1">{"IMRAK42x8x8",#N/A,TRUE,"IMRAK 1400 42U 800X800";"IMRAK32x6x6",#N/A,TRUE,"IMRAK 1400 32U 600x600";"IMRAK42x12x8",#N/A,TRUE,"IMRAK 1400 42U 1200x800";"IMRAK15x6x4",#N/A,TRUE,"IMRAK 400 15U FRONT SECTION"}</definedName>
    <definedName name="_App2" localSheetId="19" hidden="1">{"IMRAK42x8x8",#N/A,TRUE,"IMRAK 1400 42U 800X800";"IMRAK32x6x6",#N/A,TRUE,"IMRAK 1400 32U 600x600";"IMRAK42x12x8",#N/A,TRUE,"IMRAK 1400 42U 1200x800";"IMRAK15x6x4",#N/A,TRUE,"IMRAK 400 15U FRONT SECTION"}</definedName>
    <definedName name="_App2" localSheetId="21" hidden="1">{"IMRAK42x8x8",#N/A,TRUE,"IMRAK 1400 42U 800X800";"IMRAK32x6x6",#N/A,TRUE,"IMRAK 1400 32U 600x600";"IMRAK42x12x8",#N/A,TRUE,"IMRAK 1400 42U 1200x800";"IMRAK15x6x4",#N/A,TRUE,"IMRAK 400 15U FRONT SECTION"}</definedName>
    <definedName name="_App2" localSheetId="20" hidden="1">{"IMRAK42x8x8",#N/A,TRUE,"IMRAK 1400 42U 800X800";"IMRAK32x6x6",#N/A,TRUE,"IMRAK 1400 32U 600x600";"IMRAK42x12x8",#N/A,TRUE,"IMRAK 1400 42U 1200x800";"IMRAK15x6x4",#N/A,TRUE,"IMRAK 400 15U FRONT SECTION"}</definedName>
    <definedName name="_App2" localSheetId="4" hidden="1">{"IMRAK42x8x8",#N/A,TRUE,"IMRAK 1400 42U 800X800";"IMRAK32x6x6",#N/A,TRUE,"IMRAK 1400 32U 600x600";"IMRAK42x12x8",#N/A,TRUE,"IMRAK 1400 42U 1200x800";"IMRAK15x6x4",#N/A,TRUE,"IMRAK 400 15U FRONT SECTION"}</definedName>
    <definedName name="_App2" localSheetId="10" hidden="1">{"IMRAK42x8x8",#N/A,TRUE,"IMRAK 1400 42U 800X800";"IMRAK32x6x6",#N/A,TRUE,"IMRAK 1400 32U 600x600";"IMRAK42x12x8",#N/A,TRUE,"IMRAK 1400 42U 1200x800";"IMRAK15x6x4",#N/A,TRUE,"IMRAK 400 15U FRONT SECTION"}</definedName>
    <definedName name="_App2" hidden="1">{"IMRAK42x8x8",#N/A,TRUE,"IMRAK 1400 42U 800X800";"IMRAK32x6x6",#N/A,TRUE,"IMRAK 1400 32U 600x600";"IMRAK42x12x8",#N/A,TRUE,"IMRAK 1400 42U 1200x800";"IMRAK15x6x4",#N/A,TRUE,"IMRAK 400 15U FRONT SECTION"}</definedName>
    <definedName name="_App3" localSheetId="11" hidden="1">{"IMRAK42x8x8",#N/A,TRUE,"IMRAK 1400 42U 800X800";"IMRAK32x6x6",#N/A,TRUE,"IMRAK 1400 32U 600x600";"IMRAK42x12x8",#N/A,TRUE,"IMRAK 1400 42U 1200x800";"IMRAK15x6x4",#N/A,TRUE,"IMRAK 400 15U FRONT SECTION"}</definedName>
    <definedName name="_App3" localSheetId="19" hidden="1">{"IMRAK42x8x8",#N/A,TRUE,"IMRAK 1400 42U 800X800";"IMRAK32x6x6",#N/A,TRUE,"IMRAK 1400 32U 600x600";"IMRAK42x12x8",#N/A,TRUE,"IMRAK 1400 42U 1200x800";"IMRAK15x6x4",#N/A,TRUE,"IMRAK 400 15U FRONT SECTION"}</definedName>
    <definedName name="_App3" localSheetId="21" hidden="1">{"IMRAK42x8x8",#N/A,TRUE,"IMRAK 1400 42U 800X800";"IMRAK32x6x6",#N/A,TRUE,"IMRAK 1400 32U 600x600";"IMRAK42x12x8",#N/A,TRUE,"IMRAK 1400 42U 1200x800";"IMRAK15x6x4",#N/A,TRUE,"IMRAK 400 15U FRONT SECTION"}</definedName>
    <definedName name="_App3" localSheetId="20" hidden="1">{"IMRAK42x8x8",#N/A,TRUE,"IMRAK 1400 42U 800X800";"IMRAK32x6x6",#N/A,TRUE,"IMRAK 1400 32U 600x600";"IMRAK42x12x8",#N/A,TRUE,"IMRAK 1400 42U 1200x800";"IMRAK15x6x4",#N/A,TRUE,"IMRAK 400 15U FRONT SECTION"}</definedName>
    <definedName name="_App3" localSheetId="4" hidden="1">{"IMRAK42x8x8",#N/A,TRUE,"IMRAK 1400 42U 800X800";"IMRAK32x6x6",#N/A,TRUE,"IMRAK 1400 32U 600x600";"IMRAK42x12x8",#N/A,TRUE,"IMRAK 1400 42U 1200x800";"IMRAK15x6x4",#N/A,TRUE,"IMRAK 400 15U FRONT SECTION"}</definedName>
    <definedName name="_App3" localSheetId="10" hidden="1">{"IMRAK42x8x8",#N/A,TRUE,"IMRAK 1400 42U 800X800";"IMRAK32x6x6",#N/A,TRUE,"IMRAK 1400 32U 600x600";"IMRAK42x12x8",#N/A,TRUE,"IMRAK 1400 42U 1200x800";"IMRAK15x6x4",#N/A,TRUE,"IMRAK 400 15U FRONT SECTION"}</definedName>
    <definedName name="_App3" hidden="1">{"IMRAK42x8x8",#N/A,TRUE,"IMRAK 1400 42U 800X800";"IMRAK32x6x6",#N/A,TRUE,"IMRAK 1400 32U 600x600";"IMRAK42x12x8",#N/A,TRUE,"IMRAK 1400 42U 1200x800";"IMRAK15x6x4",#N/A,TRUE,"IMRAK 400 15U FRONT SECTION"}</definedName>
    <definedName name="_xlnm._FilterDatabase" localSheetId="11" hidden="1">#REF!</definedName>
    <definedName name="_xlnm._FilterDatabase" localSheetId="19" hidden="1">#REF!</definedName>
    <definedName name="_xlnm._FilterDatabase" localSheetId="21" hidden="1">'КВЛ (в работе!)'!$A$7:$X$112</definedName>
    <definedName name="_xlnm._FilterDatabase" localSheetId="20" hidden="1">#REF!</definedName>
    <definedName name="_xlnm._FilterDatabase" localSheetId="4" hidden="1">'НМЦК (ПИР)'!$A$8:$L$15</definedName>
    <definedName name="_xlnm._FilterDatabase" localSheetId="18" hidden="1">#REF!</definedName>
    <definedName name="_xlnm._FilterDatabase" localSheetId="10" hidden="1">#REF!</definedName>
    <definedName name="_xlnm._FilterDatabase" hidden="1">#REF!</definedName>
    <definedName name="a" localSheetId="11" hidden="1">{#N/A,#N/A,TRUE,"Смета на пасс. обор. №1"}</definedName>
    <definedName name="a" localSheetId="19" hidden="1">{#N/A,#N/A,TRUE,"Смета на пасс. обор. №1"}</definedName>
    <definedName name="a" localSheetId="21" hidden="1">{#N/A,#N/A,TRUE,"Смета на пасс. обор. №1"}</definedName>
    <definedName name="a" localSheetId="20" hidden="1">{#N/A,#N/A,TRUE,"Смета на пасс. обор. №1"}</definedName>
    <definedName name="a" localSheetId="4" hidden="1">{#N/A,#N/A,TRUE,"Смета на пасс. обор. №1"}</definedName>
    <definedName name="a" localSheetId="10" hidden="1">{#N/A,#N/A,TRUE,"Смета на пасс. обор. №1"}</definedName>
    <definedName name="a" hidden="1">{#N/A,#N/A,TRUE,"Смета на пасс. обор. №1"}</definedName>
    <definedName name="a_1" localSheetId="11" hidden="1">{#N/A,#N/A,TRUE,"Смета на пасс. обор. №1"}</definedName>
    <definedName name="a_1" localSheetId="19" hidden="1">{#N/A,#N/A,TRUE,"Смета на пасс. обор. №1"}</definedName>
    <definedName name="a_1" localSheetId="21" hidden="1">{#N/A,#N/A,TRUE,"Смета на пасс. обор. №1"}</definedName>
    <definedName name="a_1" localSheetId="20" hidden="1">{#N/A,#N/A,TRUE,"Смета на пасс. обор. №1"}</definedName>
    <definedName name="a_1" localSheetId="4" hidden="1">{#N/A,#N/A,TRUE,"Смета на пасс. обор. №1"}</definedName>
    <definedName name="a_1" localSheetId="18" hidden="1">{#N/A,#N/A,TRUE,"Смета на пасс. обор. №1"}</definedName>
    <definedName name="a_1" localSheetId="10" hidden="1">{#N/A,#N/A,TRUE,"Смета на пасс. обор. №1"}</definedName>
    <definedName name="a_1" hidden="1">{#N/A,#N/A,TRUE,"Смета на пасс. обор. №1"}</definedName>
    <definedName name="Access_Button" hidden="1">"Активное_оборудование_Cabletron_Devices_Таблица1"</definedName>
    <definedName name="AccessDatabase" hidden="1">"C:\Мои документы\Благовещенск\Активное оборудование.mdb"</definedName>
    <definedName name="Aрр1" localSheetId="11" hidden="1">{"IMRAK42x8x8",#N/A,TRUE,"IMRAK 1400 42U 800X800";"IMRAK32x6x6",#N/A,TRUE,"IMRAK 1400 32U 600x600";"IMRAK42x12x8",#N/A,TRUE,"IMRAK 1400 42U 1200x800";"IMRAK15x6x4",#N/A,TRUE,"IMRAK 400 15U FRONT SECTION"}</definedName>
    <definedName name="Aрр1" localSheetId="19" hidden="1">{"IMRAK42x8x8",#N/A,TRUE,"IMRAK 1400 42U 800X800";"IMRAK32x6x6",#N/A,TRUE,"IMRAK 1400 32U 600x600";"IMRAK42x12x8",#N/A,TRUE,"IMRAK 1400 42U 1200x800";"IMRAK15x6x4",#N/A,TRUE,"IMRAK 400 15U FRONT SECTION"}</definedName>
    <definedName name="Aрр1" localSheetId="21" hidden="1">{"IMRAK42x8x8",#N/A,TRUE,"IMRAK 1400 42U 800X800";"IMRAK32x6x6",#N/A,TRUE,"IMRAK 1400 32U 600x600";"IMRAK42x12x8",#N/A,TRUE,"IMRAK 1400 42U 1200x800";"IMRAK15x6x4",#N/A,TRUE,"IMRAK 400 15U FRONT SECTION"}</definedName>
    <definedName name="Aрр1" localSheetId="20" hidden="1">{"IMRAK42x8x8",#N/A,TRUE,"IMRAK 1400 42U 800X800";"IMRAK32x6x6",#N/A,TRUE,"IMRAK 1400 32U 600x600";"IMRAK42x12x8",#N/A,TRUE,"IMRAK 1400 42U 1200x800";"IMRAK15x6x4",#N/A,TRUE,"IMRAK 400 15U FRONT SECTION"}</definedName>
    <definedName name="Aрр1" localSheetId="4" hidden="1">{"IMRAK42x8x8",#N/A,TRUE,"IMRAK 1400 42U 800X800";"IMRAK32x6x6",#N/A,TRUE,"IMRAK 1400 32U 600x600";"IMRAK42x12x8",#N/A,TRUE,"IMRAK 1400 42U 1200x800";"IMRAK15x6x4",#N/A,TRUE,"IMRAK 400 15U FRONT SECTION"}</definedName>
    <definedName name="Aрр1" localSheetId="10" hidden="1">{"IMRAK42x8x8",#N/A,TRUE,"IMRAK 1400 42U 800X800";"IMRAK32x6x6",#N/A,TRUE,"IMRAK 1400 32U 600x600";"IMRAK42x12x8",#N/A,TRUE,"IMRAK 1400 42U 1200x800";"IMRAK15x6x4",#N/A,TRUE,"IMRAK 400 15U FRONT SECTION"}</definedName>
    <definedName name="Aрр1" hidden="1">{"IMRAK42x8x8",#N/A,TRUE,"IMRAK 1400 42U 800X800";"IMRAK32x6x6",#N/A,TRUE,"IMRAK 1400 32U 600x600";"IMRAK42x12x8",#N/A,TRUE,"IMRAK 1400 42U 1200x800";"IMRAK15x6x4",#N/A,TRUE,"IMRAK 400 15U FRONT SECTION"}</definedName>
    <definedName name="b" localSheetId="11" hidden="1">{#N/A,#N/A,TRUE,"Смета на пасс. обор. №1"}</definedName>
    <definedName name="b" localSheetId="19" hidden="1">{#N/A,#N/A,TRUE,"Смета на пасс. обор. №1"}</definedName>
    <definedName name="b" localSheetId="21" hidden="1">{#N/A,#N/A,TRUE,"Смета на пасс. обор. №1"}</definedName>
    <definedName name="b" localSheetId="20" hidden="1">{#N/A,#N/A,TRUE,"Смета на пасс. обор. №1"}</definedName>
    <definedName name="b" localSheetId="4" hidden="1">{#N/A,#N/A,TRUE,"Смета на пасс. обор. №1"}</definedName>
    <definedName name="b" localSheetId="10" hidden="1">{#N/A,#N/A,TRUE,"Смета на пасс. обор. №1"}</definedName>
    <definedName name="b" hidden="1">{#N/A,#N/A,TRUE,"Смета на пасс. обор. №1"}</definedName>
    <definedName name="b_1" localSheetId="11" hidden="1">{#N/A,#N/A,TRUE,"Смета на пасс. обор. №1"}</definedName>
    <definedName name="b_1" localSheetId="19" hidden="1">{#N/A,#N/A,TRUE,"Смета на пасс. обор. №1"}</definedName>
    <definedName name="b_1" localSheetId="21" hidden="1">{#N/A,#N/A,TRUE,"Смета на пасс. обор. №1"}</definedName>
    <definedName name="b_1" localSheetId="20" hidden="1">{#N/A,#N/A,TRUE,"Смета на пасс. обор. №1"}</definedName>
    <definedName name="b_1" localSheetId="4" hidden="1">{#N/A,#N/A,TRUE,"Смета на пасс. обор. №1"}</definedName>
    <definedName name="b_1" localSheetId="18" hidden="1">{#N/A,#N/A,TRUE,"Смета на пасс. обор. №1"}</definedName>
    <definedName name="b_1" localSheetId="10" hidden="1">{#N/A,#N/A,TRUE,"Смета на пасс. обор. №1"}</definedName>
    <definedName name="b_1" hidden="1">{#N/A,#N/A,TRUE,"Смета на пасс. обор. №1"}</definedName>
    <definedName name="ba" localSheetId="11" hidden="1">{#N/A,#N/A,TRUE,"Смета на пасс. обор. №1"}</definedName>
    <definedName name="ba" localSheetId="19" hidden="1">{#N/A,#N/A,TRUE,"Смета на пасс. обор. №1"}</definedName>
    <definedName name="ba" localSheetId="21" hidden="1">{#N/A,#N/A,TRUE,"Смета на пасс. обор. №1"}</definedName>
    <definedName name="ba" localSheetId="20" hidden="1">{#N/A,#N/A,TRUE,"Смета на пасс. обор. №1"}</definedName>
    <definedName name="ba" localSheetId="4" hidden="1">{#N/A,#N/A,TRUE,"Смета на пасс. обор. №1"}</definedName>
    <definedName name="ba" localSheetId="18" hidden="1">{#N/A,#N/A,TRUE,"Смета на пасс. обор. №1"}</definedName>
    <definedName name="ba" localSheetId="10" hidden="1">{#N/A,#N/A,TRUE,"Смета на пасс. обор. №1"}</definedName>
    <definedName name="ba" hidden="1">{#N/A,#N/A,TRUE,"Смета на пасс. обор. №1"}</definedName>
    <definedName name="ba_1" localSheetId="11" hidden="1">{#N/A,#N/A,TRUE,"Смета на пасс. обор. №1"}</definedName>
    <definedName name="ba_1" localSheetId="19" hidden="1">{#N/A,#N/A,TRUE,"Смета на пасс. обор. №1"}</definedName>
    <definedName name="ba_1" localSheetId="21" hidden="1">{#N/A,#N/A,TRUE,"Смета на пасс. обор. №1"}</definedName>
    <definedName name="ba_1" localSheetId="20" hidden="1">{#N/A,#N/A,TRUE,"Смета на пасс. обор. №1"}</definedName>
    <definedName name="ba_1" localSheetId="4" hidden="1">{#N/A,#N/A,TRUE,"Смета на пасс. обор. №1"}</definedName>
    <definedName name="ba_1" localSheetId="18" hidden="1">{#N/A,#N/A,TRUE,"Смета на пасс. обор. №1"}</definedName>
    <definedName name="ba_1" localSheetId="10" hidden="1">{#N/A,#N/A,TRUE,"Смета на пасс. обор. №1"}</definedName>
    <definedName name="ba_1" hidden="1">{#N/A,#N/A,TRUE,"Смета на пасс. обор. №1"}</definedName>
    <definedName name="ccc" localSheetId="11" hidden="1">{#N/A,#N/A,TRUE,"Смета на пасс. обор. №1"}</definedName>
    <definedName name="ccc" localSheetId="19" hidden="1">{#N/A,#N/A,TRUE,"Смета на пасс. обор. №1"}</definedName>
    <definedName name="ccc" localSheetId="21" hidden="1">{#N/A,#N/A,TRUE,"Смета на пасс. обор. №1"}</definedName>
    <definedName name="ccc" localSheetId="20" hidden="1">{#N/A,#N/A,TRUE,"Смета на пасс. обор. №1"}</definedName>
    <definedName name="ccc" localSheetId="4" hidden="1">{#N/A,#N/A,TRUE,"Смета на пасс. обор. №1"}</definedName>
    <definedName name="ccc" localSheetId="18" hidden="1">{#N/A,#N/A,TRUE,"Смета на пасс. обор. №1"}</definedName>
    <definedName name="ccc" localSheetId="10" hidden="1">{#N/A,#N/A,TRUE,"Смета на пасс. обор. №1"}</definedName>
    <definedName name="ccc" hidden="1">{#N/A,#N/A,TRUE,"Смета на пасс. обор. №1"}</definedName>
    <definedName name="ccc_1" localSheetId="11" hidden="1">{#N/A,#N/A,TRUE,"Смета на пасс. обор. №1"}</definedName>
    <definedName name="ccc_1" localSheetId="19" hidden="1">{#N/A,#N/A,TRUE,"Смета на пасс. обор. №1"}</definedName>
    <definedName name="ccc_1" localSheetId="21" hidden="1">{#N/A,#N/A,TRUE,"Смета на пасс. обор. №1"}</definedName>
    <definedName name="ccc_1" localSheetId="20" hidden="1">{#N/A,#N/A,TRUE,"Смета на пасс. обор. №1"}</definedName>
    <definedName name="ccc_1" localSheetId="4" hidden="1">{#N/A,#N/A,TRUE,"Смета на пасс. обор. №1"}</definedName>
    <definedName name="ccc_1" localSheetId="18" hidden="1">{#N/A,#N/A,TRUE,"Смета на пасс. обор. №1"}</definedName>
    <definedName name="ccc_1" localSheetId="10" hidden="1">{#N/A,#N/A,TRUE,"Смета на пасс. обор. №1"}</definedName>
    <definedName name="ccc_1" hidden="1">{#N/A,#N/A,TRUE,"Смета на пасс. обор. №1"}</definedName>
    <definedName name="e" localSheetId="11" hidden="1">{#N/A,#N/A,TRUE,"Смета на пасс. обор. №1"}</definedName>
    <definedName name="e" localSheetId="19" hidden="1">{#N/A,#N/A,TRUE,"Смета на пасс. обор. №1"}</definedName>
    <definedName name="e" localSheetId="21" hidden="1">{#N/A,#N/A,TRUE,"Смета на пасс. обор. №1"}</definedName>
    <definedName name="e" localSheetId="20" hidden="1">{#N/A,#N/A,TRUE,"Смета на пасс. обор. №1"}</definedName>
    <definedName name="e" localSheetId="4" hidden="1">{#N/A,#N/A,TRUE,"Смета на пасс. обор. №1"}</definedName>
    <definedName name="e" localSheetId="18" hidden="1">{#N/A,#N/A,TRUE,"Смета на пасс. обор. №1"}</definedName>
    <definedName name="e" localSheetId="10" hidden="1">{#N/A,#N/A,TRUE,"Смета на пасс. обор. №1"}</definedName>
    <definedName name="e" hidden="1">{#N/A,#N/A,TRUE,"Смета на пасс. обор. №1"}</definedName>
    <definedName name="e_1" localSheetId="11" hidden="1">{#N/A,#N/A,TRUE,"Смета на пасс. обор. №1"}</definedName>
    <definedName name="e_1" localSheetId="19" hidden="1">{#N/A,#N/A,TRUE,"Смета на пасс. обор. №1"}</definedName>
    <definedName name="e_1" localSheetId="21" hidden="1">{#N/A,#N/A,TRUE,"Смета на пасс. обор. №1"}</definedName>
    <definedName name="e_1" localSheetId="20" hidden="1">{#N/A,#N/A,TRUE,"Смета на пасс. обор. №1"}</definedName>
    <definedName name="e_1" localSheetId="4" hidden="1">{#N/A,#N/A,TRUE,"Смета на пасс. обор. №1"}</definedName>
    <definedName name="e_1" localSheetId="18" hidden="1">{#N/A,#N/A,TRUE,"Смета на пасс. обор. №1"}</definedName>
    <definedName name="e_1" localSheetId="10" hidden="1">{#N/A,#N/A,TRUE,"Смета на пасс. обор. №1"}</definedName>
    <definedName name="e_1" hidden="1">{#N/A,#N/A,TRUE,"Смета на пасс. обор. №1"}</definedName>
    <definedName name="ee" localSheetId="11" hidden="1">{"IMRAK42x8x8",#N/A,TRUE,"IMRAK 1400 42U 800X800";"IMRAK32x6x6",#N/A,TRUE,"IMRAK 1400 32U 600x600";"IMRAK42x12x8",#N/A,TRUE,"IMRAK 1400 42U 1200x800";"IMRAK15x6x4",#N/A,TRUE,"IMRAK 400 15U FRONT SECTION"}</definedName>
    <definedName name="ee" localSheetId="19" hidden="1">{"IMRAK42x8x8",#N/A,TRUE,"IMRAK 1400 42U 800X800";"IMRAK32x6x6",#N/A,TRUE,"IMRAK 1400 32U 600x600";"IMRAK42x12x8",#N/A,TRUE,"IMRAK 1400 42U 1200x800";"IMRAK15x6x4",#N/A,TRUE,"IMRAK 400 15U FRONT SECTION"}</definedName>
    <definedName name="ee" localSheetId="21" hidden="1">{"IMRAK42x8x8",#N/A,TRUE,"IMRAK 1400 42U 800X800";"IMRAK32x6x6",#N/A,TRUE,"IMRAK 1400 32U 600x600";"IMRAK42x12x8",#N/A,TRUE,"IMRAK 1400 42U 1200x800";"IMRAK15x6x4",#N/A,TRUE,"IMRAK 400 15U FRONT SECTION"}</definedName>
    <definedName name="ee" localSheetId="20" hidden="1">{"IMRAK42x8x8",#N/A,TRUE,"IMRAK 1400 42U 800X800";"IMRAK32x6x6",#N/A,TRUE,"IMRAK 1400 32U 600x600";"IMRAK42x12x8",#N/A,TRUE,"IMRAK 1400 42U 1200x800";"IMRAK15x6x4",#N/A,TRUE,"IMRAK 400 15U FRONT SECTION"}</definedName>
    <definedName name="ee" localSheetId="4" hidden="1">{"IMRAK42x8x8",#N/A,TRUE,"IMRAK 1400 42U 800X800";"IMRAK32x6x6",#N/A,TRUE,"IMRAK 1400 32U 600x600";"IMRAK42x12x8",#N/A,TRUE,"IMRAK 1400 42U 1200x800";"IMRAK15x6x4",#N/A,TRUE,"IMRAK 400 15U FRONT SECTION"}</definedName>
    <definedName name="ee" localSheetId="10" hidden="1">{"IMRAK42x8x8",#N/A,TRUE,"IMRAK 1400 42U 800X800";"IMRAK32x6x6",#N/A,TRUE,"IMRAK 1400 32U 600x600";"IMRAK42x12x8",#N/A,TRUE,"IMRAK 1400 42U 1200x800";"IMRAK15x6x4",#N/A,TRUE,"IMRAK 400 15U FRONT SECTION"}</definedName>
    <definedName name="ee" hidden="1">{"IMRAK42x8x8",#N/A,TRUE,"IMRAK 1400 42U 800X800";"IMRAK32x6x6",#N/A,TRUE,"IMRAK 1400 32U 600x600";"IMRAK42x12x8",#N/A,TRUE,"IMRAK 1400 42U 1200x800";"IMRAK15x6x4",#N/A,TRUE,"IMRAK 400 15U FRONT SECTION"}</definedName>
    <definedName name="j" localSheetId="11" hidden="1">{#N/A,#N/A,TRUE,"Смета на пасс. обор. №1"}</definedName>
    <definedName name="j" localSheetId="19" hidden="1">{#N/A,#N/A,TRUE,"Смета на пасс. обор. №1"}</definedName>
    <definedName name="j" localSheetId="21" hidden="1">{#N/A,#N/A,TRUE,"Смета на пасс. обор. №1"}</definedName>
    <definedName name="j" localSheetId="20" hidden="1">{#N/A,#N/A,TRUE,"Смета на пасс. обор. №1"}</definedName>
    <definedName name="j" localSheetId="4" hidden="1">{#N/A,#N/A,TRUE,"Смета на пасс. обор. №1"}</definedName>
    <definedName name="j" localSheetId="18" hidden="1">{#N/A,#N/A,TRUE,"Смета на пасс. обор. №1"}</definedName>
    <definedName name="j" localSheetId="10" hidden="1">{#N/A,#N/A,TRUE,"Смета на пасс. обор. №1"}</definedName>
    <definedName name="j" hidden="1">{#N/A,#N/A,TRUE,"Смета на пасс. обор. №1"}</definedName>
    <definedName name="j_1" localSheetId="11" hidden="1">{#N/A,#N/A,TRUE,"Смета на пасс. обор. №1"}</definedName>
    <definedName name="j_1" localSheetId="19" hidden="1">{#N/A,#N/A,TRUE,"Смета на пасс. обор. №1"}</definedName>
    <definedName name="j_1" localSheetId="21" hidden="1">{#N/A,#N/A,TRUE,"Смета на пасс. обор. №1"}</definedName>
    <definedName name="j_1" localSheetId="20" hidden="1">{#N/A,#N/A,TRUE,"Смета на пасс. обор. №1"}</definedName>
    <definedName name="j_1" localSheetId="4" hidden="1">{#N/A,#N/A,TRUE,"Смета на пасс. обор. №1"}</definedName>
    <definedName name="j_1" localSheetId="18" hidden="1">{#N/A,#N/A,TRUE,"Смета на пасс. обор. №1"}</definedName>
    <definedName name="j_1" localSheetId="10" hidden="1">{#N/A,#N/A,TRUE,"Смета на пасс. обор. №1"}</definedName>
    <definedName name="j_1" hidden="1">{#N/A,#N/A,TRUE,"Смета на пасс. обор. №1"}</definedName>
    <definedName name="lfd" localSheetId="1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19"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1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l" localSheetId="11" hidden="1">{#N/A,#N/A,TRUE,"Смета на пасс. обор. №1"}</definedName>
    <definedName name="ll" localSheetId="19" hidden="1">{#N/A,#N/A,TRUE,"Смета на пасс. обор. №1"}</definedName>
    <definedName name="ll" localSheetId="21" hidden="1">{#N/A,#N/A,TRUE,"Смета на пасс. обор. №1"}</definedName>
    <definedName name="ll" localSheetId="20" hidden="1">{#N/A,#N/A,TRUE,"Смета на пасс. обор. №1"}</definedName>
    <definedName name="ll" localSheetId="4" hidden="1">{#N/A,#N/A,TRUE,"Смета на пасс. обор. №1"}</definedName>
    <definedName name="ll" localSheetId="10" hidden="1">{#N/A,#N/A,TRUE,"Смета на пасс. обор. №1"}</definedName>
    <definedName name="ll" hidden="1">{#N/A,#N/A,TRUE,"Смета на пасс. обор. №1"}</definedName>
    <definedName name="njk" localSheetId="11" hidden="1">{"IMRAK42x8x8",#N/A,TRUE,"IMRAK 1400 42U 800X800";"IMRAK32x6x6",#N/A,TRUE,"IMRAK 1400 32U 600x600";"IMRAK42x12x8",#N/A,TRUE,"IMRAK 1400 42U 1200x800";"IMRAK15x6x4",#N/A,TRUE,"IMRAK 400 15U FRONT SECTION"}</definedName>
    <definedName name="njk" localSheetId="19" hidden="1">{"IMRAK42x8x8",#N/A,TRUE,"IMRAK 1400 42U 800X800";"IMRAK32x6x6",#N/A,TRUE,"IMRAK 1400 32U 600x600";"IMRAK42x12x8",#N/A,TRUE,"IMRAK 1400 42U 1200x800";"IMRAK15x6x4",#N/A,TRUE,"IMRAK 400 15U FRONT SECTION"}</definedName>
    <definedName name="njk" localSheetId="21" hidden="1">{"IMRAK42x8x8",#N/A,TRUE,"IMRAK 1400 42U 800X800";"IMRAK32x6x6",#N/A,TRUE,"IMRAK 1400 32U 600x600";"IMRAK42x12x8",#N/A,TRUE,"IMRAK 1400 42U 1200x800";"IMRAK15x6x4",#N/A,TRUE,"IMRAK 400 15U FRONT SECTION"}</definedName>
    <definedName name="njk" localSheetId="20" hidden="1">{"IMRAK42x8x8",#N/A,TRUE,"IMRAK 1400 42U 800X800";"IMRAK32x6x6",#N/A,TRUE,"IMRAK 1400 32U 600x600";"IMRAK42x12x8",#N/A,TRUE,"IMRAK 1400 42U 1200x800";"IMRAK15x6x4",#N/A,TRUE,"IMRAK 400 15U FRONT SECTION"}</definedName>
    <definedName name="njk" localSheetId="4" hidden="1">{"IMRAK42x8x8",#N/A,TRUE,"IMRAK 1400 42U 800X800";"IMRAK32x6x6",#N/A,TRUE,"IMRAK 1400 32U 600x600";"IMRAK42x12x8",#N/A,TRUE,"IMRAK 1400 42U 1200x800";"IMRAK15x6x4",#N/A,TRUE,"IMRAK 400 15U FRONT SECTION"}</definedName>
    <definedName name="njk" localSheetId="10" hidden="1">{"IMRAK42x8x8",#N/A,TRUE,"IMRAK 1400 42U 800X800";"IMRAK32x6x6",#N/A,TRUE,"IMRAK 1400 32U 600x600";"IMRAK42x12x8",#N/A,TRUE,"IMRAK 1400 42U 1200x800";"IMRAK15x6x4",#N/A,TRUE,"IMRAK 400 15U FRONT SECTION"}</definedName>
    <definedName name="njk" hidden="1">{"IMRAK42x8x8",#N/A,TRUE,"IMRAK 1400 42U 800X800";"IMRAK32x6x6",#N/A,TRUE,"IMRAK 1400 32U 600x600";"IMRAK42x12x8",#N/A,TRUE,"IMRAK 1400 42U 1200x800";"IMRAK15x6x4",#N/A,TRUE,"IMRAK 400 15U FRONT SECTION"}</definedName>
    <definedName name="p" localSheetId="11" hidden="1">{#N/A,#N/A,TRUE,"Смета на пасс. обор. №1"}</definedName>
    <definedName name="p" localSheetId="19" hidden="1">{#N/A,#N/A,TRUE,"Смета на пасс. обор. №1"}</definedName>
    <definedName name="p" localSheetId="21" hidden="1">{#N/A,#N/A,TRUE,"Смета на пасс. обор. №1"}</definedName>
    <definedName name="p" localSheetId="20" hidden="1">{#N/A,#N/A,TRUE,"Смета на пасс. обор. №1"}</definedName>
    <definedName name="p" localSheetId="4" hidden="1">{#N/A,#N/A,TRUE,"Смета на пасс. обор. №1"}</definedName>
    <definedName name="p" localSheetId="10" hidden="1">{#N/A,#N/A,TRUE,"Смета на пасс. обор. №1"}</definedName>
    <definedName name="p" hidden="1">{#N/A,#N/A,TRUE,"Смета на пасс. обор. №1"}</definedName>
    <definedName name="p_1" localSheetId="11" hidden="1">{#N/A,#N/A,TRUE,"Смета на пасс. обор. №1"}</definedName>
    <definedName name="p_1" localSheetId="19" hidden="1">{#N/A,#N/A,TRUE,"Смета на пасс. обор. №1"}</definedName>
    <definedName name="p_1" localSheetId="21" hidden="1">{#N/A,#N/A,TRUE,"Смета на пасс. обор. №1"}</definedName>
    <definedName name="p_1" localSheetId="20" hidden="1">{#N/A,#N/A,TRUE,"Смета на пасс. обор. №1"}</definedName>
    <definedName name="p_1" localSheetId="4" hidden="1">{#N/A,#N/A,TRUE,"Смета на пасс. обор. №1"}</definedName>
    <definedName name="p_1" localSheetId="10" hidden="1">{#N/A,#N/A,TRUE,"Смета на пасс. обор. №1"}</definedName>
    <definedName name="p_1" hidden="1">{#N/A,#N/A,TRUE,"Смета на пасс. обор. №1"}</definedName>
    <definedName name="qqq" localSheetId="11" hidden="1">{#N/A,#N/A,TRUE,"Смета на пасс. обор. №1"}</definedName>
    <definedName name="qqq" localSheetId="19" hidden="1">{#N/A,#N/A,TRUE,"Смета на пасс. обор. №1"}</definedName>
    <definedName name="qqq" localSheetId="21" hidden="1">{#N/A,#N/A,TRUE,"Смета на пасс. обор. №1"}</definedName>
    <definedName name="qqq" localSheetId="20" hidden="1">{#N/A,#N/A,TRUE,"Смета на пасс. обор. №1"}</definedName>
    <definedName name="qqq" localSheetId="4" hidden="1">{#N/A,#N/A,TRUE,"Смета на пасс. обор. №1"}</definedName>
    <definedName name="qqq" localSheetId="18" hidden="1">{#N/A,#N/A,TRUE,"Смета на пасс. обор. №1"}</definedName>
    <definedName name="qqq" localSheetId="10" hidden="1">{#N/A,#N/A,TRUE,"Смета на пасс. обор. №1"}</definedName>
    <definedName name="qqq" hidden="1">{#N/A,#N/A,TRUE,"Смета на пасс. обор. №1"}</definedName>
    <definedName name="qqq_1" localSheetId="11" hidden="1">{#N/A,#N/A,TRUE,"Смета на пасс. обор. №1"}</definedName>
    <definedName name="qqq_1" localSheetId="19" hidden="1">{#N/A,#N/A,TRUE,"Смета на пасс. обор. №1"}</definedName>
    <definedName name="qqq_1" localSheetId="21" hidden="1">{#N/A,#N/A,TRUE,"Смета на пасс. обор. №1"}</definedName>
    <definedName name="qqq_1" localSheetId="20" hidden="1">{#N/A,#N/A,TRUE,"Смета на пасс. обор. №1"}</definedName>
    <definedName name="qqq_1" localSheetId="4" hidden="1">{#N/A,#N/A,TRUE,"Смета на пасс. обор. №1"}</definedName>
    <definedName name="qqq_1" localSheetId="18" hidden="1">{#N/A,#N/A,TRUE,"Смета на пасс. обор. №1"}</definedName>
    <definedName name="qqq_1" localSheetId="10" hidden="1">{#N/A,#N/A,TRUE,"Смета на пасс. обор. №1"}</definedName>
    <definedName name="qqq_1" hidden="1">{#N/A,#N/A,TRUE,"Смета на пасс. обор. №1"}</definedName>
    <definedName name="standard_raks" localSheetId="11" hidden="1">{"IMRAK42x8x8",#N/A,TRUE,"IMRAK 1400 42U 800X800";"IMRAK32x6x6",#N/A,TRUE,"IMRAK 1400 32U 600x600";"IMRAK42x12x8",#N/A,TRUE,"IMRAK 1400 42U 1200x800";"IMRAK15x6x4",#N/A,TRUE,"IMRAK 400 15U FRONT SECTION"}</definedName>
    <definedName name="standard_raks" localSheetId="19" hidden="1">{"IMRAK42x8x8",#N/A,TRUE,"IMRAK 1400 42U 800X800";"IMRAK32x6x6",#N/A,TRUE,"IMRAK 1400 32U 600x600";"IMRAK42x12x8",#N/A,TRUE,"IMRAK 1400 42U 1200x800";"IMRAK15x6x4",#N/A,TRUE,"IMRAK 400 15U FRONT SECTION"}</definedName>
    <definedName name="standard_raks" localSheetId="21" hidden="1">{"IMRAK42x8x8",#N/A,TRUE,"IMRAK 1400 42U 800X800";"IMRAK32x6x6",#N/A,TRUE,"IMRAK 1400 32U 600x600";"IMRAK42x12x8",#N/A,TRUE,"IMRAK 1400 42U 1200x800";"IMRAK15x6x4",#N/A,TRUE,"IMRAK 400 15U FRONT SECTION"}</definedName>
    <definedName name="standard_raks" localSheetId="20" hidden="1">{"IMRAK42x8x8",#N/A,TRUE,"IMRAK 1400 42U 800X800";"IMRAK32x6x6",#N/A,TRUE,"IMRAK 1400 32U 600x600";"IMRAK42x12x8",#N/A,TRUE,"IMRAK 1400 42U 1200x800";"IMRAK15x6x4",#N/A,TRUE,"IMRAK 400 15U FRONT SECTION"}</definedName>
    <definedName name="standard_raks" localSheetId="4" hidden="1">{"IMRAK42x8x8",#N/A,TRUE,"IMRAK 1400 42U 800X800";"IMRAK32x6x6",#N/A,TRUE,"IMRAK 1400 32U 600x600";"IMRAK42x12x8",#N/A,TRUE,"IMRAK 1400 42U 1200x800";"IMRAK15x6x4",#N/A,TRUE,"IMRAK 400 15U FRONT SECTION"}</definedName>
    <definedName name="standard_raks" localSheetId="10" hidden="1">{"IMRAK42x8x8",#N/A,TRUE,"IMRAK 1400 42U 800X800";"IMRAK32x6x6",#N/A,TRUE,"IMRAK 1400 32U 600x600";"IMRAK42x12x8",#N/A,TRUE,"IMRAK 1400 42U 1200x800";"IMRAK15x6x4",#N/A,TRUE,"IMRAK 400 15U FRONT SECTION"}</definedName>
    <definedName name="standard_raks" hidden="1">{"IMRAK42x8x8",#N/A,TRUE,"IMRAK 1400 42U 800X800";"IMRAK32x6x6",#N/A,TRUE,"IMRAK 1400 32U 600x600";"IMRAK42x12x8",#N/A,TRUE,"IMRAK 1400 42U 1200x800";"IMRAK15x6x4",#N/A,TRUE,"IMRAK 400 15U FRONT SECTION"}</definedName>
    <definedName name="we" localSheetId="11" hidden="1">{#N/A,#N/A,TRUE,"Смета на пасс. обор. №1"}</definedName>
    <definedName name="we" localSheetId="19" hidden="1">{#N/A,#N/A,TRUE,"Смета на пасс. обор. №1"}</definedName>
    <definedName name="we" localSheetId="21" hidden="1">{#N/A,#N/A,TRUE,"Смета на пасс. обор. №1"}</definedName>
    <definedName name="we" localSheetId="20" hidden="1">{#N/A,#N/A,TRUE,"Смета на пасс. обор. №1"}</definedName>
    <definedName name="we" localSheetId="4" hidden="1">{#N/A,#N/A,TRUE,"Смета на пасс. обор. №1"}</definedName>
    <definedName name="we" localSheetId="18" hidden="1">{#N/A,#N/A,TRUE,"Смета на пасс. обор. №1"}</definedName>
    <definedName name="we" localSheetId="10" hidden="1">{#N/A,#N/A,TRUE,"Смета на пасс. обор. №1"}</definedName>
    <definedName name="we" hidden="1">{#N/A,#N/A,TRUE,"Смета на пасс. обор. №1"}</definedName>
    <definedName name="we_1" localSheetId="11" hidden="1">{#N/A,#N/A,TRUE,"Смета на пасс. обор. №1"}</definedName>
    <definedName name="we_1" localSheetId="19" hidden="1">{#N/A,#N/A,TRUE,"Смета на пасс. обор. №1"}</definedName>
    <definedName name="we_1" localSheetId="21" hidden="1">{#N/A,#N/A,TRUE,"Смета на пасс. обор. №1"}</definedName>
    <definedName name="we_1" localSheetId="20" hidden="1">{#N/A,#N/A,TRUE,"Смета на пасс. обор. №1"}</definedName>
    <definedName name="we_1" localSheetId="4" hidden="1">{#N/A,#N/A,TRUE,"Смета на пасс. обор. №1"}</definedName>
    <definedName name="we_1" localSheetId="18" hidden="1">{#N/A,#N/A,TRUE,"Смета на пасс. обор. №1"}</definedName>
    <definedName name="we_1" localSheetId="10" hidden="1">{#N/A,#N/A,TRUE,"Смета на пасс. обор. №1"}</definedName>
    <definedName name="we_1" hidden="1">{#N/A,#N/A,TRUE,"Смета на пасс. обор. №1"}</definedName>
    <definedName name="wrn.1." localSheetId="11" hidden="1">{#N/A,#N/A,FALSE,"Шаблон_Спец1"}</definedName>
    <definedName name="wrn.1." localSheetId="19" hidden="1">{#N/A,#N/A,FALSE,"Шаблон_Спец1"}</definedName>
    <definedName name="wrn.1." localSheetId="21" hidden="1">{#N/A,#N/A,FALSE,"Шаблон_Спец1"}</definedName>
    <definedName name="wrn.1." localSheetId="20" hidden="1">{#N/A,#N/A,FALSE,"Шаблон_Спец1"}</definedName>
    <definedName name="wrn.1." localSheetId="4" hidden="1">{#N/A,#N/A,FALSE,"Шаблон_Спец1"}</definedName>
    <definedName name="wrn.1." localSheetId="18" hidden="1">{#N/A,#N/A,FALSE,"Шаблон_Спец1"}</definedName>
    <definedName name="wrn.1." localSheetId="10" hidden="1">{#N/A,#N/A,FALSE,"Шаблон_Спец1"}</definedName>
    <definedName name="wrn.1." hidden="1">{#N/A,#N/A,FALSE,"Шаблон_Спец1"}</definedName>
    <definedName name="wrn.sp2344." localSheetId="11" hidden="1">{#N/A,#N/A,TRUE,"Смета на пасс. обор. №1"}</definedName>
    <definedName name="wrn.sp2344." localSheetId="19" hidden="1">{#N/A,#N/A,TRUE,"Смета на пасс. обор. №1"}</definedName>
    <definedName name="wrn.sp2344." localSheetId="21" hidden="1">{#N/A,#N/A,TRUE,"Смета на пасс. обор. №1"}</definedName>
    <definedName name="wrn.sp2344." localSheetId="20" hidden="1">{#N/A,#N/A,TRUE,"Смета на пасс. обор. №1"}</definedName>
    <definedName name="wrn.sp2344." localSheetId="4" hidden="1">{#N/A,#N/A,TRUE,"Смета на пасс. обор. №1"}</definedName>
    <definedName name="wrn.sp2344." localSheetId="18" hidden="1">{#N/A,#N/A,TRUE,"Смета на пасс. обор. №1"}</definedName>
    <definedName name="wrn.sp2344." localSheetId="10" hidden="1">{#N/A,#N/A,TRUE,"Смета на пасс. обор. №1"}</definedName>
    <definedName name="wrn.sp2344." hidden="1">{#N/A,#N/A,TRUE,"Смета на пасс. обор. №1"}</definedName>
    <definedName name="wrn.sp2344._1" localSheetId="11" hidden="1">{#N/A,#N/A,TRUE,"Смета на пасс. обор. №1"}</definedName>
    <definedName name="wrn.sp2344._1" localSheetId="19" hidden="1">{#N/A,#N/A,TRUE,"Смета на пасс. обор. №1"}</definedName>
    <definedName name="wrn.sp2344._1" localSheetId="21" hidden="1">{#N/A,#N/A,TRUE,"Смета на пасс. обор. №1"}</definedName>
    <definedName name="wrn.sp2344._1" localSheetId="20" hidden="1">{#N/A,#N/A,TRUE,"Смета на пасс. обор. №1"}</definedName>
    <definedName name="wrn.sp2344._1" localSheetId="4" hidden="1">{#N/A,#N/A,TRUE,"Смета на пасс. обор. №1"}</definedName>
    <definedName name="wrn.sp2344._1" localSheetId="18" hidden="1">{#N/A,#N/A,TRUE,"Смета на пасс. обор. №1"}</definedName>
    <definedName name="wrn.sp2344._1" localSheetId="10" hidden="1">{#N/A,#N/A,TRUE,"Смета на пасс. обор. №1"}</definedName>
    <definedName name="wrn.sp2344._1" hidden="1">{#N/A,#N/A,TRUE,"Смета на пасс. обор. №1"}</definedName>
    <definedName name="wrn.sp2345" localSheetId="11" hidden="1">{#N/A,#N/A,TRUE,"Смета на пасс. обор. №1"}</definedName>
    <definedName name="wrn.sp2345" localSheetId="19" hidden="1">{#N/A,#N/A,TRUE,"Смета на пасс. обор. №1"}</definedName>
    <definedName name="wrn.sp2345" localSheetId="21" hidden="1">{#N/A,#N/A,TRUE,"Смета на пасс. обор. №1"}</definedName>
    <definedName name="wrn.sp2345" localSheetId="20" hidden="1">{#N/A,#N/A,TRUE,"Смета на пасс. обор. №1"}</definedName>
    <definedName name="wrn.sp2345" localSheetId="4" hidden="1">{#N/A,#N/A,TRUE,"Смета на пасс. обор. №1"}</definedName>
    <definedName name="wrn.sp2345" localSheetId="18" hidden="1">{#N/A,#N/A,TRUE,"Смета на пасс. обор. №1"}</definedName>
    <definedName name="wrn.sp2345" localSheetId="10" hidden="1">{#N/A,#N/A,TRUE,"Смета на пасс. обор. №1"}</definedName>
    <definedName name="wrn.sp2345" hidden="1">{#N/A,#N/A,TRUE,"Смета на пасс. обор. №1"}</definedName>
    <definedName name="wrn.sp2345_1" localSheetId="11" hidden="1">{#N/A,#N/A,TRUE,"Смета на пасс. обор. №1"}</definedName>
    <definedName name="wrn.sp2345_1" localSheetId="19" hidden="1">{#N/A,#N/A,TRUE,"Смета на пасс. обор. №1"}</definedName>
    <definedName name="wrn.sp2345_1" localSheetId="21" hidden="1">{#N/A,#N/A,TRUE,"Смета на пасс. обор. №1"}</definedName>
    <definedName name="wrn.sp2345_1" localSheetId="20" hidden="1">{#N/A,#N/A,TRUE,"Смета на пасс. обор. №1"}</definedName>
    <definedName name="wrn.sp2345_1" localSheetId="4" hidden="1">{#N/A,#N/A,TRUE,"Смета на пасс. обор. №1"}</definedName>
    <definedName name="wrn.sp2345_1" localSheetId="18" hidden="1">{#N/A,#N/A,TRUE,"Смета на пасс. обор. №1"}</definedName>
    <definedName name="wrn.sp2345_1" localSheetId="10" hidden="1">{#N/A,#N/A,TRUE,"Смета на пасс. обор. №1"}</definedName>
    <definedName name="wrn.sp2345_1" hidden="1">{#N/A,#N/A,TRUE,"Смета на пасс. обор. №1"}</definedName>
    <definedName name="wrn.STANDARD._.RACKS." localSheetId="11" hidden="1">{"IMRAK42x8x8",#N/A,TRUE,"IMRAK 1400 42U 800X800";"IMRAK32x6x6",#N/A,TRUE,"IMRAK 1400 32U 600x600";"IMRAK42x12x8",#N/A,TRUE,"IMRAK 1400 42U 1200x800";"IMRAK15x6x4",#N/A,TRUE,"IMRAK 400 15U FRONT SECTION"}</definedName>
    <definedName name="wrn.STANDARD._.RACKS." localSheetId="19" hidden="1">{"IMRAK42x8x8",#N/A,TRUE,"IMRAK 1400 42U 800X800";"IMRAK32x6x6",#N/A,TRUE,"IMRAK 1400 32U 600x600";"IMRAK42x12x8",#N/A,TRUE,"IMRAK 1400 42U 1200x800";"IMRAK15x6x4",#N/A,TRUE,"IMRAK 400 15U FRONT SECTION"}</definedName>
    <definedName name="wrn.STANDARD._.RACKS." localSheetId="21" hidden="1">{"IMRAK42x8x8",#N/A,TRUE,"IMRAK 1400 42U 800X800";"IMRAK32x6x6",#N/A,TRUE,"IMRAK 1400 32U 600x600";"IMRAK42x12x8",#N/A,TRUE,"IMRAK 1400 42U 1200x800";"IMRAK15x6x4",#N/A,TRUE,"IMRAK 400 15U FRONT SECTION"}</definedName>
    <definedName name="wrn.STANDARD._.RACKS." localSheetId="20" hidden="1">{"IMRAK42x8x8",#N/A,TRUE,"IMRAK 1400 42U 800X800";"IMRAK32x6x6",#N/A,TRUE,"IMRAK 1400 32U 600x600";"IMRAK42x12x8",#N/A,TRUE,"IMRAK 1400 42U 1200x800";"IMRAK15x6x4",#N/A,TRUE,"IMRAK 400 15U FRONT SECTION"}</definedName>
    <definedName name="wrn.STANDARD._.RACKS." localSheetId="4" hidden="1">{"IMRAK42x8x8",#N/A,TRUE,"IMRAK 1400 42U 800X800";"IMRAK32x6x6",#N/A,TRUE,"IMRAK 1400 32U 600x600";"IMRAK42x12x8",#N/A,TRUE,"IMRAK 1400 42U 1200x800";"IMRAK15x6x4",#N/A,TRUE,"IMRAK 400 15U FRONT SECTION"}</definedName>
    <definedName name="wrn.STANDARD._.RACKS." localSheetId="10" hidden="1">{"IMRAK42x8x8",#N/A,TRUE,"IMRAK 1400 42U 800X800";"IMRAK32x6x6",#N/A,TRUE,"IMRAK 1400 32U 600x600";"IMRAK42x12x8",#N/A,TRUE,"IMRAK 1400 42U 1200x800";"IMRAK15x6x4",#N/A,TRUE,"IMRAK 400 15U FRONT SECTION"}</definedName>
    <definedName name="wrn.STANDARD._.RACKS." hidden="1">{"IMRAK42x8x8",#N/A,TRUE,"IMRAK 1400 42U 800X800";"IMRAK32x6x6",#N/A,TRUE,"IMRAK 1400 32U 600x600";"IMRAK42x12x8",#N/A,TRUE,"IMRAK 1400 42U 1200x800";"IMRAK15x6x4",#N/A,TRUE,"IMRAK 400 15U FRONT SECTION"}</definedName>
    <definedName name="wrn.Wys1." localSheetId="11" hidden="1">{#N/A,#N/A,FALSE,"Приложение к справке"}</definedName>
    <definedName name="wrn.Wys1." localSheetId="19" hidden="1">{#N/A,#N/A,FALSE,"Приложение к справке"}</definedName>
    <definedName name="wrn.Wys1." localSheetId="21" hidden="1">{#N/A,#N/A,FALSE,"Приложение к справке"}</definedName>
    <definedName name="wrn.Wys1." localSheetId="20" hidden="1">{#N/A,#N/A,FALSE,"Приложение к справке"}</definedName>
    <definedName name="wrn.Wys1." localSheetId="4" hidden="1">{#N/A,#N/A,FALSE,"Приложение к справке"}</definedName>
    <definedName name="wrn.Wys1." localSheetId="10" hidden="1">{#N/A,#N/A,FALSE,"Приложение к справке"}</definedName>
    <definedName name="wrn.Wys1." hidden="1">{#N/A,#N/A,FALSE,"Приложение к справке"}</definedName>
    <definedName name="wrn.Wys2" localSheetId="11" hidden="1">{#N/A,#N/A,FALSE,"Приложение к справке"}</definedName>
    <definedName name="wrn.Wys2" localSheetId="19" hidden="1">{#N/A,#N/A,FALSE,"Приложение к справке"}</definedName>
    <definedName name="wrn.Wys2" localSheetId="21" hidden="1">{#N/A,#N/A,FALSE,"Приложение к справке"}</definedName>
    <definedName name="wrn.Wys2" localSheetId="20" hidden="1">{#N/A,#N/A,FALSE,"Приложение к справке"}</definedName>
    <definedName name="wrn.Wys2" localSheetId="4" hidden="1">{#N/A,#N/A,FALSE,"Приложение к справке"}</definedName>
    <definedName name="wrn.Wys2" localSheetId="10" hidden="1">{#N/A,#N/A,FALSE,"Приложение к справке"}</definedName>
    <definedName name="wrn.Wys2" hidden="1">{#N/A,#N/A,FALSE,"Приложение к справке"}</definedName>
    <definedName name="wrn.Общая._.спецификация." localSheetId="1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19"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1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сновная._.спецификация." localSheetId="1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19"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0"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10"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Спецификации." localSheetId="11"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19"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1"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0"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4"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10"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hidden="1">{#N/A,#N/A,TRUE,"КЦ11Аб";#N/A,#N/A,TRUE,"КЦ11Тл";#N/A,#N/A,TRUE,"КЦ12Тл";#N/A,#N/A,TRUE,"КЦ13Тл";#N/A,#N/A,TRUE,"КЦ14Тл";#N/A,#N/A,TRUE,"КЦ21Тл";#N/A,#N/A,TRUE,"КЦ22Тл";#N/A,#N/A,TRUE,"КЦ31Тл";#N/A,#N/A,TRUE,"КЦ32Тл";#N/A,#N/A,TRUE,"КЦ11Тн";#N/A,#N/A,TRUE,"Инструмент";#N/A,#N/A,TRUE,"Приборы"}</definedName>
    <definedName name="xxx" localSheetId="11" hidden="1">{"IMRAK42x8x8",#N/A,TRUE,"IMRAK 1400 42U 800X800";"IMRAK32x6x6",#N/A,TRUE,"IMRAK 1400 32U 600x600";"IMRAK42x12x8",#N/A,TRUE,"IMRAK 1400 42U 1200x800";"IMRAK15x6x4",#N/A,TRUE,"IMRAK 400 15U FRONT SECTION"}</definedName>
    <definedName name="xxx" localSheetId="19" hidden="1">{"IMRAK42x8x8",#N/A,TRUE,"IMRAK 1400 42U 800X800";"IMRAK32x6x6",#N/A,TRUE,"IMRAK 1400 32U 600x600";"IMRAK42x12x8",#N/A,TRUE,"IMRAK 1400 42U 1200x800";"IMRAK15x6x4",#N/A,TRUE,"IMRAK 400 15U FRONT SECTION"}</definedName>
    <definedName name="xxx" localSheetId="21" hidden="1">{"IMRAK42x8x8",#N/A,TRUE,"IMRAK 1400 42U 800X800";"IMRAK32x6x6",#N/A,TRUE,"IMRAK 1400 32U 600x600";"IMRAK42x12x8",#N/A,TRUE,"IMRAK 1400 42U 1200x800";"IMRAK15x6x4",#N/A,TRUE,"IMRAK 400 15U FRONT SECTION"}</definedName>
    <definedName name="xxx" localSheetId="20" hidden="1">{"IMRAK42x8x8",#N/A,TRUE,"IMRAK 1400 42U 800X800";"IMRAK32x6x6",#N/A,TRUE,"IMRAK 1400 32U 600x600";"IMRAK42x12x8",#N/A,TRUE,"IMRAK 1400 42U 1200x800";"IMRAK15x6x4",#N/A,TRUE,"IMRAK 400 15U FRONT SECTION"}</definedName>
    <definedName name="xxx" localSheetId="4" hidden="1">{"IMRAK42x8x8",#N/A,TRUE,"IMRAK 1400 42U 800X800";"IMRAK32x6x6",#N/A,TRUE,"IMRAK 1400 32U 600x600";"IMRAK42x12x8",#N/A,TRUE,"IMRAK 1400 42U 1200x800";"IMRAK15x6x4",#N/A,TRUE,"IMRAK 400 15U FRONT SECTION"}</definedName>
    <definedName name="xxx" localSheetId="10" hidden="1">{"IMRAK42x8x8",#N/A,TRUE,"IMRAK 1400 42U 800X800";"IMRAK32x6x6",#N/A,TRUE,"IMRAK 1400 32U 600x600";"IMRAK42x12x8",#N/A,TRUE,"IMRAK 1400 42U 1200x800";"IMRAK15x6x4",#N/A,TRUE,"IMRAK 400 15U FRONT SECTION"}</definedName>
    <definedName name="xxx" hidden="1">{"IMRAK42x8x8",#N/A,TRUE,"IMRAK 1400 42U 800X800";"IMRAK32x6x6",#N/A,TRUE,"IMRAK 1400 32U 600x600";"IMRAK42x12x8",#N/A,TRUE,"IMRAK 1400 42U 1200x800";"IMRAK15x6x4",#N/A,TRUE,"IMRAK 400 15U FRONT SECTION"}</definedName>
    <definedName name="а" localSheetId="11" hidden="1">{#N/A,#N/A,TRUE,"Смета на пасс. обор. №1"}</definedName>
    <definedName name="а" localSheetId="19" hidden="1">{#N/A,#N/A,TRUE,"Смета на пасс. обор. №1"}</definedName>
    <definedName name="а" localSheetId="21" hidden="1">{#N/A,#N/A,TRUE,"Смета на пасс. обор. №1"}</definedName>
    <definedName name="а" localSheetId="20" hidden="1">{#N/A,#N/A,TRUE,"Смета на пасс. обор. №1"}</definedName>
    <definedName name="а" localSheetId="4" hidden="1">{#N/A,#N/A,TRUE,"Смета на пасс. обор. №1"}</definedName>
    <definedName name="а" localSheetId="10" hidden="1">{#N/A,#N/A,TRUE,"Смета на пасс. обор. №1"}</definedName>
    <definedName name="а" hidden="1">{#N/A,#N/A,TRUE,"Смета на пасс. обор. №1"}</definedName>
    <definedName name="а_1" localSheetId="11" hidden="1">{#N/A,#N/A,TRUE,"Смета на пасс. обор. №1"}</definedName>
    <definedName name="а_1" localSheetId="19" hidden="1">{#N/A,#N/A,TRUE,"Смета на пасс. обор. №1"}</definedName>
    <definedName name="а_1" localSheetId="21" hidden="1">{#N/A,#N/A,TRUE,"Смета на пасс. обор. №1"}</definedName>
    <definedName name="а_1" localSheetId="20" hidden="1">{#N/A,#N/A,TRUE,"Смета на пасс. обор. №1"}</definedName>
    <definedName name="а_1" localSheetId="4" hidden="1">{#N/A,#N/A,TRUE,"Смета на пасс. обор. №1"}</definedName>
    <definedName name="а_1" localSheetId="18" hidden="1">{#N/A,#N/A,TRUE,"Смета на пасс. обор. №1"}</definedName>
    <definedName name="а_1" localSheetId="10" hidden="1">{#N/A,#N/A,TRUE,"Смета на пасс. обор. №1"}</definedName>
    <definedName name="а_1" hidden="1">{#N/A,#N/A,TRUE,"Смета на пасс. обор. №1"}</definedName>
    <definedName name="ааа" localSheetId="20" hidden="1">{#N/A,#N/A,FALSE,"Приложение к справке"}</definedName>
    <definedName name="ап" localSheetId="11" hidden="1">{#N/A,#N/A,TRUE,"Смета на пасс. обор. №1"}</definedName>
    <definedName name="ап" localSheetId="19" hidden="1">{#N/A,#N/A,TRUE,"Смета на пасс. обор. №1"}</definedName>
    <definedName name="ап" localSheetId="21" hidden="1">{#N/A,#N/A,TRUE,"Смета на пасс. обор. №1"}</definedName>
    <definedName name="ап" localSheetId="20" hidden="1">{#N/A,#N/A,TRUE,"Смета на пасс. обор. №1"}</definedName>
    <definedName name="ап" localSheetId="4" hidden="1">{#N/A,#N/A,TRUE,"Смета на пасс. обор. №1"}</definedName>
    <definedName name="ап" localSheetId="10" hidden="1">{#N/A,#N/A,TRUE,"Смета на пасс. обор. №1"}</definedName>
    <definedName name="ап" hidden="1">{#N/A,#N/A,TRUE,"Смета на пасс. обор. №1"}</definedName>
    <definedName name="ап_1" localSheetId="11" hidden="1">{#N/A,#N/A,TRUE,"Смета на пасс. обор. №1"}</definedName>
    <definedName name="ап_1" localSheetId="19" hidden="1">{#N/A,#N/A,TRUE,"Смета на пасс. обор. №1"}</definedName>
    <definedName name="ап_1" localSheetId="21" hidden="1">{#N/A,#N/A,TRUE,"Смета на пасс. обор. №1"}</definedName>
    <definedName name="ап_1" localSheetId="20" hidden="1">{#N/A,#N/A,TRUE,"Смета на пасс. обор. №1"}</definedName>
    <definedName name="ап_1" localSheetId="4" hidden="1">{#N/A,#N/A,TRUE,"Смета на пасс. обор. №1"}</definedName>
    <definedName name="ап_1" localSheetId="18" hidden="1">{#N/A,#N/A,TRUE,"Смета на пасс. обор. №1"}</definedName>
    <definedName name="ап_1" localSheetId="10" hidden="1">{#N/A,#N/A,TRUE,"Смета на пасс. обор. №1"}</definedName>
    <definedName name="ап_1" hidden="1">{#N/A,#N/A,TRUE,"Смета на пасс. обор. №1"}</definedName>
    <definedName name="апр" localSheetId="11" hidden="1">{#N/A,#N/A,TRUE,"Смета на пасс. обор. №1"}</definedName>
    <definedName name="апр" localSheetId="19" hidden="1">{#N/A,#N/A,TRUE,"Смета на пасс. обор. №1"}</definedName>
    <definedName name="апр" localSheetId="21" hidden="1">{#N/A,#N/A,TRUE,"Смета на пасс. обор. №1"}</definedName>
    <definedName name="апр" localSheetId="20" hidden="1">{#N/A,#N/A,TRUE,"Смета на пасс. обор. №1"}</definedName>
    <definedName name="апр" localSheetId="4" hidden="1">{#N/A,#N/A,TRUE,"Смета на пасс. обор. №1"}</definedName>
    <definedName name="апр" localSheetId="10" hidden="1">{#N/A,#N/A,TRUE,"Смета на пасс. обор. №1"}</definedName>
    <definedName name="апр" hidden="1">{#N/A,#N/A,TRUE,"Смета на пасс. обор. №1"}</definedName>
    <definedName name="апр_1" localSheetId="11" hidden="1">{#N/A,#N/A,TRUE,"Смета на пасс. обор. №1"}</definedName>
    <definedName name="апр_1" localSheetId="19" hidden="1">{#N/A,#N/A,TRUE,"Смета на пасс. обор. №1"}</definedName>
    <definedName name="апр_1" localSheetId="21" hidden="1">{#N/A,#N/A,TRUE,"Смета на пасс. обор. №1"}</definedName>
    <definedName name="апр_1" localSheetId="20" hidden="1">{#N/A,#N/A,TRUE,"Смета на пасс. обор. №1"}</definedName>
    <definedName name="апр_1" localSheetId="4" hidden="1">{#N/A,#N/A,TRUE,"Смета на пасс. обор. №1"}</definedName>
    <definedName name="апр_1" localSheetId="18" hidden="1">{#N/A,#N/A,TRUE,"Смета на пасс. обор. №1"}</definedName>
    <definedName name="апр_1" localSheetId="10" hidden="1">{#N/A,#N/A,TRUE,"Смета на пасс. обор. №1"}</definedName>
    <definedName name="апр_1" hidden="1">{#N/A,#N/A,TRUE,"Смета на пасс. обор. №1"}</definedName>
    <definedName name="б" localSheetId="11" hidden="1">{#N/A,#N/A,TRUE,"Смета на пасс. обор. №1"}</definedName>
    <definedName name="б" localSheetId="19" hidden="1">{#N/A,#N/A,TRUE,"Смета на пасс. обор. №1"}</definedName>
    <definedName name="б" localSheetId="21" hidden="1">{#N/A,#N/A,TRUE,"Смета на пасс. обор. №1"}</definedName>
    <definedName name="б" localSheetId="20" hidden="1">{#N/A,#N/A,TRUE,"Смета на пасс. обор. №1"}</definedName>
    <definedName name="б" localSheetId="4" hidden="1">{#N/A,#N/A,TRUE,"Смета на пасс. обор. №1"}</definedName>
    <definedName name="б" localSheetId="10" hidden="1">{#N/A,#N/A,TRUE,"Смета на пасс. обор. №1"}</definedName>
    <definedName name="б" hidden="1">{#N/A,#N/A,TRUE,"Смета на пасс. обор. №1"}</definedName>
    <definedName name="б_1" localSheetId="11" hidden="1">{#N/A,#N/A,TRUE,"Смета на пасс. обор. №1"}</definedName>
    <definedName name="б_1" localSheetId="19" hidden="1">{#N/A,#N/A,TRUE,"Смета на пасс. обор. №1"}</definedName>
    <definedName name="б_1" localSheetId="21" hidden="1">{#N/A,#N/A,TRUE,"Смета на пасс. обор. №1"}</definedName>
    <definedName name="б_1" localSheetId="20" hidden="1">{#N/A,#N/A,TRUE,"Смета на пасс. обор. №1"}</definedName>
    <definedName name="б_1" localSheetId="4" hidden="1">{#N/A,#N/A,TRUE,"Смета на пасс. обор. №1"}</definedName>
    <definedName name="б_1" localSheetId="18" hidden="1">{#N/A,#N/A,TRUE,"Смета на пасс. обор. №1"}</definedName>
    <definedName name="б_1" localSheetId="10" hidden="1">{#N/A,#N/A,TRUE,"Смета на пасс. обор. №1"}</definedName>
    <definedName name="б_1" hidden="1">{#N/A,#N/A,TRUE,"Смета на пасс. обор. №1"}</definedName>
    <definedName name="бабабла" localSheetId="11" hidden="1">{#N/A,#N/A,TRUE,"Смета на пасс. обор. №1"}</definedName>
    <definedName name="бабабла" localSheetId="19" hidden="1">{#N/A,#N/A,TRUE,"Смета на пасс. обор. №1"}</definedName>
    <definedName name="бабабла" localSheetId="21" hidden="1">{#N/A,#N/A,TRUE,"Смета на пасс. обор. №1"}</definedName>
    <definedName name="бабабла" localSheetId="20" hidden="1">{#N/A,#N/A,TRUE,"Смета на пасс. обор. №1"}</definedName>
    <definedName name="бабабла" localSheetId="4" hidden="1">{#N/A,#N/A,TRUE,"Смета на пасс. обор. №1"}</definedName>
    <definedName name="бабабла" localSheetId="18" hidden="1">{#N/A,#N/A,TRUE,"Смета на пасс. обор. №1"}</definedName>
    <definedName name="бабабла" localSheetId="10" hidden="1">{#N/A,#N/A,TRUE,"Смета на пасс. обор. №1"}</definedName>
    <definedName name="бабабла" hidden="1">{#N/A,#N/A,TRUE,"Смета на пасс. обор. №1"}</definedName>
    <definedName name="бабабла_1" localSheetId="11" hidden="1">{#N/A,#N/A,TRUE,"Смета на пасс. обор. №1"}</definedName>
    <definedName name="бабабла_1" localSheetId="19" hidden="1">{#N/A,#N/A,TRUE,"Смета на пасс. обор. №1"}</definedName>
    <definedName name="бабабла_1" localSheetId="21" hidden="1">{#N/A,#N/A,TRUE,"Смета на пасс. обор. №1"}</definedName>
    <definedName name="бабабла_1" localSheetId="20" hidden="1">{#N/A,#N/A,TRUE,"Смета на пасс. обор. №1"}</definedName>
    <definedName name="бабабла_1" localSheetId="4" hidden="1">{#N/A,#N/A,TRUE,"Смета на пасс. обор. №1"}</definedName>
    <definedName name="бабабла_1" localSheetId="18" hidden="1">{#N/A,#N/A,TRUE,"Смета на пасс. обор. №1"}</definedName>
    <definedName name="бабабла_1" localSheetId="10" hidden="1">{#N/A,#N/A,TRUE,"Смета на пасс. обор. №1"}</definedName>
    <definedName name="бабабла_1" hidden="1">{#N/A,#N/A,TRUE,"Смета на пасс. обор. №1"}</definedName>
    <definedName name="бббб" localSheetId="11" hidden="1">{#N/A,#N/A,TRUE,"Смета на пасс. обор. №1"}</definedName>
    <definedName name="бббб" localSheetId="19" hidden="1">{#N/A,#N/A,TRUE,"Смета на пасс. обор. №1"}</definedName>
    <definedName name="бббб" localSheetId="21" hidden="1">{#N/A,#N/A,TRUE,"Смета на пасс. обор. №1"}</definedName>
    <definedName name="бббб" localSheetId="20" hidden="1">{#N/A,#N/A,TRUE,"Смета на пасс. обор. №1"}</definedName>
    <definedName name="бббб" localSheetId="4" hidden="1">{#N/A,#N/A,TRUE,"Смета на пасс. обор. №1"}</definedName>
    <definedName name="бббб" localSheetId="10" hidden="1">{#N/A,#N/A,TRUE,"Смета на пасс. обор. №1"}</definedName>
    <definedName name="бббб" hidden="1">{#N/A,#N/A,TRUE,"Смета на пасс. обор. №1"}</definedName>
    <definedName name="бол" localSheetId="11" hidden="1">{#N/A,#N/A,TRUE,"Смета на пасс. обор. №1"}</definedName>
    <definedName name="бол" localSheetId="19" hidden="1">{#N/A,#N/A,TRUE,"Смета на пасс. обор. №1"}</definedName>
    <definedName name="бол" localSheetId="21" hidden="1">{#N/A,#N/A,TRUE,"Смета на пасс. обор. №1"}</definedName>
    <definedName name="бол" localSheetId="20" hidden="1">{#N/A,#N/A,TRUE,"Смета на пасс. обор. №1"}</definedName>
    <definedName name="бол" localSheetId="4" hidden="1">{#N/A,#N/A,TRUE,"Смета на пасс. обор. №1"}</definedName>
    <definedName name="бол" localSheetId="18" hidden="1">{#N/A,#N/A,TRUE,"Смета на пасс. обор. №1"}</definedName>
    <definedName name="бол" localSheetId="10" hidden="1">{#N/A,#N/A,TRUE,"Смета на пасс. обор. №1"}</definedName>
    <definedName name="бол" hidden="1">{#N/A,#N/A,TRUE,"Смета на пасс. обор. №1"}</definedName>
    <definedName name="бол_1" localSheetId="11" hidden="1">{#N/A,#N/A,TRUE,"Смета на пасс. обор. №1"}</definedName>
    <definedName name="бол_1" localSheetId="19" hidden="1">{#N/A,#N/A,TRUE,"Смета на пасс. обор. №1"}</definedName>
    <definedName name="бол_1" localSheetId="21" hidden="1">{#N/A,#N/A,TRUE,"Смета на пасс. обор. №1"}</definedName>
    <definedName name="бол_1" localSheetId="20" hidden="1">{#N/A,#N/A,TRUE,"Смета на пасс. обор. №1"}</definedName>
    <definedName name="бол_1" localSheetId="4" hidden="1">{#N/A,#N/A,TRUE,"Смета на пасс. обор. №1"}</definedName>
    <definedName name="бол_1" localSheetId="18" hidden="1">{#N/A,#N/A,TRUE,"Смета на пасс. обор. №1"}</definedName>
    <definedName name="бол_1" localSheetId="10" hidden="1">{#N/A,#N/A,TRUE,"Смета на пасс. обор. №1"}</definedName>
    <definedName name="бол_1" hidden="1">{#N/A,#N/A,TRUE,"Смета на пасс. обор. №1"}</definedName>
    <definedName name="в" localSheetId="11" hidden="1">{#N/A,#N/A,TRUE,"Смета на пасс. обор. №1"}</definedName>
    <definedName name="в" localSheetId="19" hidden="1">{#N/A,#N/A,TRUE,"Смета на пасс. обор. №1"}</definedName>
    <definedName name="в" localSheetId="21" hidden="1">{#N/A,#N/A,TRUE,"Смета на пасс. обор. №1"}</definedName>
    <definedName name="в" localSheetId="20" hidden="1">{#N/A,#N/A,TRUE,"Смета на пасс. обор. №1"}</definedName>
    <definedName name="в" localSheetId="4" hidden="1">{#N/A,#N/A,TRUE,"Смета на пасс. обор. №1"}</definedName>
    <definedName name="в" localSheetId="10" hidden="1">{#N/A,#N/A,TRUE,"Смета на пасс. обор. №1"}</definedName>
    <definedName name="в" hidden="1">{#N/A,#N/A,TRUE,"Смета на пасс. обор. №1"}</definedName>
    <definedName name="в_1" localSheetId="11" hidden="1">{#N/A,#N/A,TRUE,"Смета на пасс. обор. №1"}</definedName>
    <definedName name="в_1" localSheetId="19" hidden="1">{#N/A,#N/A,TRUE,"Смета на пасс. обор. №1"}</definedName>
    <definedName name="в_1" localSheetId="21" hidden="1">{#N/A,#N/A,TRUE,"Смета на пасс. обор. №1"}</definedName>
    <definedName name="в_1" localSheetId="20" hidden="1">{#N/A,#N/A,TRUE,"Смета на пасс. обор. №1"}</definedName>
    <definedName name="в_1" localSheetId="4" hidden="1">{#N/A,#N/A,TRUE,"Смета на пасс. обор. №1"}</definedName>
    <definedName name="в_1" localSheetId="18" hidden="1">{#N/A,#N/A,TRUE,"Смета на пасс. обор. №1"}</definedName>
    <definedName name="в_1" localSheetId="10" hidden="1">{#N/A,#N/A,TRUE,"Смета на пасс. обор. №1"}</definedName>
    <definedName name="в_1" hidden="1">{#N/A,#N/A,TRUE,"Смета на пасс. обор. №1"}</definedName>
    <definedName name="вап" localSheetId="11" hidden="1">{#N/A,#N/A,TRUE,"Смета на пасс. обор. №1"}</definedName>
    <definedName name="вап" localSheetId="19" hidden="1">{#N/A,#N/A,TRUE,"Смета на пасс. обор. №1"}</definedName>
    <definedName name="вап" localSheetId="21" hidden="1">{#N/A,#N/A,TRUE,"Смета на пасс. обор. №1"}</definedName>
    <definedName name="вап" localSheetId="20" hidden="1">{#N/A,#N/A,TRUE,"Смета на пасс. обор. №1"}</definedName>
    <definedName name="вап" localSheetId="4" hidden="1">{#N/A,#N/A,TRUE,"Смета на пасс. обор. №1"}</definedName>
    <definedName name="вап" localSheetId="10" hidden="1">{#N/A,#N/A,TRUE,"Смета на пасс. обор. №1"}</definedName>
    <definedName name="вап" hidden="1">{#N/A,#N/A,TRUE,"Смета на пасс. обор. №1"}</definedName>
    <definedName name="вап_1" localSheetId="11" hidden="1">{#N/A,#N/A,TRUE,"Смета на пасс. обор. №1"}</definedName>
    <definedName name="вап_1" localSheetId="19" hidden="1">{#N/A,#N/A,TRUE,"Смета на пасс. обор. №1"}</definedName>
    <definedName name="вап_1" localSheetId="21" hidden="1">{#N/A,#N/A,TRUE,"Смета на пасс. обор. №1"}</definedName>
    <definedName name="вап_1" localSheetId="20" hidden="1">{#N/A,#N/A,TRUE,"Смета на пасс. обор. №1"}</definedName>
    <definedName name="вап_1" localSheetId="4" hidden="1">{#N/A,#N/A,TRUE,"Смета на пасс. обор. №1"}</definedName>
    <definedName name="вап_1" localSheetId="18" hidden="1">{#N/A,#N/A,TRUE,"Смета на пасс. обор. №1"}</definedName>
    <definedName name="вап_1" localSheetId="10" hidden="1">{#N/A,#N/A,TRUE,"Смета на пасс. обор. №1"}</definedName>
    <definedName name="вап_1" hidden="1">{#N/A,#N/A,TRUE,"Смета на пасс. обор. №1"}</definedName>
    <definedName name="вапапо" localSheetId="11" hidden="1">{#N/A,#N/A,TRUE,"Смета на пасс. обор. №1"}</definedName>
    <definedName name="вапапо" localSheetId="19" hidden="1">{#N/A,#N/A,TRUE,"Смета на пасс. обор. №1"}</definedName>
    <definedName name="вапапо" localSheetId="21" hidden="1">{#N/A,#N/A,TRUE,"Смета на пасс. обор. №1"}</definedName>
    <definedName name="вапапо" localSheetId="20" hidden="1">{#N/A,#N/A,TRUE,"Смета на пасс. обор. №1"}</definedName>
    <definedName name="вапапо" localSheetId="4" hidden="1">{#N/A,#N/A,TRUE,"Смета на пасс. обор. №1"}</definedName>
    <definedName name="вапапо" localSheetId="18" hidden="1">{#N/A,#N/A,TRUE,"Смета на пасс. обор. №1"}</definedName>
    <definedName name="вапапо" localSheetId="10" hidden="1">{#N/A,#N/A,TRUE,"Смета на пасс. обор. №1"}</definedName>
    <definedName name="вапапо" hidden="1">{#N/A,#N/A,TRUE,"Смета на пасс. обор. №1"}</definedName>
    <definedName name="вапапо_1" localSheetId="11" hidden="1">{#N/A,#N/A,TRUE,"Смета на пасс. обор. №1"}</definedName>
    <definedName name="вапапо_1" localSheetId="19" hidden="1">{#N/A,#N/A,TRUE,"Смета на пасс. обор. №1"}</definedName>
    <definedName name="вапапо_1" localSheetId="21" hidden="1">{#N/A,#N/A,TRUE,"Смета на пасс. обор. №1"}</definedName>
    <definedName name="вапапо_1" localSheetId="20" hidden="1">{#N/A,#N/A,TRUE,"Смета на пасс. обор. №1"}</definedName>
    <definedName name="вапапо_1" localSheetId="4" hidden="1">{#N/A,#N/A,TRUE,"Смета на пасс. обор. №1"}</definedName>
    <definedName name="вапапо_1" localSheetId="18" hidden="1">{#N/A,#N/A,TRUE,"Смета на пасс. обор. №1"}</definedName>
    <definedName name="вапапо_1" localSheetId="10" hidden="1">{#N/A,#N/A,TRUE,"Смета на пасс. обор. №1"}</definedName>
    <definedName name="вапапо_1" hidden="1">{#N/A,#N/A,TRUE,"Смета на пасс. обор. №1"}</definedName>
    <definedName name="г76шл7лш7" localSheetId="11" hidden="1">{#N/A,#N/A,TRUE,"Смета на пасс. обор. №1"}</definedName>
    <definedName name="г76шл7лш7" localSheetId="19" hidden="1">{#N/A,#N/A,TRUE,"Смета на пасс. обор. №1"}</definedName>
    <definedName name="г76шл7лш7" localSheetId="21" hidden="1">{#N/A,#N/A,TRUE,"Смета на пасс. обор. №1"}</definedName>
    <definedName name="г76шл7лш7" localSheetId="20" hidden="1">{#N/A,#N/A,TRUE,"Смета на пасс. обор. №1"}</definedName>
    <definedName name="г76шл7лш7" localSheetId="4" hidden="1">{#N/A,#N/A,TRUE,"Смета на пасс. обор. №1"}</definedName>
    <definedName name="г76шл7лш7" localSheetId="10" hidden="1">{#N/A,#N/A,TRUE,"Смета на пасс. обор. №1"}</definedName>
    <definedName name="г76шл7лш7" hidden="1">{#N/A,#N/A,TRUE,"Смета на пасс. обор. №1"}</definedName>
    <definedName name="Гаафик" localSheetId="11" hidden="1">{#N/A,#N/A,FALSE,"Приложение к справке"}</definedName>
    <definedName name="Гаафик" localSheetId="19" hidden="1">{#N/A,#N/A,FALSE,"Приложение к справке"}</definedName>
    <definedName name="Гаафик" localSheetId="21" hidden="1">{#N/A,#N/A,FALSE,"Приложение к справке"}</definedName>
    <definedName name="Гаафик" localSheetId="20" hidden="1">{#N/A,#N/A,FALSE,"Приложение к справке"}</definedName>
    <definedName name="Гаафик" localSheetId="4" hidden="1">{#N/A,#N/A,FALSE,"Приложение к справке"}</definedName>
    <definedName name="Гаафик" localSheetId="10" hidden="1">{#N/A,#N/A,FALSE,"Приложение к справке"}</definedName>
    <definedName name="Гаафик" hidden="1">{#N/A,#N/A,FALSE,"Приложение к справке"}</definedName>
    <definedName name="Геология" localSheetId="20" hidden="1">{#N/A,#N/A,TRUE,"Смета на пасс. обор. №1"}</definedName>
    <definedName name="джэ" localSheetId="11" hidden="1">{#N/A,#N/A,TRUE,"Смета на пасс. обор. №1"}</definedName>
    <definedName name="джэ" localSheetId="19" hidden="1">{#N/A,#N/A,TRUE,"Смета на пасс. обор. №1"}</definedName>
    <definedName name="джэ" localSheetId="21" hidden="1">{#N/A,#N/A,TRUE,"Смета на пасс. обор. №1"}</definedName>
    <definedName name="джэ" localSheetId="20" hidden="1">{#N/A,#N/A,TRUE,"Смета на пасс. обор. №1"}</definedName>
    <definedName name="джэ" localSheetId="4" hidden="1">{#N/A,#N/A,TRUE,"Смета на пасс. обор. №1"}</definedName>
    <definedName name="джэ" localSheetId="18" hidden="1">{#N/A,#N/A,TRUE,"Смета на пасс. обор. №1"}</definedName>
    <definedName name="джэ" localSheetId="10" hidden="1">{#N/A,#N/A,TRUE,"Смета на пасс. обор. №1"}</definedName>
    <definedName name="джэ" hidden="1">{#N/A,#N/A,TRUE,"Смета на пасс. обор. №1"}</definedName>
    <definedName name="джэ_1" localSheetId="11" hidden="1">{#N/A,#N/A,TRUE,"Смета на пасс. обор. №1"}</definedName>
    <definedName name="джэ_1" localSheetId="19" hidden="1">{#N/A,#N/A,TRUE,"Смета на пасс. обор. №1"}</definedName>
    <definedName name="джэ_1" localSheetId="21" hidden="1">{#N/A,#N/A,TRUE,"Смета на пасс. обор. №1"}</definedName>
    <definedName name="джэ_1" localSheetId="20" hidden="1">{#N/A,#N/A,TRUE,"Смета на пасс. обор. №1"}</definedName>
    <definedName name="джэ_1" localSheetId="4" hidden="1">{#N/A,#N/A,TRUE,"Смета на пасс. обор. №1"}</definedName>
    <definedName name="джэ_1" localSheetId="18" hidden="1">{#N/A,#N/A,TRUE,"Смета на пасс. обор. №1"}</definedName>
    <definedName name="джэ_1" localSheetId="10" hidden="1">{#N/A,#N/A,TRUE,"Смета на пасс. обор. №1"}</definedName>
    <definedName name="джэ_1" hidden="1">{#N/A,#N/A,TRUE,"Смета на пасс. обор. №1"}</definedName>
    <definedName name="доп" localSheetId="11" hidden="1">{#N/A,#N/A,TRUE,"Смета на пасс. обор. №1"}</definedName>
    <definedName name="доп" localSheetId="19" hidden="1">{#N/A,#N/A,TRUE,"Смета на пасс. обор. №1"}</definedName>
    <definedName name="доп" localSheetId="21" hidden="1">{#N/A,#N/A,TRUE,"Смета на пасс. обор. №1"}</definedName>
    <definedName name="доп" localSheetId="20" hidden="1">{#N/A,#N/A,TRUE,"Смета на пасс. обор. №1"}</definedName>
    <definedName name="доп" localSheetId="4" hidden="1">{#N/A,#N/A,TRUE,"Смета на пасс. обор. №1"}</definedName>
    <definedName name="доп" localSheetId="18" hidden="1">{#N/A,#N/A,TRUE,"Смета на пасс. обор. №1"}</definedName>
    <definedName name="доп" localSheetId="10" hidden="1">{#N/A,#N/A,TRUE,"Смета на пасс. обор. №1"}</definedName>
    <definedName name="доп" hidden="1">{#N/A,#N/A,TRUE,"Смета на пасс. обор. №1"}</definedName>
    <definedName name="доп_1" localSheetId="11" hidden="1">{#N/A,#N/A,TRUE,"Смета на пасс. обор. №1"}</definedName>
    <definedName name="доп_1" localSheetId="19" hidden="1">{#N/A,#N/A,TRUE,"Смета на пасс. обор. №1"}</definedName>
    <definedName name="доп_1" localSheetId="21" hidden="1">{#N/A,#N/A,TRUE,"Смета на пасс. обор. №1"}</definedName>
    <definedName name="доп_1" localSheetId="20" hidden="1">{#N/A,#N/A,TRUE,"Смета на пасс. обор. №1"}</definedName>
    <definedName name="доп_1" localSheetId="4" hidden="1">{#N/A,#N/A,TRUE,"Смета на пасс. обор. №1"}</definedName>
    <definedName name="доп_1" localSheetId="18" hidden="1">{#N/A,#N/A,TRUE,"Смета на пасс. обор. №1"}</definedName>
    <definedName name="доп_1" localSheetId="10" hidden="1">{#N/A,#N/A,TRUE,"Смета на пасс. обор. №1"}</definedName>
    <definedName name="доп_1" hidden="1">{#N/A,#N/A,TRUE,"Смета на пасс. обор. №1"}</definedName>
    <definedName name="еееее" localSheetId="11" hidden="1">{#N/A,#N/A,TRUE,"Смета на пасс. обор. №1"}</definedName>
    <definedName name="еееее" localSheetId="19" hidden="1">{#N/A,#N/A,TRUE,"Смета на пасс. обор. №1"}</definedName>
    <definedName name="еееее" localSheetId="21" hidden="1">{#N/A,#N/A,TRUE,"Смета на пасс. обор. №1"}</definedName>
    <definedName name="еееее" localSheetId="20" hidden="1">{#N/A,#N/A,TRUE,"Смета на пасс. обор. №1"}</definedName>
    <definedName name="еееее" localSheetId="4" hidden="1">{#N/A,#N/A,TRUE,"Смета на пасс. обор. №1"}</definedName>
    <definedName name="еееее" localSheetId="10" hidden="1">{#N/A,#N/A,TRUE,"Смета на пасс. обор. №1"}</definedName>
    <definedName name="еееее" hidden="1">{#N/A,#N/A,TRUE,"Смета на пасс. обор. №1"}</definedName>
    <definedName name="ен" localSheetId="11" hidden="1">{#N/A,#N/A,TRUE,"Смета на пасс. обор. №1"}</definedName>
    <definedName name="ен" localSheetId="19" hidden="1">{#N/A,#N/A,TRUE,"Смета на пасс. обор. №1"}</definedName>
    <definedName name="ен" localSheetId="21" hidden="1">{#N/A,#N/A,TRUE,"Смета на пасс. обор. №1"}</definedName>
    <definedName name="ен" localSheetId="20" hidden="1">{#N/A,#N/A,TRUE,"Смета на пасс. обор. №1"}</definedName>
    <definedName name="ен" localSheetId="4" hidden="1">{#N/A,#N/A,TRUE,"Смета на пасс. обор. №1"}</definedName>
    <definedName name="ен" localSheetId="10" hidden="1">{#N/A,#N/A,TRUE,"Смета на пасс. обор. №1"}</definedName>
    <definedName name="ен" hidden="1">{#N/A,#N/A,TRUE,"Смета на пасс. обор. №1"}</definedName>
    <definedName name="ен_1" localSheetId="11" hidden="1">{#N/A,#N/A,TRUE,"Смета на пасс. обор. №1"}</definedName>
    <definedName name="ен_1" localSheetId="19" hidden="1">{#N/A,#N/A,TRUE,"Смета на пасс. обор. №1"}</definedName>
    <definedName name="ен_1" localSheetId="21" hidden="1">{#N/A,#N/A,TRUE,"Смета на пасс. обор. №1"}</definedName>
    <definedName name="ен_1" localSheetId="20" hidden="1">{#N/A,#N/A,TRUE,"Смета на пасс. обор. №1"}</definedName>
    <definedName name="ен_1" localSheetId="4" hidden="1">{#N/A,#N/A,TRUE,"Смета на пасс. обор. №1"}</definedName>
    <definedName name="ен_1" localSheetId="18" hidden="1">{#N/A,#N/A,TRUE,"Смета на пасс. обор. №1"}</definedName>
    <definedName name="ен_1" localSheetId="10" hidden="1">{#N/A,#N/A,TRUE,"Смета на пасс. обор. №1"}</definedName>
    <definedName name="ен_1" hidden="1">{#N/A,#N/A,TRUE,"Смета на пасс. обор. №1"}</definedName>
    <definedName name="ж" localSheetId="11" hidden="1">{#N/A,#N/A,TRUE,"Смета на пасс. обор. №1"}</definedName>
    <definedName name="ж" localSheetId="19" hidden="1">{#N/A,#N/A,TRUE,"Смета на пасс. обор. №1"}</definedName>
    <definedName name="ж" localSheetId="21" hidden="1">{#N/A,#N/A,TRUE,"Смета на пасс. обор. №1"}</definedName>
    <definedName name="ж" localSheetId="20" hidden="1">{#N/A,#N/A,TRUE,"Смета на пасс. обор. №1"}</definedName>
    <definedName name="ж" localSheetId="4" hidden="1">{#N/A,#N/A,TRUE,"Смета на пасс. обор. №1"}</definedName>
    <definedName name="ж" localSheetId="10" hidden="1">{#N/A,#N/A,TRUE,"Смета на пасс. обор. №1"}</definedName>
    <definedName name="ж" hidden="1">{#N/A,#N/A,TRUE,"Смета на пасс. обор. №1"}</definedName>
    <definedName name="жж_1" localSheetId="11" hidden="1">{#N/A,#N/A,TRUE,"Смета на пасс. обор. №1"}</definedName>
    <definedName name="жж_1" localSheetId="19" hidden="1">{#N/A,#N/A,TRUE,"Смета на пасс. обор. №1"}</definedName>
    <definedName name="жж_1" localSheetId="21" hidden="1">{#N/A,#N/A,TRUE,"Смета на пасс. обор. №1"}</definedName>
    <definedName name="жж_1" localSheetId="20" hidden="1">{#N/A,#N/A,TRUE,"Смета на пасс. обор. №1"}</definedName>
    <definedName name="жж_1" localSheetId="4" hidden="1">{#N/A,#N/A,TRUE,"Смета на пасс. обор. №1"}</definedName>
    <definedName name="жж_1" localSheetId="18" hidden="1">{#N/A,#N/A,TRUE,"Смета на пасс. обор. №1"}</definedName>
    <definedName name="жж_1" localSheetId="10" hidden="1">{#N/A,#N/A,TRUE,"Смета на пасс. обор. №1"}</definedName>
    <definedName name="жж_1" hidden="1">{#N/A,#N/A,TRUE,"Смета на пасс. обор. №1"}</definedName>
    <definedName name="жю" localSheetId="11" hidden="1">{#N/A,#N/A,TRUE,"Смета на пасс. обор. №1"}</definedName>
    <definedName name="жю" localSheetId="19" hidden="1">{#N/A,#N/A,TRUE,"Смета на пасс. обор. №1"}</definedName>
    <definedName name="жю" localSheetId="21" hidden="1">{#N/A,#N/A,TRUE,"Смета на пасс. обор. №1"}</definedName>
    <definedName name="жю" localSheetId="20" hidden="1">{#N/A,#N/A,TRUE,"Смета на пасс. обор. №1"}</definedName>
    <definedName name="жю" localSheetId="4" hidden="1">{#N/A,#N/A,TRUE,"Смета на пасс. обор. №1"}</definedName>
    <definedName name="жю" localSheetId="18" hidden="1">{#N/A,#N/A,TRUE,"Смета на пасс. обор. №1"}</definedName>
    <definedName name="жю" localSheetId="10" hidden="1">{#N/A,#N/A,TRUE,"Смета на пасс. обор. №1"}</definedName>
    <definedName name="жю" hidden="1">{#N/A,#N/A,TRUE,"Смета на пасс. обор. №1"}</definedName>
    <definedName name="жю_1" localSheetId="11" hidden="1">{#N/A,#N/A,TRUE,"Смета на пасс. обор. №1"}</definedName>
    <definedName name="жю_1" localSheetId="19" hidden="1">{#N/A,#N/A,TRUE,"Смета на пасс. обор. №1"}</definedName>
    <definedName name="жю_1" localSheetId="21" hidden="1">{#N/A,#N/A,TRUE,"Смета на пасс. обор. №1"}</definedName>
    <definedName name="жю_1" localSheetId="20" hidden="1">{#N/A,#N/A,TRUE,"Смета на пасс. обор. №1"}</definedName>
    <definedName name="жю_1" localSheetId="4" hidden="1">{#N/A,#N/A,TRUE,"Смета на пасс. обор. №1"}</definedName>
    <definedName name="жю_1" localSheetId="18" hidden="1">{#N/A,#N/A,TRUE,"Смета на пасс. обор. №1"}</definedName>
    <definedName name="жю_1" localSheetId="10" hidden="1">{#N/A,#N/A,TRUE,"Смета на пасс. обор. №1"}</definedName>
    <definedName name="жю_1" hidden="1">{#N/A,#N/A,TRUE,"Смета на пасс. обор. №1"}</definedName>
    <definedName name="зщ" localSheetId="11" hidden="1">{#N/A,#N/A,TRUE,"Смета на пасс. обор. №1"}</definedName>
    <definedName name="зщ" localSheetId="19" hidden="1">{#N/A,#N/A,TRUE,"Смета на пасс. обор. №1"}</definedName>
    <definedName name="зщ" localSheetId="21" hidden="1">{#N/A,#N/A,TRUE,"Смета на пасс. обор. №1"}</definedName>
    <definedName name="зщ" localSheetId="20" hidden="1">{#N/A,#N/A,TRUE,"Смета на пасс. обор. №1"}</definedName>
    <definedName name="зщ" localSheetId="4" hidden="1">{#N/A,#N/A,TRUE,"Смета на пасс. обор. №1"}</definedName>
    <definedName name="зщ" localSheetId="18" hidden="1">{#N/A,#N/A,TRUE,"Смета на пасс. обор. №1"}</definedName>
    <definedName name="зщ" localSheetId="10" hidden="1">{#N/A,#N/A,TRUE,"Смета на пасс. обор. №1"}</definedName>
    <definedName name="зщ" hidden="1">{#N/A,#N/A,TRUE,"Смета на пасс. обор. №1"}</definedName>
    <definedName name="зщ_1" localSheetId="11" hidden="1">{#N/A,#N/A,TRUE,"Смета на пасс. обор. №1"}</definedName>
    <definedName name="зщ_1" localSheetId="19" hidden="1">{#N/A,#N/A,TRUE,"Смета на пасс. обор. №1"}</definedName>
    <definedName name="зщ_1" localSheetId="21" hidden="1">{#N/A,#N/A,TRUE,"Смета на пасс. обор. №1"}</definedName>
    <definedName name="зщ_1" localSheetId="20" hidden="1">{#N/A,#N/A,TRUE,"Смета на пасс. обор. №1"}</definedName>
    <definedName name="зщ_1" localSheetId="4" hidden="1">{#N/A,#N/A,TRUE,"Смета на пасс. обор. №1"}</definedName>
    <definedName name="зщ_1" localSheetId="18" hidden="1">{#N/A,#N/A,TRUE,"Смета на пасс. обор. №1"}</definedName>
    <definedName name="зщ_1" localSheetId="10" hidden="1">{#N/A,#N/A,TRUE,"Смета на пасс. обор. №1"}</definedName>
    <definedName name="зщ_1" hidden="1">{#N/A,#N/A,TRUE,"Смета на пасс. обор. №1"}</definedName>
    <definedName name="иии" localSheetId="11" hidden="1">{#N/A,#N/A,TRUE,"Смета на пасс. обор. №1"}</definedName>
    <definedName name="иии" localSheetId="19" hidden="1">{#N/A,#N/A,TRUE,"Смета на пасс. обор. №1"}</definedName>
    <definedName name="иии" localSheetId="21" hidden="1">{#N/A,#N/A,TRUE,"Смета на пасс. обор. №1"}</definedName>
    <definedName name="иии" localSheetId="20" hidden="1">{#N/A,#N/A,TRUE,"Смета на пасс. обор. №1"}</definedName>
    <definedName name="иии" localSheetId="4" hidden="1">{#N/A,#N/A,TRUE,"Смета на пасс. обор. №1"}</definedName>
    <definedName name="иии" localSheetId="10" hidden="1">{#N/A,#N/A,TRUE,"Смета на пасс. обор. №1"}</definedName>
    <definedName name="иии" hidden="1">{#N/A,#N/A,TRUE,"Смета на пасс. обор. №1"}</definedName>
    <definedName name="ииии" localSheetId="11" hidden="1">{#N/A,#N/A,TRUE,"Смета на пасс. обор. №1"}</definedName>
    <definedName name="ииии" localSheetId="19" hidden="1">{#N/A,#N/A,TRUE,"Смета на пасс. обор. №1"}</definedName>
    <definedName name="ииии" localSheetId="21" hidden="1">{#N/A,#N/A,TRUE,"Смета на пасс. обор. №1"}</definedName>
    <definedName name="ииии" localSheetId="20" hidden="1">{#N/A,#N/A,TRUE,"Смета на пасс. обор. №1"}</definedName>
    <definedName name="ииии" localSheetId="4" hidden="1">{#N/A,#N/A,TRUE,"Смета на пасс. обор. №1"}</definedName>
    <definedName name="ииии" localSheetId="10" hidden="1">{#N/A,#N/A,TRUE,"Смета на пасс. обор. №1"}</definedName>
    <definedName name="ииии" hidden="1">{#N/A,#N/A,TRUE,"Смета на пасс. обор. №1"}</definedName>
    <definedName name="иииии" localSheetId="11" hidden="1">{#N/A,#N/A,TRUE,"Смета на пасс. обор. №1"}</definedName>
    <definedName name="иииии" localSheetId="19" hidden="1">{#N/A,#N/A,TRUE,"Смета на пасс. обор. №1"}</definedName>
    <definedName name="иииии" localSheetId="21" hidden="1">{#N/A,#N/A,TRUE,"Смета на пасс. обор. №1"}</definedName>
    <definedName name="иииии" localSheetId="20" hidden="1">{#N/A,#N/A,TRUE,"Смета на пасс. обор. №1"}</definedName>
    <definedName name="иииии" localSheetId="4" hidden="1">{#N/A,#N/A,TRUE,"Смета на пасс. обор. №1"}</definedName>
    <definedName name="иииии" localSheetId="10" hidden="1">{#N/A,#N/A,TRUE,"Смета на пасс. обор. №1"}</definedName>
    <definedName name="иииии" hidden="1">{#N/A,#N/A,TRUE,"Смета на пасс. обор. №1"}</definedName>
    <definedName name="й" localSheetId="20" hidden="1">{#N/A,#N/A,TRUE,"Смета на пасс. обор. №1"}</definedName>
    <definedName name="к_1" localSheetId="11" hidden="1">{#N/A,#N/A,TRUE,"Смета на пасс. обор. №1"}</definedName>
    <definedName name="к_1" localSheetId="19" hidden="1">{#N/A,#N/A,TRUE,"Смета на пасс. обор. №1"}</definedName>
    <definedName name="к_1" localSheetId="21" hidden="1">{#N/A,#N/A,TRUE,"Смета на пасс. обор. №1"}</definedName>
    <definedName name="к_1" localSheetId="20" hidden="1">{#N/A,#N/A,TRUE,"Смета на пасс. обор. №1"}</definedName>
    <definedName name="к_1" localSheetId="4" hidden="1">{#N/A,#N/A,TRUE,"Смета на пасс. обор. №1"}</definedName>
    <definedName name="к_1" localSheetId="18" hidden="1">{#N/A,#N/A,TRUE,"Смета на пасс. обор. №1"}</definedName>
    <definedName name="к_1" localSheetId="10" hidden="1">{#N/A,#N/A,TRUE,"Смета на пасс. обор. №1"}</definedName>
    <definedName name="к_1" hidden="1">{#N/A,#N/A,TRUE,"Смета на пасс. обор. №1"}</definedName>
    <definedName name="кккк" localSheetId="11" hidden="1">{#N/A,#N/A,TRUE,"Смета на пасс. обор. №1"}</definedName>
    <definedName name="кккк" localSheetId="19" hidden="1">{#N/A,#N/A,TRUE,"Смета на пасс. обор. №1"}</definedName>
    <definedName name="кккк" localSheetId="21" hidden="1">{#N/A,#N/A,TRUE,"Смета на пасс. обор. №1"}</definedName>
    <definedName name="кккк" localSheetId="20" hidden="1">{#N/A,#N/A,TRUE,"Смета на пасс. обор. №1"}</definedName>
    <definedName name="кккк" localSheetId="4" hidden="1">{#N/A,#N/A,TRUE,"Смета на пасс. обор. №1"}</definedName>
    <definedName name="кккк" localSheetId="10" hidden="1">{#N/A,#N/A,TRUE,"Смета на пасс. обор. №1"}</definedName>
    <definedName name="кккк" hidden="1">{#N/A,#N/A,TRUE,"Смета на пасс. обор. №1"}</definedName>
    <definedName name="ккккк" localSheetId="11" hidden="1">{#N/A,#N/A,TRUE,"Смета на пасс. обор. №1"}</definedName>
    <definedName name="ккккк" localSheetId="19" hidden="1">{#N/A,#N/A,TRUE,"Смета на пасс. обор. №1"}</definedName>
    <definedName name="ккккк" localSheetId="21" hidden="1">{#N/A,#N/A,TRUE,"Смета на пасс. обор. №1"}</definedName>
    <definedName name="ккккк" localSheetId="20" hidden="1">{#N/A,#N/A,TRUE,"Смета на пасс. обор. №1"}</definedName>
    <definedName name="ккккк" localSheetId="4" hidden="1">{#N/A,#N/A,TRUE,"Смета на пасс. обор. №1"}</definedName>
    <definedName name="ккккк" localSheetId="18" hidden="1">{#N/A,#N/A,TRUE,"Смета на пасс. обор. №1"}</definedName>
    <definedName name="ккккк" localSheetId="10" hidden="1">{#N/A,#N/A,TRUE,"Смета на пасс. обор. №1"}</definedName>
    <definedName name="ккккк" hidden="1">{#N/A,#N/A,TRUE,"Смета на пасс. обор. №1"}</definedName>
    <definedName name="ккккк_1" localSheetId="11" hidden="1">{#N/A,#N/A,TRUE,"Смета на пасс. обор. №1"}</definedName>
    <definedName name="ккккк_1" localSheetId="19" hidden="1">{#N/A,#N/A,TRUE,"Смета на пасс. обор. №1"}</definedName>
    <definedName name="ккккк_1" localSheetId="21" hidden="1">{#N/A,#N/A,TRUE,"Смета на пасс. обор. №1"}</definedName>
    <definedName name="ккккк_1" localSheetId="20" hidden="1">{#N/A,#N/A,TRUE,"Смета на пасс. обор. №1"}</definedName>
    <definedName name="ккккк_1" localSheetId="4" hidden="1">{#N/A,#N/A,TRUE,"Смета на пасс. обор. №1"}</definedName>
    <definedName name="ккккк_1" localSheetId="18" hidden="1">{#N/A,#N/A,TRUE,"Смета на пасс. обор. №1"}</definedName>
    <definedName name="ккккк_1" localSheetId="10" hidden="1">{#N/A,#N/A,TRUE,"Смета на пасс. обор. №1"}</definedName>
    <definedName name="ккккк_1" hidden="1">{#N/A,#N/A,TRUE,"Смета на пасс. обор. №1"}</definedName>
    <definedName name="ком." localSheetId="11" hidden="1">{#N/A,#N/A,TRUE,"Смета на пасс. обор. №1"}</definedName>
    <definedName name="ком." localSheetId="19" hidden="1">{#N/A,#N/A,TRUE,"Смета на пасс. обор. №1"}</definedName>
    <definedName name="ком." localSheetId="21" hidden="1">{#N/A,#N/A,TRUE,"Смета на пасс. обор. №1"}</definedName>
    <definedName name="ком." localSheetId="20" hidden="1">{#N/A,#N/A,TRUE,"Смета на пасс. обор. №1"}</definedName>
    <definedName name="ком." localSheetId="4" hidden="1">{#N/A,#N/A,TRUE,"Смета на пасс. обор. №1"}</definedName>
    <definedName name="ком." localSheetId="10" hidden="1">{#N/A,#N/A,TRUE,"Смета на пасс. обор. №1"}</definedName>
    <definedName name="ком." hidden="1">{#N/A,#N/A,TRUE,"Смета на пасс. обор. №1"}</definedName>
    <definedName name="ком._1" localSheetId="11" hidden="1">{#N/A,#N/A,TRUE,"Смета на пасс. обор. №1"}</definedName>
    <definedName name="ком._1" localSheetId="19" hidden="1">{#N/A,#N/A,TRUE,"Смета на пасс. обор. №1"}</definedName>
    <definedName name="ком._1" localSheetId="21" hidden="1">{#N/A,#N/A,TRUE,"Смета на пасс. обор. №1"}</definedName>
    <definedName name="ком._1" localSheetId="20" hidden="1">{#N/A,#N/A,TRUE,"Смета на пасс. обор. №1"}</definedName>
    <definedName name="ком._1" localSheetId="4" hidden="1">{#N/A,#N/A,TRUE,"Смета на пасс. обор. №1"}</definedName>
    <definedName name="ком._1" localSheetId="18" hidden="1">{#N/A,#N/A,TRUE,"Смета на пасс. обор. №1"}</definedName>
    <definedName name="ком._1" localSheetId="10" hidden="1">{#N/A,#N/A,TRUE,"Смета на пасс. обор. №1"}</definedName>
    <definedName name="ком._1" hidden="1">{#N/A,#N/A,TRUE,"Смета на пасс. обор. №1"}</definedName>
    <definedName name="команд." localSheetId="11" hidden="1">{#N/A,#N/A,TRUE,"Смета на пасс. обор. №1"}</definedName>
    <definedName name="команд." localSheetId="19" hidden="1">{#N/A,#N/A,TRUE,"Смета на пасс. обор. №1"}</definedName>
    <definedName name="команд." localSheetId="21" hidden="1">{#N/A,#N/A,TRUE,"Смета на пасс. обор. №1"}</definedName>
    <definedName name="команд." localSheetId="20" hidden="1">{#N/A,#N/A,TRUE,"Смета на пасс. обор. №1"}</definedName>
    <definedName name="команд." localSheetId="4" hidden="1">{#N/A,#N/A,TRUE,"Смета на пасс. обор. №1"}</definedName>
    <definedName name="команд." localSheetId="18" hidden="1">{#N/A,#N/A,TRUE,"Смета на пасс. обор. №1"}</definedName>
    <definedName name="команд." localSheetId="10" hidden="1">{#N/A,#N/A,TRUE,"Смета на пасс. обор. №1"}</definedName>
    <definedName name="команд." hidden="1">{#N/A,#N/A,TRUE,"Смета на пасс. обор. №1"}</definedName>
    <definedName name="команд._1" localSheetId="11" hidden="1">{#N/A,#N/A,TRUE,"Смета на пасс. обор. №1"}</definedName>
    <definedName name="команд._1" localSheetId="19" hidden="1">{#N/A,#N/A,TRUE,"Смета на пасс. обор. №1"}</definedName>
    <definedName name="команд._1" localSheetId="21" hidden="1">{#N/A,#N/A,TRUE,"Смета на пасс. обор. №1"}</definedName>
    <definedName name="команд._1" localSheetId="20" hidden="1">{#N/A,#N/A,TRUE,"Смета на пасс. обор. №1"}</definedName>
    <definedName name="команд._1" localSheetId="4" hidden="1">{#N/A,#N/A,TRUE,"Смета на пасс. обор. №1"}</definedName>
    <definedName name="команд._1" localSheetId="18" hidden="1">{#N/A,#N/A,TRUE,"Смета на пасс. обор. №1"}</definedName>
    <definedName name="команд._1" localSheetId="10" hidden="1">{#N/A,#N/A,TRUE,"Смета на пасс. обор. №1"}</definedName>
    <definedName name="команд._1" hidden="1">{#N/A,#N/A,TRUE,"Смета на пасс. обор. №1"}</definedName>
    <definedName name="команд.обуч." localSheetId="11" hidden="1">{#N/A,#N/A,TRUE,"Смета на пасс. обор. №1"}</definedName>
    <definedName name="команд.обуч." localSheetId="19" hidden="1">{#N/A,#N/A,TRUE,"Смета на пасс. обор. №1"}</definedName>
    <definedName name="команд.обуч." localSheetId="21" hidden="1">{#N/A,#N/A,TRUE,"Смета на пасс. обор. №1"}</definedName>
    <definedName name="команд.обуч." localSheetId="20" hidden="1">{#N/A,#N/A,TRUE,"Смета на пасс. обор. №1"}</definedName>
    <definedName name="команд.обуч." localSheetId="4" hidden="1">{#N/A,#N/A,TRUE,"Смета на пасс. обор. №1"}</definedName>
    <definedName name="команд.обуч." localSheetId="18" hidden="1">{#N/A,#N/A,TRUE,"Смета на пасс. обор. №1"}</definedName>
    <definedName name="команд.обуч." localSheetId="10" hidden="1">{#N/A,#N/A,TRUE,"Смета на пасс. обор. №1"}</definedName>
    <definedName name="команд.обуч." hidden="1">{#N/A,#N/A,TRUE,"Смета на пасс. обор. №1"}</definedName>
    <definedName name="команд.обуч._1" localSheetId="11" hidden="1">{#N/A,#N/A,TRUE,"Смета на пасс. обор. №1"}</definedName>
    <definedName name="команд.обуч._1" localSheetId="19" hidden="1">{#N/A,#N/A,TRUE,"Смета на пасс. обор. №1"}</definedName>
    <definedName name="команд.обуч._1" localSheetId="21" hidden="1">{#N/A,#N/A,TRUE,"Смета на пасс. обор. №1"}</definedName>
    <definedName name="команд.обуч._1" localSheetId="20" hidden="1">{#N/A,#N/A,TRUE,"Смета на пасс. обор. №1"}</definedName>
    <definedName name="команд.обуч._1" localSheetId="4" hidden="1">{#N/A,#N/A,TRUE,"Смета на пасс. обор. №1"}</definedName>
    <definedName name="команд.обуч._1" localSheetId="18" hidden="1">{#N/A,#N/A,TRUE,"Смета на пасс. обор. №1"}</definedName>
    <definedName name="команд.обуч._1" localSheetId="10" hidden="1">{#N/A,#N/A,TRUE,"Смета на пасс. обор. №1"}</definedName>
    <definedName name="команд.обуч._1" hidden="1">{#N/A,#N/A,TRUE,"Смета на пасс. обор. №1"}</definedName>
    <definedName name="командировки" localSheetId="11" hidden="1">{#N/A,#N/A,TRUE,"Смета на пасс. обор. №1"}</definedName>
    <definedName name="командировки" localSheetId="19" hidden="1">{#N/A,#N/A,TRUE,"Смета на пасс. обор. №1"}</definedName>
    <definedName name="командировки" localSheetId="21" hidden="1">{#N/A,#N/A,TRUE,"Смета на пасс. обор. №1"}</definedName>
    <definedName name="командировки" localSheetId="20" hidden="1">{#N/A,#N/A,TRUE,"Смета на пасс. обор. №1"}</definedName>
    <definedName name="командировки" localSheetId="4" hidden="1">{#N/A,#N/A,TRUE,"Смета на пасс. обор. №1"}</definedName>
    <definedName name="командировки" localSheetId="18" hidden="1">{#N/A,#N/A,TRUE,"Смета на пасс. обор. №1"}</definedName>
    <definedName name="командировки" localSheetId="10" hidden="1">{#N/A,#N/A,TRUE,"Смета на пасс. обор. №1"}</definedName>
    <definedName name="командировки" hidden="1">{#N/A,#N/A,TRUE,"Смета на пасс. обор. №1"}</definedName>
    <definedName name="Копия" localSheetId="11" hidden="1">{#N/A,#N/A,TRUE,"Смета на пасс. обор. №1"}</definedName>
    <definedName name="Копия" localSheetId="19" hidden="1">{#N/A,#N/A,TRUE,"Смета на пасс. обор. №1"}</definedName>
    <definedName name="Копия" localSheetId="21" hidden="1">{#N/A,#N/A,TRUE,"Смета на пасс. обор. №1"}</definedName>
    <definedName name="Копия" localSheetId="20" hidden="1">{#N/A,#N/A,TRUE,"Смета на пасс. обор. №1"}</definedName>
    <definedName name="Копия" localSheetId="4" hidden="1">{#N/A,#N/A,TRUE,"Смета на пасс. обор. №1"}</definedName>
    <definedName name="Копия" localSheetId="18" hidden="1">{#N/A,#N/A,TRUE,"Смета на пасс. обор. №1"}</definedName>
    <definedName name="Копия" localSheetId="10" hidden="1">{#N/A,#N/A,TRUE,"Смета на пасс. обор. №1"}</definedName>
    <definedName name="Копия" hidden="1">{#N/A,#N/A,TRUE,"Смета на пасс. обор. №1"}</definedName>
    <definedName name="Копия2509" localSheetId="11" hidden="1">{#N/A,#N/A,TRUE,"Смета на пасс. обор. №1"}</definedName>
    <definedName name="Копия2509" localSheetId="19" hidden="1">{#N/A,#N/A,TRUE,"Смета на пасс. обор. №1"}</definedName>
    <definedName name="Копия2509" localSheetId="21" hidden="1">{#N/A,#N/A,TRUE,"Смета на пасс. обор. №1"}</definedName>
    <definedName name="Копия2509" localSheetId="20" hidden="1">{#N/A,#N/A,TRUE,"Смета на пасс. обор. №1"}</definedName>
    <definedName name="Копия2509" localSheetId="4" hidden="1">{#N/A,#N/A,TRUE,"Смета на пасс. обор. №1"}</definedName>
    <definedName name="Копия2509" localSheetId="18" hidden="1">{#N/A,#N/A,TRUE,"Смета на пасс. обор. №1"}</definedName>
    <definedName name="Копия2509" localSheetId="10" hidden="1">{#N/A,#N/A,TRUE,"Смета на пасс. обор. №1"}</definedName>
    <definedName name="Копия2509" hidden="1">{#N/A,#N/A,TRUE,"Смета на пасс. обор. №1"}</definedName>
    <definedName name="котофей" localSheetId="11" hidden="1">{#N/A,#N/A,TRUE,"Смета на пасс. обор. №1"}</definedName>
    <definedName name="котофей" localSheetId="19" hidden="1">{#N/A,#N/A,TRUE,"Смета на пасс. обор. №1"}</definedName>
    <definedName name="котофей" localSheetId="21" hidden="1">{#N/A,#N/A,TRUE,"Смета на пасс. обор. №1"}</definedName>
    <definedName name="котофей" localSheetId="20" hidden="1">{#N/A,#N/A,TRUE,"Смета на пасс. обор. №1"}</definedName>
    <definedName name="котофей" localSheetId="4" hidden="1">{#N/A,#N/A,TRUE,"Смета на пасс. обор. №1"}</definedName>
    <definedName name="котофей" localSheetId="18" hidden="1">{#N/A,#N/A,TRUE,"Смета на пасс. обор. №1"}</definedName>
    <definedName name="котофей" localSheetId="10" hidden="1">{#N/A,#N/A,TRUE,"Смета на пасс. обор. №1"}</definedName>
    <definedName name="котофей" hidden="1">{#N/A,#N/A,TRUE,"Смета на пасс. обор. №1"}</definedName>
    <definedName name="котофей_1" localSheetId="11" hidden="1">{#N/A,#N/A,TRUE,"Смета на пасс. обор. №1"}</definedName>
    <definedName name="котофей_1" localSheetId="19" hidden="1">{#N/A,#N/A,TRUE,"Смета на пасс. обор. №1"}</definedName>
    <definedName name="котофей_1" localSheetId="21" hidden="1">{#N/A,#N/A,TRUE,"Смета на пасс. обор. №1"}</definedName>
    <definedName name="котофей_1" localSheetId="20" hidden="1">{#N/A,#N/A,TRUE,"Смета на пасс. обор. №1"}</definedName>
    <definedName name="котофей_1" localSheetId="4" hidden="1">{#N/A,#N/A,TRUE,"Смета на пасс. обор. №1"}</definedName>
    <definedName name="котофей_1" localSheetId="18" hidden="1">{#N/A,#N/A,TRUE,"Смета на пасс. обор. №1"}</definedName>
    <definedName name="котофей_1" localSheetId="10" hidden="1">{#N/A,#N/A,TRUE,"Смета на пасс. обор. №1"}</definedName>
    <definedName name="котофей_1" hidden="1">{#N/A,#N/A,TRUE,"Смета на пасс. обор. №1"}</definedName>
    <definedName name="кук" localSheetId="11" hidden="1">{#N/A,#N/A,TRUE,"Смета на пасс. обор. №1"}</definedName>
    <definedName name="кук" localSheetId="19" hidden="1">{#N/A,#N/A,TRUE,"Смета на пасс. обор. №1"}</definedName>
    <definedName name="кук" localSheetId="21" hidden="1">{#N/A,#N/A,TRUE,"Смета на пасс. обор. №1"}</definedName>
    <definedName name="кук" localSheetId="20" hidden="1">{#N/A,#N/A,TRUE,"Смета на пасс. обор. №1"}</definedName>
    <definedName name="кук" localSheetId="4" hidden="1">{#N/A,#N/A,TRUE,"Смета на пасс. обор. №1"}</definedName>
    <definedName name="кук" localSheetId="18" hidden="1">{#N/A,#N/A,TRUE,"Смета на пасс. обор. №1"}</definedName>
    <definedName name="кук" localSheetId="10" hidden="1">{#N/A,#N/A,TRUE,"Смета на пасс. обор. №1"}</definedName>
    <definedName name="кук" hidden="1">{#N/A,#N/A,TRUE,"Смета на пасс. обор. №1"}</definedName>
    <definedName name="кук_1" localSheetId="11" hidden="1">{#N/A,#N/A,TRUE,"Смета на пасс. обор. №1"}</definedName>
    <definedName name="кук_1" localSheetId="19" hidden="1">{#N/A,#N/A,TRUE,"Смета на пасс. обор. №1"}</definedName>
    <definedName name="кук_1" localSheetId="21" hidden="1">{#N/A,#N/A,TRUE,"Смета на пасс. обор. №1"}</definedName>
    <definedName name="кук_1" localSheetId="20" hidden="1">{#N/A,#N/A,TRUE,"Смета на пасс. обор. №1"}</definedName>
    <definedName name="кук_1" localSheetId="4" hidden="1">{#N/A,#N/A,TRUE,"Смета на пасс. обор. №1"}</definedName>
    <definedName name="кук_1" localSheetId="18" hidden="1">{#N/A,#N/A,TRUE,"Смета на пасс. обор. №1"}</definedName>
    <definedName name="кук_1" localSheetId="10" hidden="1">{#N/A,#N/A,TRUE,"Смета на пасс. обор. №1"}</definedName>
    <definedName name="кук_1" hidden="1">{#N/A,#N/A,TRUE,"Смета на пасс. обор. №1"}</definedName>
    <definedName name="л" localSheetId="11" hidden="1">{#N/A,#N/A,TRUE,"Смета на пасс. обор. №1"}</definedName>
    <definedName name="л" localSheetId="19" hidden="1">{#N/A,#N/A,TRUE,"Смета на пасс. обор. №1"}</definedName>
    <definedName name="л" localSheetId="21" hidden="1">{#N/A,#N/A,TRUE,"Смета на пасс. обор. №1"}</definedName>
    <definedName name="л" localSheetId="20" hidden="1">{#N/A,#N/A,TRUE,"Смета на пасс. обор. №1"}</definedName>
    <definedName name="л" localSheetId="4" hidden="1">{#N/A,#N/A,TRUE,"Смета на пасс. обор. №1"}</definedName>
    <definedName name="л" localSheetId="18" hidden="1">{#N/A,#N/A,TRUE,"Смета на пасс. обор. №1"}</definedName>
    <definedName name="л" localSheetId="10" hidden="1">{#N/A,#N/A,TRUE,"Смета на пасс. обор. №1"}</definedName>
    <definedName name="л" hidden="1">{#N/A,#N/A,TRUE,"Смета на пасс. обор. №1"}</definedName>
    <definedName name="л_1" localSheetId="11" hidden="1">{#N/A,#N/A,TRUE,"Смета на пасс. обор. №1"}</definedName>
    <definedName name="л_1" localSheetId="19" hidden="1">{#N/A,#N/A,TRUE,"Смета на пасс. обор. №1"}</definedName>
    <definedName name="л_1" localSheetId="21" hidden="1">{#N/A,#N/A,TRUE,"Смета на пасс. обор. №1"}</definedName>
    <definedName name="л_1" localSheetId="20" hidden="1">{#N/A,#N/A,TRUE,"Смета на пасс. обор. №1"}</definedName>
    <definedName name="л_1" localSheetId="4" hidden="1">{#N/A,#N/A,TRUE,"Смета на пасс. обор. №1"}</definedName>
    <definedName name="л_1" localSheetId="18" hidden="1">{#N/A,#N/A,TRUE,"Смета на пасс. обор. №1"}</definedName>
    <definedName name="л_1" localSheetId="10" hidden="1">{#N/A,#N/A,TRUE,"Смета на пасс. обор. №1"}</definedName>
    <definedName name="л_1" hidden="1">{#N/A,#N/A,TRUE,"Смета на пасс. обор. №1"}</definedName>
    <definedName name="Л1" localSheetId="11" hidden="1">{"IMRAK42x8x8",#N/A,TRUE,"IMRAK 1400 42U 800X800";"IMRAK32x6x6",#N/A,TRUE,"IMRAK 1400 32U 600x600";"IMRAK42x12x8",#N/A,TRUE,"IMRAK 1400 42U 1200x800";"IMRAK15x6x4",#N/A,TRUE,"IMRAK 400 15U FRONT SECTION"}</definedName>
    <definedName name="Л1" localSheetId="19" hidden="1">{"IMRAK42x8x8",#N/A,TRUE,"IMRAK 1400 42U 800X800";"IMRAK32x6x6",#N/A,TRUE,"IMRAK 1400 32U 600x600";"IMRAK42x12x8",#N/A,TRUE,"IMRAK 1400 42U 1200x800";"IMRAK15x6x4",#N/A,TRUE,"IMRAK 400 15U FRONT SECTION"}</definedName>
    <definedName name="Л1" localSheetId="21" hidden="1">{"IMRAK42x8x8",#N/A,TRUE,"IMRAK 1400 42U 800X800";"IMRAK32x6x6",#N/A,TRUE,"IMRAK 1400 32U 600x600";"IMRAK42x12x8",#N/A,TRUE,"IMRAK 1400 42U 1200x800";"IMRAK15x6x4",#N/A,TRUE,"IMRAK 400 15U FRONT SECTION"}</definedName>
    <definedName name="Л1" localSheetId="20" hidden="1">{"IMRAK42x8x8",#N/A,TRUE,"IMRAK 1400 42U 800X800";"IMRAK32x6x6",#N/A,TRUE,"IMRAK 1400 32U 600x600";"IMRAK42x12x8",#N/A,TRUE,"IMRAK 1400 42U 1200x800";"IMRAK15x6x4",#N/A,TRUE,"IMRAK 400 15U FRONT SECTION"}</definedName>
    <definedName name="Л1" localSheetId="4" hidden="1">{"IMRAK42x8x8",#N/A,TRUE,"IMRAK 1400 42U 800X800";"IMRAK32x6x6",#N/A,TRUE,"IMRAK 1400 32U 600x600";"IMRAK42x12x8",#N/A,TRUE,"IMRAK 1400 42U 1200x800";"IMRAK15x6x4",#N/A,TRUE,"IMRAK 400 15U FRONT SECTION"}</definedName>
    <definedName name="Л1" localSheetId="10" hidden="1">{"IMRAK42x8x8",#N/A,TRUE,"IMRAK 1400 42U 800X800";"IMRAK32x6x6",#N/A,TRUE,"IMRAK 1400 32U 600x600";"IMRAK42x12x8",#N/A,TRUE,"IMRAK 1400 42U 1200x800";"IMRAK15x6x4",#N/A,TRUE,"IMRAK 400 15U FRONT SECTION"}</definedName>
    <definedName name="Л1" hidden="1">{"IMRAK42x8x8",#N/A,TRUE,"IMRAK 1400 42U 800X800";"IMRAK32x6x6",#N/A,TRUE,"IMRAK 1400 32U 600x600";"IMRAK42x12x8",#N/A,TRUE,"IMRAK 1400 42U 1200x800";"IMRAK15x6x4",#N/A,TRUE,"IMRAK 400 15U FRONT SECTION"}</definedName>
    <definedName name="лдж" localSheetId="11" hidden="1">{#N/A,#N/A,TRUE,"Смета на пасс. обор. №1"}</definedName>
    <definedName name="лдж" localSheetId="19" hidden="1">{#N/A,#N/A,TRUE,"Смета на пасс. обор. №1"}</definedName>
    <definedName name="лдж" localSheetId="21" hidden="1">{#N/A,#N/A,TRUE,"Смета на пасс. обор. №1"}</definedName>
    <definedName name="лдж" localSheetId="20" hidden="1">{#N/A,#N/A,TRUE,"Смета на пасс. обор. №1"}</definedName>
    <definedName name="лдж" localSheetId="4" hidden="1">{#N/A,#N/A,TRUE,"Смета на пасс. обор. №1"}</definedName>
    <definedName name="лдж" localSheetId="18" hidden="1">{#N/A,#N/A,TRUE,"Смета на пасс. обор. №1"}</definedName>
    <definedName name="лдж" localSheetId="10" hidden="1">{#N/A,#N/A,TRUE,"Смета на пасс. обор. №1"}</definedName>
    <definedName name="лдж" hidden="1">{#N/A,#N/A,TRUE,"Смета на пасс. обор. №1"}</definedName>
    <definedName name="лдж_1" localSheetId="11" hidden="1">{#N/A,#N/A,TRUE,"Смета на пасс. обор. №1"}</definedName>
    <definedName name="лдж_1" localSheetId="19" hidden="1">{#N/A,#N/A,TRUE,"Смета на пасс. обор. №1"}</definedName>
    <definedName name="лдж_1" localSheetId="21" hidden="1">{#N/A,#N/A,TRUE,"Смета на пасс. обор. №1"}</definedName>
    <definedName name="лдж_1" localSheetId="20" hidden="1">{#N/A,#N/A,TRUE,"Смета на пасс. обор. №1"}</definedName>
    <definedName name="лдж_1" localSheetId="4" hidden="1">{#N/A,#N/A,TRUE,"Смета на пасс. обор. №1"}</definedName>
    <definedName name="лдж_1" localSheetId="18" hidden="1">{#N/A,#N/A,TRUE,"Смета на пасс. обор. №1"}</definedName>
    <definedName name="лдж_1" localSheetId="10" hidden="1">{#N/A,#N/A,TRUE,"Смета на пасс. обор. №1"}</definedName>
    <definedName name="лдж_1" hidden="1">{#N/A,#N/A,TRUE,"Смета на пасс. обор. №1"}</definedName>
    <definedName name="лор" localSheetId="11" hidden="1">{#N/A,#N/A,TRUE,"Смета на пасс. обор. №1"}</definedName>
    <definedName name="лор" localSheetId="19" hidden="1">{#N/A,#N/A,TRUE,"Смета на пасс. обор. №1"}</definedName>
    <definedName name="лор" localSheetId="21" hidden="1">{#N/A,#N/A,TRUE,"Смета на пасс. обор. №1"}</definedName>
    <definedName name="лор" localSheetId="20" hidden="1">{#N/A,#N/A,TRUE,"Смета на пасс. обор. №1"}</definedName>
    <definedName name="лор" localSheetId="4" hidden="1">{#N/A,#N/A,TRUE,"Смета на пасс. обор. №1"}</definedName>
    <definedName name="лор" localSheetId="18" hidden="1">{#N/A,#N/A,TRUE,"Смета на пасс. обор. №1"}</definedName>
    <definedName name="лор" localSheetId="10" hidden="1">{#N/A,#N/A,TRUE,"Смета на пасс. обор. №1"}</definedName>
    <definedName name="лор" hidden="1">{#N/A,#N/A,TRUE,"Смета на пасс. обор. №1"}</definedName>
    <definedName name="лор_1" localSheetId="11" hidden="1">{#N/A,#N/A,TRUE,"Смета на пасс. обор. №1"}</definedName>
    <definedName name="лор_1" localSheetId="19" hidden="1">{#N/A,#N/A,TRUE,"Смета на пасс. обор. №1"}</definedName>
    <definedName name="лор_1" localSheetId="21" hidden="1">{#N/A,#N/A,TRUE,"Смета на пасс. обор. №1"}</definedName>
    <definedName name="лор_1" localSheetId="20" hidden="1">{#N/A,#N/A,TRUE,"Смета на пасс. обор. №1"}</definedName>
    <definedName name="лор_1" localSheetId="4" hidden="1">{#N/A,#N/A,TRUE,"Смета на пасс. обор. №1"}</definedName>
    <definedName name="лор_1" localSheetId="18" hidden="1">{#N/A,#N/A,TRUE,"Смета на пасс. обор. №1"}</definedName>
    <definedName name="лор_1" localSheetId="10" hidden="1">{#N/A,#N/A,TRUE,"Смета на пасс. обор. №1"}</definedName>
    <definedName name="лор_1" hidden="1">{#N/A,#N/A,TRUE,"Смета на пасс. обор. №1"}</definedName>
    <definedName name="лот" localSheetId="11" hidden="1">{#N/A,#N/A,TRUE,"Смета на пасс. обор. №1"}</definedName>
    <definedName name="лот" localSheetId="19" hidden="1">{#N/A,#N/A,TRUE,"Смета на пасс. обор. №1"}</definedName>
    <definedName name="лот" localSheetId="21" hidden="1">{#N/A,#N/A,TRUE,"Смета на пасс. обор. №1"}</definedName>
    <definedName name="лот" localSheetId="20" hidden="1">{#N/A,#N/A,TRUE,"Смета на пасс. обор. №1"}</definedName>
    <definedName name="лот" localSheetId="4" hidden="1">{#N/A,#N/A,TRUE,"Смета на пасс. обор. №1"}</definedName>
    <definedName name="лот" localSheetId="18" hidden="1">{#N/A,#N/A,TRUE,"Смета на пасс. обор. №1"}</definedName>
    <definedName name="лот" localSheetId="10" hidden="1">{#N/A,#N/A,TRUE,"Смета на пасс. обор. №1"}</definedName>
    <definedName name="лот" hidden="1">{#N/A,#N/A,TRUE,"Смета на пасс. обор. №1"}</definedName>
    <definedName name="лот_1" localSheetId="11" hidden="1">{#N/A,#N/A,TRUE,"Смета на пасс. обор. №1"}</definedName>
    <definedName name="лот_1" localSheetId="19" hidden="1">{#N/A,#N/A,TRUE,"Смета на пасс. обор. №1"}</definedName>
    <definedName name="лот_1" localSheetId="21" hidden="1">{#N/A,#N/A,TRUE,"Смета на пасс. обор. №1"}</definedName>
    <definedName name="лот_1" localSheetId="20" hidden="1">{#N/A,#N/A,TRUE,"Смета на пасс. обор. №1"}</definedName>
    <definedName name="лот_1" localSheetId="4" hidden="1">{#N/A,#N/A,TRUE,"Смета на пасс. обор. №1"}</definedName>
    <definedName name="лот_1" localSheetId="18" hidden="1">{#N/A,#N/A,TRUE,"Смета на пасс. обор. №1"}</definedName>
    <definedName name="лот_1" localSheetId="10" hidden="1">{#N/A,#N/A,TRUE,"Смета на пасс. обор. №1"}</definedName>
    <definedName name="лот_1" hidden="1">{#N/A,#N/A,TRUE,"Смета на пасс. обор. №1"}</definedName>
    <definedName name="мир" localSheetId="11" hidden="1">{#N/A,#N/A,TRUE,"Смета на пасс. обор. №1"}</definedName>
    <definedName name="мир" localSheetId="19" hidden="1">{#N/A,#N/A,TRUE,"Смета на пасс. обор. №1"}</definedName>
    <definedName name="мир" localSheetId="21" hidden="1">{#N/A,#N/A,TRUE,"Смета на пасс. обор. №1"}</definedName>
    <definedName name="мир" localSheetId="20" hidden="1">{#N/A,#N/A,TRUE,"Смета на пасс. обор. №1"}</definedName>
    <definedName name="мир" localSheetId="4" hidden="1">{#N/A,#N/A,TRUE,"Смета на пасс. обор. №1"}</definedName>
    <definedName name="мир" localSheetId="18" hidden="1">{#N/A,#N/A,TRUE,"Смета на пасс. обор. №1"}</definedName>
    <definedName name="мир" localSheetId="10" hidden="1">{#N/A,#N/A,TRUE,"Смета на пасс. обор. №1"}</definedName>
    <definedName name="мир" hidden="1">{#N/A,#N/A,TRUE,"Смета на пасс. обор. №1"}</definedName>
    <definedName name="мир_1" localSheetId="11" hidden="1">{#N/A,#N/A,TRUE,"Смета на пасс. обор. №1"}</definedName>
    <definedName name="мир_1" localSheetId="19" hidden="1">{#N/A,#N/A,TRUE,"Смета на пасс. обор. №1"}</definedName>
    <definedName name="мир_1" localSheetId="21" hidden="1">{#N/A,#N/A,TRUE,"Смета на пасс. обор. №1"}</definedName>
    <definedName name="мир_1" localSheetId="20" hidden="1">{#N/A,#N/A,TRUE,"Смета на пасс. обор. №1"}</definedName>
    <definedName name="мир_1" localSheetId="4" hidden="1">{#N/A,#N/A,TRUE,"Смета на пасс. обор. №1"}</definedName>
    <definedName name="мир_1" localSheetId="18" hidden="1">{#N/A,#N/A,TRUE,"Смета на пасс. обор. №1"}</definedName>
    <definedName name="мир_1" localSheetId="10" hidden="1">{#N/A,#N/A,TRUE,"Смета на пасс. обор. №1"}</definedName>
    <definedName name="мир_1" hidden="1">{#N/A,#N/A,TRUE,"Смета на пасс. обор. №1"}</definedName>
    <definedName name="молния" localSheetId="11" hidden="1">{#N/A,#N/A,TRUE,"Смета на пасс. обор. №1"}</definedName>
    <definedName name="молния" localSheetId="19" hidden="1">{#N/A,#N/A,TRUE,"Смета на пасс. обор. №1"}</definedName>
    <definedName name="молния" localSheetId="21" hidden="1">{#N/A,#N/A,TRUE,"Смета на пасс. обор. №1"}</definedName>
    <definedName name="молния" localSheetId="20" hidden="1">{#N/A,#N/A,TRUE,"Смета на пасс. обор. №1"}</definedName>
    <definedName name="молния" localSheetId="4" hidden="1">{#N/A,#N/A,TRUE,"Смета на пасс. обор. №1"}</definedName>
    <definedName name="молния" localSheetId="10" hidden="1">{#N/A,#N/A,TRUE,"Смета на пасс. обор. №1"}</definedName>
    <definedName name="молния" hidden="1">{#N/A,#N/A,TRUE,"Смета на пасс. обор. №1"}</definedName>
    <definedName name="ннн" localSheetId="11" hidden="1">{#N/A,#N/A,TRUE,"Смета на пасс. обор. №1"}</definedName>
    <definedName name="ннн" localSheetId="19" hidden="1">{#N/A,#N/A,TRUE,"Смета на пасс. обор. №1"}</definedName>
    <definedName name="ннн" localSheetId="21" hidden="1">{#N/A,#N/A,TRUE,"Смета на пасс. обор. №1"}</definedName>
    <definedName name="ннн" localSheetId="20" hidden="1">{#N/A,#N/A,TRUE,"Смета на пасс. обор. №1"}</definedName>
    <definedName name="ннн" localSheetId="4" hidden="1">{#N/A,#N/A,TRUE,"Смета на пасс. обор. №1"}</definedName>
    <definedName name="ннн" localSheetId="10" hidden="1">{#N/A,#N/A,TRUE,"Смета на пасс. обор. №1"}</definedName>
    <definedName name="ннн" hidden="1">{#N/A,#N/A,TRUE,"Смета на пасс. обор. №1"}</definedName>
    <definedName name="обуч" localSheetId="11" hidden="1">{#N/A,#N/A,TRUE,"Смета на пасс. обор. №1"}</definedName>
    <definedName name="обуч" localSheetId="19" hidden="1">{#N/A,#N/A,TRUE,"Смета на пасс. обор. №1"}</definedName>
    <definedName name="обуч" localSheetId="21" hidden="1">{#N/A,#N/A,TRUE,"Смета на пасс. обор. №1"}</definedName>
    <definedName name="обуч" localSheetId="20" hidden="1">{#N/A,#N/A,TRUE,"Смета на пасс. обор. №1"}</definedName>
    <definedName name="обуч" localSheetId="4" hidden="1">{#N/A,#N/A,TRUE,"Смета на пасс. обор. №1"}</definedName>
    <definedName name="обуч" localSheetId="18" hidden="1">{#N/A,#N/A,TRUE,"Смета на пасс. обор. №1"}</definedName>
    <definedName name="обуч" localSheetId="10" hidden="1">{#N/A,#N/A,TRUE,"Смета на пасс. обор. №1"}</definedName>
    <definedName name="обуч" hidden="1">{#N/A,#N/A,TRUE,"Смета на пасс. обор. №1"}</definedName>
    <definedName name="обуч_1" localSheetId="11" hidden="1">{#N/A,#N/A,TRUE,"Смета на пасс. обор. №1"}</definedName>
    <definedName name="обуч_1" localSheetId="19" hidden="1">{#N/A,#N/A,TRUE,"Смета на пасс. обор. №1"}</definedName>
    <definedName name="обуч_1" localSheetId="21" hidden="1">{#N/A,#N/A,TRUE,"Смета на пасс. обор. №1"}</definedName>
    <definedName name="обуч_1" localSheetId="20" hidden="1">{#N/A,#N/A,TRUE,"Смета на пасс. обор. №1"}</definedName>
    <definedName name="обуч_1" localSheetId="4" hidden="1">{#N/A,#N/A,TRUE,"Смета на пасс. обор. №1"}</definedName>
    <definedName name="обуч_1" localSheetId="18" hidden="1">{#N/A,#N/A,TRUE,"Смета на пасс. обор. №1"}</definedName>
    <definedName name="обуч_1" localSheetId="10" hidden="1">{#N/A,#N/A,TRUE,"Смета на пасс. обор. №1"}</definedName>
    <definedName name="обуч_1" hidden="1">{#N/A,#N/A,TRUE,"Смета на пасс. обор. №1"}</definedName>
    <definedName name="Общаясп" localSheetId="1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19"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1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г" localSheetId="11" hidden="1">{#N/A,#N/A,TRUE,"Смета на пасс. обор. №1"}</definedName>
    <definedName name="ог" localSheetId="19" hidden="1">{#N/A,#N/A,TRUE,"Смета на пасс. обор. №1"}</definedName>
    <definedName name="ог" localSheetId="21" hidden="1">{#N/A,#N/A,TRUE,"Смета на пасс. обор. №1"}</definedName>
    <definedName name="ог" localSheetId="20" hidden="1">{#N/A,#N/A,TRUE,"Смета на пасс. обор. №1"}</definedName>
    <definedName name="ог" localSheetId="4" hidden="1">{#N/A,#N/A,TRUE,"Смета на пасс. обор. №1"}</definedName>
    <definedName name="ог" localSheetId="18" hidden="1">{#N/A,#N/A,TRUE,"Смета на пасс. обор. №1"}</definedName>
    <definedName name="ог" localSheetId="10" hidden="1">{#N/A,#N/A,TRUE,"Смета на пасс. обор. №1"}</definedName>
    <definedName name="ог" hidden="1">{#N/A,#N/A,TRUE,"Смета на пасс. обор. №1"}</definedName>
    <definedName name="ог_1" localSheetId="11" hidden="1">{#N/A,#N/A,TRUE,"Смета на пасс. обор. №1"}</definedName>
    <definedName name="ог_1" localSheetId="19" hidden="1">{#N/A,#N/A,TRUE,"Смета на пасс. обор. №1"}</definedName>
    <definedName name="ог_1" localSheetId="21" hidden="1">{#N/A,#N/A,TRUE,"Смета на пасс. обор. №1"}</definedName>
    <definedName name="ог_1" localSheetId="20" hidden="1">{#N/A,#N/A,TRUE,"Смета на пасс. обор. №1"}</definedName>
    <definedName name="ог_1" localSheetId="4" hidden="1">{#N/A,#N/A,TRUE,"Смета на пасс. обор. №1"}</definedName>
    <definedName name="ог_1" localSheetId="18" hidden="1">{#N/A,#N/A,TRUE,"Смета на пасс. обор. №1"}</definedName>
    <definedName name="ог_1" localSheetId="10" hidden="1">{#N/A,#N/A,TRUE,"Смета на пасс. обор. №1"}</definedName>
    <definedName name="ог_1" hidden="1">{#N/A,#N/A,TRUE,"Смета на пасс. обор. №1"}</definedName>
    <definedName name="олд" localSheetId="11" hidden="1">{#N/A,#N/A,TRUE,"Смета на пасс. обор. №1"}</definedName>
    <definedName name="олд" localSheetId="19" hidden="1">{#N/A,#N/A,TRUE,"Смета на пасс. обор. №1"}</definedName>
    <definedName name="олд" localSheetId="21" hidden="1">{#N/A,#N/A,TRUE,"Смета на пасс. обор. №1"}</definedName>
    <definedName name="олд" localSheetId="20" hidden="1">{#N/A,#N/A,TRUE,"Смета на пасс. обор. №1"}</definedName>
    <definedName name="олд" localSheetId="4" hidden="1">{#N/A,#N/A,TRUE,"Смета на пасс. обор. №1"}</definedName>
    <definedName name="олд" localSheetId="18" hidden="1">{#N/A,#N/A,TRUE,"Смета на пасс. обор. №1"}</definedName>
    <definedName name="олд" localSheetId="10" hidden="1">{#N/A,#N/A,TRUE,"Смета на пасс. обор. №1"}</definedName>
    <definedName name="олд" hidden="1">{#N/A,#N/A,TRUE,"Смета на пасс. обор. №1"}</definedName>
    <definedName name="олд_1" localSheetId="11" hidden="1">{#N/A,#N/A,TRUE,"Смета на пасс. обор. №1"}</definedName>
    <definedName name="олд_1" localSheetId="19" hidden="1">{#N/A,#N/A,TRUE,"Смета на пасс. обор. №1"}</definedName>
    <definedName name="олд_1" localSheetId="21" hidden="1">{#N/A,#N/A,TRUE,"Смета на пасс. обор. №1"}</definedName>
    <definedName name="олд_1" localSheetId="20" hidden="1">{#N/A,#N/A,TRUE,"Смета на пасс. обор. №1"}</definedName>
    <definedName name="олд_1" localSheetId="4" hidden="1">{#N/A,#N/A,TRUE,"Смета на пасс. обор. №1"}</definedName>
    <definedName name="олд_1" localSheetId="18" hidden="1">{#N/A,#N/A,TRUE,"Смета на пасс. обор. №1"}</definedName>
    <definedName name="олд_1" localSheetId="10" hidden="1">{#N/A,#N/A,TRUE,"Смета на пасс. обор. №1"}</definedName>
    <definedName name="олд_1" hidden="1">{#N/A,#N/A,TRUE,"Смета на пасс. обор. №1"}</definedName>
    <definedName name="орп" localSheetId="11" hidden="1">{#N/A,#N/A,TRUE,"Смета на пасс. обор. №1"}</definedName>
    <definedName name="орп" localSheetId="19" hidden="1">{#N/A,#N/A,TRUE,"Смета на пасс. обор. №1"}</definedName>
    <definedName name="орп" localSheetId="21" hidden="1">{#N/A,#N/A,TRUE,"Смета на пасс. обор. №1"}</definedName>
    <definedName name="орп" localSheetId="20" hidden="1">{#N/A,#N/A,TRUE,"Смета на пасс. обор. №1"}</definedName>
    <definedName name="орп" localSheetId="4" hidden="1">{#N/A,#N/A,TRUE,"Смета на пасс. обор. №1"}</definedName>
    <definedName name="орп" localSheetId="10" hidden="1">{#N/A,#N/A,TRUE,"Смета на пасс. обор. №1"}</definedName>
    <definedName name="орп" hidden="1">{#N/A,#N/A,TRUE,"Смета на пасс. обор. №1"}</definedName>
    <definedName name="орп_1" localSheetId="11" hidden="1">{#N/A,#N/A,TRUE,"Смета на пасс. обор. №1"}</definedName>
    <definedName name="орп_1" localSheetId="19" hidden="1">{#N/A,#N/A,TRUE,"Смета на пасс. обор. №1"}</definedName>
    <definedName name="орп_1" localSheetId="21" hidden="1">{#N/A,#N/A,TRUE,"Смета на пасс. обор. №1"}</definedName>
    <definedName name="орп_1" localSheetId="20" hidden="1">{#N/A,#N/A,TRUE,"Смета на пасс. обор. №1"}</definedName>
    <definedName name="орп_1" localSheetId="4" hidden="1">{#N/A,#N/A,TRUE,"Смета на пасс. обор. №1"}</definedName>
    <definedName name="орп_1" localSheetId="18" hidden="1">{#N/A,#N/A,TRUE,"Смета на пасс. обор. №1"}</definedName>
    <definedName name="орп_1" localSheetId="10" hidden="1">{#N/A,#N/A,TRUE,"Смета на пасс. обор. №1"}</definedName>
    <definedName name="орп_1" hidden="1">{#N/A,#N/A,TRUE,"Смета на пасс. обор. №1"}</definedName>
    <definedName name="основная" localSheetId="1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19"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0"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10"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т" localSheetId="11" hidden="1">{#N/A,#N/A,TRUE,"Смета на пасс. обор. №1"}</definedName>
    <definedName name="от" localSheetId="19" hidden="1">{#N/A,#N/A,TRUE,"Смета на пасс. обор. №1"}</definedName>
    <definedName name="от" localSheetId="21" hidden="1">{#N/A,#N/A,TRUE,"Смета на пасс. обор. №1"}</definedName>
    <definedName name="от" localSheetId="20" hidden="1">{#N/A,#N/A,TRUE,"Смета на пасс. обор. №1"}</definedName>
    <definedName name="от" localSheetId="4" hidden="1">{#N/A,#N/A,TRUE,"Смета на пасс. обор. №1"}</definedName>
    <definedName name="от" localSheetId="18" hidden="1">{#N/A,#N/A,TRUE,"Смета на пасс. обор. №1"}</definedName>
    <definedName name="от" localSheetId="10" hidden="1">{#N/A,#N/A,TRUE,"Смета на пасс. обор. №1"}</definedName>
    <definedName name="от" hidden="1">{#N/A,#N/A,TRUE,"Смета на пасс. обор. №1"}</definedName>
    <definedName name="от_1" localSheetId="11" hidden="1">{#N/A,#N/A,TRUE,"Смета на пасс. обор. №1"}</definedName>
    <definedName name="от_1" localSheetId="19" hidden="1">{#N/A,#N/A,TRUE,"Смета на пасс. обор. №1"}</definedName>
    <definedName name="от_1" localSheetId="21" hidden="1">{#N/A,#N/A,TRUE,"Смета на пасс. обор. №1"}</definedName>
    <definedName name="от_1" localSheetId="20" hidden="1">{#N/A,#N/A,TRUE,"Смета на пасс. обор. №1"}</definedName>
    <definedName name="от_1" localSheetId="4" hidden="1">{#N/A,#N/A,TRUE,"Смета на пасс. обор. №1"}</definedName>
    <definedName name="от_1" localSheetId="18" hidden="1">{#N/A,#N/A,TRUE,"Смета на пасс. обор. №1"}</definedName>
    <definedName name="от_1" localSheetId="10" hidden="1">{#N/A,#N/A,TRUE,"Смета на пасс. обор. №1"}</definedName>
    <definedName name="от_1" hidden="1">{#N/A,#N/A,TRUE,"Смета на пасс. обор. №1"}</definedName>
    <definedName name="п1" localSheetId="11" hidden="1">{#N/A,#N/A,TRUE,"Смета на пасс. обор. №1"}</definedName>
    <definedName name="п1" localSheetId="19" hidden="1">{#N/A,#N/A,TRUE,"Смета на пасс. обор. №1"}</definedName>
    <definedName name="п1" localSheetId="21" hidden="1">{#N/A,#N/A,TRUE,"Смета на пасс. обор. №1"}</definedName>
    <definedName name="п1" localSheetId="20" hidden="1">{#N/A,#N/A,TRUE,"Смета на пасс. обор. №1"}</definedName>
    <definedName name="п1" localSheetId="4" hidden="1">{#N/A,#N/A,TRUE,"Смета на пасс. обор. №1"}</definedName>
    <definedName name="п1" localSheetId="10" hidden="1">{#N/A,#N/A,TRUE,"Смета на пасс. обор. №1"}</definedName>
    <definedName name="п1" hidden="1">{#N/A,#N/A,TRUE,"Смета на пасс. обор. №1"}</definedName>
    <definedName name="пор" localSheetId="11" hidden="1">{#N/A,#N/A,TRUE,"Смета на пасс. обор. №1"}</definedName>
    <definedName name="пор" localSheetId="19" hidden="1">{#N/A,#N/A,TRUE,"Смета на пасс. обор. №1"}</definedName>
    <definedName name="пор" localSheetId="21" hidden="1">{#N/A,#N/A,TRUE,"Смета на пасс. обор. №1"}</definedName>
    <definedName name="пор" localSheetId="20" hidden="1">{#N/A,#N/A,TRUE,"Смета на пасс. обор. №1"}</definedName>
    <definedName name="пор" localSheetId="4" hidden="1">{#N/A,#N/A,TRUE,"Смета на пасс. обор. №1"}</definedName>
    <definedName name="пор" localSheetId="18" hidden="1">{#N/A,#N/A,TRUE,"Смета на пасс. обор. №1"}</definedName>
    <definedName name="пор" localSheetId="10" hidden="1">{#N/A,#N/A,TRUE,"Смета на пасс. обор. №1"}</definedName>
    <definedName name="пор" hidden="1">{#N/A,#N/A,TRUE,"Смета на пасс. обор. №1"}</definedName>
    <definedName name="пор_1" localSheetId="11" hidden="1">{#N/A,#N/A,TRUE,"Смета на пасс. обор. №1"}</definedName>
    <definedName name="пор_1" localSheetId="19" hidden="1">{#N/A,#N/A,TRUE,"Смета на пасс. обор. №1"}</definedName>
    <definedName name="пор_1" localSheetId="21" hidden="1">{#N/A,#N/A,TRUE,"Смета на пасс. обор. №1"}</definedName>
    <definedName name="пор_1" localSheetId="20" hidden="1">{#N/A,#N/A,TRUE,"Смета на пасс. обор. №1"}</definedName>
    <definedName name="пор_1" localSheetId="4" hidden="1">{#N/A,#N/A,TRUE,"Смета на пасс. обор. №1"}</definedName>
    <definedName name="пор_1" localSheetId="18" hidden="1">{#N/A,#N/A,TRUE,"Смета на пасс. обор. №1"}</definedName>
    <definedName name="пор_1" localSheetId="10" hidden="1">{#N/A,#N/A,TRUE,"Смета на пасс. обор. №1"}</definedName>
    <definedName name="пор_1" hidden="1">{#N/A,#N/A,TRUE,"Смета на пасс. обор. №1"}</definedName>
    <definedName name="ппппп" localSheetId="11" hidden="1">{#N/A,#N/A,TRUE,"Смета на пасс. обор. №1"}</definedName>
    <definedName name="ппппп" localSheetId="19" hidden="1">{#N/A,#N/A,TRUE,"Смета на пасс. обор. №1"}</definedName>
    <definedName name="ппппп" localSheetId="21" hidden="1">{#N/A,#N/A,TRUE,"Смета на пасс. обор. №1"}</definedName>
    <definedName name="ппппп" localSheetId="20" hidden="1">{#N/A,#N/A,TRUE,"Смета на пасс. обор. №1"}</definedName>
    <definedName name="ппппп" localSheetId="4" hidden="1">{#N/A,#N/A,TRUE,"Смета на пасс. обор. №1"}</definedName>
    <definedName name="ппппп" localSheetId="10" hidden="1">{#N/A,#N/A,TRUE,"Смета на пасс. обор. №1"}</definedName>
    <definedName name="ппппп" hidden="1">{#N/A,#N/A,TRUE,"Смета на пасс. обор. №1"}</definedName>
    <definedName name="пппппп" localSheetId="11" hidden="1">{#N/A,#N/A,TRUE,"Смета на пасс. обор. №1"}</definedName>
    <definedName name="пппппп" localSheetId="19" hidden="1">{#N/A,#N/A,TRUE,"Смета на пасс. обор. №1"}</definedName>
    <definedName name="пппппп" localSheetId="21" hidden="1">{#N/A,#N/A,TRUE,"Смета на пасс. обор. №1"}</definedName>
    <definedName name="пппппп" localSheetId="20" hidden="1">{#N/A,#N/A,TRUE,"Смета на пасс. обор. №1"}</definedName>
    <definedName name="пппппп" localSheetId="4" hidden="1">{#N/A,#N/A,TRUE,"Смета на пасс. обор. №1"}</definedName>
    <definedName name="пппппп" localSheetId="10" hidden="1">{#N/A,#N/A,TRUE,"Смета на пасс. обор. №1"}</definedName>
    <definedName name="пппппп" hidden="1">{#N/A,#N/A,TRUE,"Смета на пасс. обор. №1"}</definedName>
    <definedName name="про" localSheetId="11" hidden="1">{#N/A,#N/A,TRUE,"Смета на пасс. обор. №1"}</definedName>
    <definedName name="про" localSheetId="19" hidden="1">{#N/A,#N/A,TRUE,"Смета на пасс. обор. №1"}</definedName>
    <definedName name="про" localSheetId="21" hidden="1">{#N/A,#N/A,TRUE,"Смета на пасс. обор. №1"}</definedName>
    <definedName name="про" localSheetId="20" hidden="1">{#N/A,#N/A,TRUE,"Смета на пасс. обор. №1"}</definedName>
    <definedName name="про" localSheetId="4" hidden="1">{#N/A,#N/A,TRUE,"Смета на пасс. обор. №1"}</definedName>
    <definedName name="про" localSheetId="10" hidden="1">{#N/A,#N/A,TRUE,"Смета на пасс. обор. №1"}</definedName>
    <definedName name="про" hidden="1">{#N/A,#N/A,TRUE,"Смета на пасс. обор. №1"}</definedName>
    <definedName name="про_1" localSheetId="11" hidden="1">{#N/A,#N/A,TRUE,"Смета на пасс. обор. №1"}</definedName>
    <definedName name="про_1" localSheetId="19" hidden="1">{#N/A,#N/A,TRUE,"Смета на пасс. обор. №1"}</definedName>
    <definedName name="про_1" localSheetId="21" hidden="1">{#N/A,#N/A,TRUE,"Смета на пасс. обор. №1"}</definedName>
    <definedName name="про_1" localSheetId="20" hidden="1">{#N/A,#N/A,TRUE,"Смета на пасс. обор. №1"}</definedName>
    <definedName name="про_1" localSheetId="4" hidden="1">{#N/A,#N/A,TRUE,"Смета на пасс. обор. №1"}</definedName>
    <definedName name="про_1" localSheetId="18" hidden="1">{#N/A,#N/A,TRUE,"Смета на пасс. обор. №1"}</definedName>
    <definedName name="про_1" localSheetId="10" hidden="1">{#N/A,#N/A,TRUE,"Смета на пасс. обор. №1"}</definedName>
    <definedName name="про_1" hidden="1">{#N/A,#N/A,TRUE,"Смета на пасс. обор. №1"}</definedName>
    <definedName name="прол" localSheetId="11" hidden="1">{#N/A,#N/A,TRUE,"Смета на пасс. обор. №1"}</definedName>
    <definedName name="прол" localSheetId="19" hidden="1">{#N/A,#N/A,TRUE,"Смета на пасс. обор. №1"}</definedName>
    <definedName name="прол" localSheetId="21" hidden="1">{#N/A,#N/A,TRUE,"Смета на пасс. обор. №1"}</definedName>
    <definedName name="прол" localSheetId="20" hidden="1">{#N/A,#N/A,TRUE,"Смета на пасс. обор. №1"}</definedName>
    <definedName name="прол" localSheetId="4" hidden="1">{#N/A,#N/A,TRUE,"Смета на пасс. обор. №1"}</definedName>
    <definedName name="прол" localSheetId="18" hidden="1">{#N/A,#N/A,TRUE,"Смета на пасс. обор. №1"}</definedName>
    <definedName name="прол" localSheetId="10" hidden="1">{#N/A,#N/A,TRUE,"Смета на пасс. обор. №1"}</definedName>
    <definedName name="прол" hidden="1">{#N/A,#N/A,TRUE,"Смета на пасс. обор. №1"}</definedName>
    <definedName name="пролдж" localSheetId="11" hidden="1">{#N/A,#N/A,TRUE,"Смета на пасс. обор. №1"}</definedName>
    <definedName name="пролдж" localSheetId="19" hidden="1">{#N/A,#N/A,TRUE,"Смета на пасс. обор. №1"}</definedName>
    <definedName name="пролдж" localSheetId="21" hidden="1">{#N/A,#N/A,TRUE,"Смета на пасс. обор. №1"}</definedName>
    <definedName name="пролдж" localSheetId="20" hidden="1">{#N/A,#N/A,TRUE,"Смета на пасс. обор. №1"}</definedName>
    <definedName name="пролдж" localSheetId="4" hidden="1">{#N/A,#N/A,TRUE,"Смета на пасс. обор. №1"}</definedName>
    <definedName name="пролдж" localSheetId="18" hidden="1">{#N/A,#N/A,TRUE,"Смета на пасс. обор. №1"}</definedName>
    <definedName name="пролдж" localSheetId="10" hidden="1">{#N/A,#N/A,TRUE,"Смета на пасс. обор. №1"}</definedName>
    <definedName name="пролдж" hidden="1">{#N/A,#N/A,TRUE,"Смета на пасс. обор. №1"}</definedName>
    <definedName name="пролдж_1" localSheetId="11" hidden="1">{#N/A,#N/A,TRUE,"Смета на пасс. обор. №1"}</definedName>
    <definedName name="пролдж_1" localSheetId="19" hidden="1">{#N/A,#N/A,TRUE,"Смета на пасс. обор. №1"}</definedName>
    <definedName name="пролдж_1" localSheetId="21" hidden="1">{#N/A,#N/A,TRUE,"Смета на пасс. обор. №1"}</definedName>
    <definedName name="пролдж_1" localSheetId="20" hidden="1">{#N/A,#N/A,TRUE,"Смета на пасс. обор. №1"}</definedName>
    <definedName name="пролдж_1" localSheetId="4" hidden="1">{#N/A,#N/A,TRUE,"Смета на пасс. обор. №1"}</definedName>
    <definedName name="пролдж_1" localSheetId="18" hidden="1">{#N/A,#N/A,TRUE,"Смета на пасс. обор. №1"}</definedName>
    <definedName name="пролдж_1" localSheetId="10" hidden="1">{#N/A,#N/A,TRUE,"Смета на пасс. обор. №1"}</definedName>
    <definedName name="пролдж_1" hidden="1">{#N/A,#N/A,TRUE,"Смета на пасс. обор. №1"}</definedName>
    <definedName name="рол" localSheetId="11" hidden="1">{#N/A,#N/A,TRUE,"Смета на пасс. обор. №1"}</definedName>
    <definedName name="рол" localSheetId="19" hidden="1">{#N/A,#N/A,TRUE,"Смета на пасс. обор. №1"}</definedName>
    <definedName name="рол" localSheetId="21" hidden="1">{#N/A,#N/A,TRUE,"Смета на пасс. обор. №1"}</definedName>
    <definedName name="рол" localSheetId="20" hidden="1">{#N/A,#N/A,TRUE,"Смета на пасс. обор. №1"}</definedName>
    <definedName name="рол" localSheetId="4" hidden="1">{#N/A,#N/A,TRUE,"Смета на пасс. обор. №1"}</definedName>
    <definedName name="рол" localSheetId="10" hidden="1">{#N/A,#N/A,TRUE,"Смета на пасс. обор. №1"}</definedName>
    <definedName name="рол" hidden="1">{#N/A,#N/A,TRUE,"Смета на пасс. обор. №1"}</definedName>
    <definedName name="рол_1" localSheetId="11" hidden="1">{#N/A,#N/A,TRUE,"Смета на пасс. обор. №1"}</definedName>
    <definedName name="рол_1" localSheetId="19" hidden="1">{#N/A,#N/A,TRUE,"Смета на пасс. обор. №1"}</definedName>
    <definedName name="рол_1" localSheetId="21" hidden="1">{#N/A,#N/A,TRUE,"Смета на пасс. обор. №1"}</definedName>
    <definedName name="рол_1" localSheetId="20" hidden="1">{#N/A,#N/A,TRUE,"Смета на пасс. обор. №1"}</definedName>
    <definedName name="рол_1" localSheetId="4" hidden="1">{#N/A,#N/A,TRUE,"Смета на пасс. обор. №1"}</definedName>
    <definedName name="рол_1" localSheetId="18" hidden="1">{#N/A,#N/A,TRUE,"Смета на пасс. обор. №1"}</definedName>
    <definedName name="рол_1" localSheetId="10" hidden="1">{#N/A,#N/A,TRUE,"Смета на пасс. обор. №1"}</definedName>
    <definedName name="рол_1" hidden="1">{#N/A,#N/A,TRUE,"Смета на пасс. обор. №1"}</definedName>
    <definedName name="рр" localSheetId="11" hidden="1">{#N/A,#N/A,TRUE,"Смета на пасс. обор. №1"}</definedName>
    <definedName name="рр" localSheetId="19" hidden="1">{#N/A,#N/A,TRUE,"Смета на пасс. обор. №1"}</definedName>
    <definedName name="рр" localSheetId="21" hidden="1">{#N/A,#N/A,TRUE,"Смета на пасс. обор. №1"}</definedName>
    <definedName name="рр" localSheetId="20" hidden="1">{#N/A,#N/A,TRUE,"Смета на пасс. обор. №1"}</definedName>
    <definedName name="рр" localSheetId="4" hidden="1">{#N/A,#N/A,TRUE,"Смета на пасс. обор. №1"}</definedName>
    <definedName name="рр" localSheetId="18" hidden="1">{#N/A,#N/A,TRUE,"Смета на пасс. обор. №1"}</definedName>
    <definedName name="рр" localSheetId="10" hidden="1">{#N/A,#N/A,TRUE,"Смета на пасс. обор. №1"}</definedName>
    <definedName name="рр" hidden="1">{#N/A,#N/A,TRUE,"Смета на пасс. обор. №1"}</definedName>
    <definedName name="рр_1" localSheetId="11" hidden="1">{#N/A,#N/A,TRUE,"Смета на пасс. обор. №1"}</definedName>
    <definedName name="рр_1" localSheetId="19" hidden="1">{#N/A,#N/A,TRUE,"Смета на пасс. обор. №1"}</definedName>
    <definedName name="рр_1" localSheetId="21" hidden="1">{#N/A,#N/A,TRUE,"Смета на пасс. обор. №1"}</definedName>
    <definedName name="рр_1" localSheetId="20" hidden="1">{#N/A,#N/A,TRUE,"Смета на пасс. обор. №1"}</definedName>
    <definedName name="рр_1" localSheetId="4" hidden="1">{#N/A,#N/A,TRUE,"Смета на пасс. обор. №1"}</definedName>
    <definedName name="рр_1" localSheetId="18" hidden="1">{#N/A,#N/A,TRUE,"Смета на пасс. обор. №1"}</definedName>
    <definedName name="рр_1" localSheetId="10" hidden="1">{#N/A,#N/A,TRUE,"Смета на пасс. обор. №1"}</definedName>
    <definedName name="рр_1" hidden="1">{#N/A,#N/A,TRUE,"Смета на пасс. обор. №1"}</definedName>
    <definedName name="С" localSheetId="11" hidden="1">{#N/A,#N/A,FALSE,"Шаблон_Спец1"}</definedName>
    <definedName name="С" localSheetId="19" hidden="1">{#N/A,#N/A,FALSE,"Шаблон_Спец1"}</definedName>
    <definedName name="С" localSheetId="21" hidden="1">{#N/A,#N/A,FALSE,"Шаблон_Спец1"}</definedName>
    <definedName name="С" localSheetId="20" hidden="1">{#N/A,#N/A,FALSE,"Шаблон_Спец1"}</definedName>
    <definedName name="С" localSheetId="4" hidden="1">{#N/A,#N/A,FALSE,"Шаблон_Спец1"}</definedName>
    <definedName name="С" localSheetId="18" hidden="1">{#N/A,#N/A,FALSE,"Шаблон_Спец1"}</definedName>
    <definedName name="С" localSheetId="10" hidden="1">{#N/A,#N/A,FALSE,"Шаблон_Спец1"}</definedName>
    <definedName name="С" hidden="1">{#N/A,#N/A,FALSE,"Шаблон_Спец1"}</definedName>
    <definedName name="с_1" localSheetId="11" hidden="1">{#N/A,#N/A,TRUE,"Смета на пасс. обор. №1"}</definedName>
    <definedName name="с_1" localSheetId="19" hidden="1">{#N/A,#N/A,TRUE,"Смета на пасс. обор. №1"}</definedName>
    <definedName name="с_1" localSheetId="21" hidden="1">{#N/A,#N/A,TRUE,"Смета на пасс. обор. №1"}</definedName>
    <definedName name="с_1" localSheetId="20" hidden="1">{#N/A,#N/A,TRUE,"Смета на пасс. обор. №1"}</definedName>
    <definedName name="с_1" localSheetId="4" hidden="1">{#N/A,#N/A,TRUE,"Смета на пасс. обор. №1"}</definedName>
    <definedName name="с_1" localSheetId="18" hidden="1">{#N/A,#N/A,TRUE,"Смета на пасс. обор. №1"}</definedName>
    <definedName name="с_1" localSheetId="10" hidden="1">{#N/A,#N/A,TRUE,"Смета на пасс. обор. №1"}</definedName>
    <definedName name="с_1" hidden="1">{#N/A,#N/A,TRUE,"Смета на пасс. обор. №1"}</definedName>
    <definedName name="сам" localSheetId="11" hidden="1">{#N/A,#N/A,TRUE,"Смета на пасс. обор. №1"}</definedName>
    <definedName name="сам" localSheetId="19" hidden="1">{#N/A,#N/A,TRUE,"Смета на пасс. обор. №1"}</definedName>
    <definedName name="сам" localSheetId="21" hidden="1">{#N/A,#N/A,TRUE,"Смета на пасс. обор. №1"}</definedName>
    <definedName name="сам" localSheetId="20" hidden="1">{#N/A,#N/A,TRUE,"Смета на пасс. обор. №1"}</definedName>
    <definedName name="сам" localSheetId="4" hidden="1">{#N/A,#N/A,TRUE,"Смета на пасс. обор. №1"}</definedName>
    <definedName name="сам" localSheetId="18" hidden="1">{#N/A,#N/A,TRUE,"Смета на пасс. обор. №1"}</definedName>
    <definedName name="сам" localSheetId="10" hidden="1">{#N/A,#N/A,TRUE,"Смета на пасс. обор. №1"}</definedName>
    <definedName name="сам" hidden="1">{#N/A,#N/A,TRUE,"Смета на пасс. обор. №1"}</definedName>
    <definedName name="сам_1" localSheetId="11" hidden="1">{#N/A,#N/A,TRUE,"Смета на пасс. обор. №1"}</definedName>
    <definedName name="сам_1" localSheetId="19" hidden="1">{#N/A,#N/A,TRUE,"Смета на пасс. обор. №1"}</definedName>
    <definedName name="сам_1" localSheetId="21" hidden="1">{#N/A,#N/A,TRUE,"Смета на пасс. обор. №1"}</definedName>
    <definedName name="сам_1" localSheetId="20" hidden="1">{#N/A,#N/A,TRUE,"Смета на пасс. обор. №1"}</definedName>
    <definedName name="сам_1" localSheetId="4" hidden="1">{#N/A,#N/A,TRUE,"Смета на пасс. обор. №1"}</definedName>
    <definedName name="сам_1" localSheetId="18" hidden="1">{#N/A,#N/A,TRUE,"Смета на пасс. обор. №1"}</definedName>
    <definedName name="сам_1" localSheetId="10" hidden="1">{#N/A,#N/A,TRUE,"Смета на пасс. обор. №1"}</definedName>
    <definedName name="сам_1" hidden="1">{#N/A,#N/A,TRUE,"Смета на пасс. обор. №1"}</definedName>
    <definedName name="Секционный_выключатель" localSheetId="1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19"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1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мет" localSheetId="11" hidden="1">{#N/A,#N/A,TRUE,"Смета на пасс. обор. №1"}</definedName>
    <definedName name="Смет" localSheetId="19" hidden="1">{#N/A,#N/A,TRUE,"Смета на пасс. обор. №1"}</definedName>
    <definedName name="Смет" localSheetId="21" hidden="1">{#N/A,#N/A,TRUE,"Смета на пасс. обор. №1"}</definedName>
    <definedName name="Смет" localSheetId="20" hidden="1">{#N/A,#N/A,TRUE,"Смета на пасс. обор. №1"}</definedName>
    <definedName name="Смет" localSheetId="4" hidden="1">{#N/A,#N/A,TRUE,"Смета на пасс. обор. №1"}</definedName>
    <definedName name="Смет" localSheetId="18" hidden="1">{#N/A,#N/A,TRUE,"Смета на пасс. обор. №1"}</definedName>
    <definedName name="Смет" localSheetId="10" hidden="1">{#N/A,#N/A,TRUE,"Смета на пасс. обор. №1"}</definedName>
    <definedName name="Смет" hidden="1">{#N/A,#N/A,TRUE,"Смета на пасс. обор. №1"}</definedName>
    <definedName name="Смет_1" localSheetId="11" hidden="1">{#N/A,#N/A,TRUE,"Смета на пасс. обор. №1"}</definedName>
    <definedName name="Смет_1" localSheetId="19" hidden="1">{#N/A,#N/A,TRUE,"Смета на пасс. обор. №1"}</definedName>
    <definedName name="Смет_1" localSheetId="21" hidden="1">{#N/A,#N/A,TRUE,"Смета на пасс. обор. №1"}</definedName>
    <definedName name="Смет_1" localSheetId="20" hidden="1">{#N/A,#N/A,TRUE,"Смета на пасс. обор. №1"}</definedName>
    <definedName name="Смет_1" localSheetId="4" hidden="1">{#N/A,#N/A,TRUE,"Смета на пасс. обор. №1"}</definedName>
    <definedName name="Смет_1" localSheetId="18" hidden="1">{#N/A,#N/A,TRUE,"Смета на пасс. обор. №1"}</definedName>
    <definedName name="Смет_1" localSheetId="10" hidden="1">{#N/A,#N/A,TRUE,"Смета на пасс. обор. №1"}</definedName>
    <definedName name="Смет_1" hidden="1">{#N/A,#N/A,TRUE,"Смета на пасс. обор. №1"}</definedName>
    <definedName name="смета" localSheetId="11" hidden="1">{#N/A,#N/A,TRUE,"Смета на пасс. обор. №1"}</definedName>
    <definedName name="смета" localSheetId="19" hidden="1">{#N/A,#N/A,TRUE,"Смета на пасс. обор. №1"}</definedName>
    <definedName name="смета" localSheetId="21" hidden="1">{#N/A,#N/A,TRUE,"Смета на пасс. обор. №1"}</definedName>
    <definedName name="смета" localSheetId="20" hidden="1">{#N/A,#N/A,TRUE,"Смета на пасс. обор. №1"}</definedName>
    <definedName name="смета" localSheetId="4" hidden="1">{#N/A,#N/A,TRUE,"Смета на пасс. обор. №1"}</definedName>
    <definedName name="смета" localSheetId="10" hidden="1">{#N/A,#N/A,TRUE,"Смета на пасс. обор. №1"}</definedName>
    <definedName name="смета" hidden="1">{#N/A,#N/A,TRUE,"Смета на пасс. обор. №1"}</definedName>
    <definedName name="смета_1" localSheetId="11" hidden="1">{#N/A,#N/A,TRUE,"Смета на пасс. обор. №1"}</definedName>
    <definedName name="смета_1" localSheetId="19" hidden="1">{#N/A,#N/A,TRUE,"Смета на пасс. обор. №1"}</definedName>
    <definedName name="смета_1" localSheetId="21" hidden="1">{#N/A,#N/A,TRUE,"Смета на пасс. обор. №1"}</definedName>
    <definedName name="смета_1" localSheetId="20" hidden="1">{#N/A,#N/A,TRUE,"Смета на пасс. обор. №1"}</definedName>
    <definedName name="смета_1" localSheetId="4" hidden="1">{#N/A,#N/A,TRUE,"Смета на пасс. обор. №1"}</definedName>
    <definedName name="смета_1" localSheetId="18" hidden="1">{#N/A,#N/A,TRUE,"Смета на пасс. обор. №1"}</definedName>
    <definedName name="смета_1" localSheetId="10" hidden="1">{#N/A,#N/A,TRUE,"Смета на пасс. обор. №1"}</definedName>
    <definedName name="смета_1" hidden="1">{#N/A,#N/A,TRUE,"Смета на пасс. обор. №1"}</definedName>
    <definedName name="сс" localSheetId="11" hidden="1">{#N/A,#N/A,TRUE,"Смета на пасс. обор. №1"}</definedName>
    <definedName name="сс" localSheetId="19" hidden="1">{#N/A,#N/A,TRUE,"Смета на пасс. обор. №1"}</definedName>
    <definedName name="сс" localSheetId="21" hidden="1">{#N/A,#N/A,TRUE,"Смета на пасс. обор. №1"}</definedName>
    <definedName name="сс" localSheetId="20" hidden="1">{#N/A,#N/A,TRUE,"Смета на пасс. обор. №1"}</definedName>
    <definedName name="сс" localSheetId="4" hidden="1">{#N/A,#N/A,TRUE,"Смета на пасс. обор. №1"}</definedName>
    <definedName name="сс" localSheetId="18" hidden="1">{#N/A,#N/A,TRUE,"Смета на пасс. обор. №1"}</definedName>
    <definedName name="сс" localSheetId="10" hidden="1">{#N/A,#N/A,TRUE,"Смета на пасс. обор. №1"}</definedName>
    <definedName name="сс" hidden="1">{#N/A,#N/A,TRUE,"Смета на пасс. обор. №1"}</definedName>
    <definedName name="сс_1" localSheetId="11" hidden="1">{#N/A,#N/A,TRUE,"Смета на пасс. обор. №1"}</definedName>
    <definedName name="сс_1" localSheetId="19" hidden="1">{#N/A,#N/A,TRUE,"Смета на пасс. обор. №1"}</definedName>
    <definedName name="сс_1" localSheetId="21" hidden="1">{#N/A,#N/A,TRUE,"Смета на пасс. обор. №1"}</definedName>
    <definedName name="сс_1" localSheetId="20" hidden="1">{#N/A,#N/A,TRUE,"Смета на пасс. обор. №1"}</definedName>
    <definedName name="сс_1" localSheetId="4" hidden="1">{#N/A,#N/A,TRUE,"Смета на пасс. обор. №1"}</definedName>
    <definedName name="сс_1" localSheetId="18" hidden="1">{#N/A,#N/A,TRUE,"Смета на пасс. обор. №1"}</definedName>
    <definedName name="сс_1" localSheetId="10" hidden="1">{#N/A,#N/A,TRUE,"Смета на пасс. обор. №1"}</definedName>
    <definedName name="сс_1" hidden="1">{#N/A,#N/A,TRUE,"Смета на пасс. обор. №1"}</definedName>
    <definedName name="ссп" localSheetId="11" hidden="1">{#N/A,#N/A,TRUE,"Смета на пасс. обор. №1"}</definedName>
    <definedName name="ссп" localSheetId="19" hidden="1">{#N/A,#N/A,TRUE,"Смета на пасс. обор. №1"}</definedName>
    <definedName name="ссп" localSheetId="21" hidden="1">{#N/A,#N/A,TRUE,"Смета на пасс. обор. №1"}</definedName>
    <definedName name="ссп" localSheetId="20" hidden="1">{#N/A,#N/A,TRUE,"Смета на пасс. обор. №1"}</definedName>
    <definedName name="ссп" localSheetId="4" hidden="1">{#N/A,#N/A,TRUE,"Смета на пасс. обор. №1"}</definedName>
    <definedName name="ссп" localSheetId="18" hidden="1">{#N/A,#N/A,TRUE,"Смета на пасс. обор. №1"}</definedName>
    <definedName name="ссп" localSheetId="10" hidden="1">{#N/A,#N/A,TRUE,"Смета на пасс. обор. №1"}</definedName>
    <definedName name="ссп" hidden="1">{#N/A,#N/A,TRUE,"Смета на пасс. обор. №1"}</definedName>
    <definedName name="ссп_1" localSheetId="11" hidden="1">{#N/A,#N/A,TRUE,"Смета на пасс. обор. №1"}</definedName>
    <definedName name="ссп_1" localSheetId="19" hidden="1">{#N/A,#N/A,TRUE,"Смета на пасс. обор. №1"}</definedName>
    <definedName name="ссп_1" localSheetId="21" hidden="1">{#N/A,#N/A,TRUE,"Смета на пасс. обор. №1"}</definedName>
    <definedName name="ссп_1" localSheetId="20" hidden="1">{#N/A,#N/A,TRUE,"Смета на пасс. обор. №1"}</definedName>
    <definedName name="ссп_1" localSheetId="4" hidden="1">{#N/A,#N/A,TRUE,"Смета на пасс. обор. №1"}</definedName>
    <definedName name="ссп_1" localSheetId="18" hidden="1">{#N/A,#N/A,TRUE,"Смета на пасс. обор. №1"}</definedName>
    <definedName name="ссп_1" localSheetId="10" hidden="1">{#N/A,#N/A,TRUE,"Смета на пасс. обор. №1"}</definedName>
    <definedName name="ссп_1" hidden="1">{#N/A,#N/A,TRUE,"Смета на пасс. обор. №1"}</definedName>
    <definedName name="ссссс" localSheetId="11" hidden="1">{#N/A,#N/A,TRUE,"Смета на пасс. обор. №1"}</definedName>
    <definedName name="ссссс" localSheetId="19" hidden="1">{#N/A,#N/A,TRUE,"Смета на пасс. обор. №1"}</definedName>
    <definedName name="ссссс" localSheetId="21" hidden="1">{#N/A,#N/A,TRUE,"Смета на пасс. обор. №1"}</definedName>
    <definedName name="ссссс" localSheetId="20" hidden="1">{#N/A,#N/A,TRUE,"Смета на пасс. обор. №1"}</definedName>
    <definedName name="ссссс" localSheetId="4" hidden="1">{#N/A,#N/A,TRUE,"Смета на пасс. обор. №1"}</definedName>
    <definedName name="ссссс" localSheetId="18" hidden="1">{#N/A,#N/A,TRUE,"Смета на пасс. обор. №1"}</definedName>
    <definedName name="ссссс" localSheetId="10" hidden="1">{#N/A,#N/A,TRUE,"Смета на пасс. обор. №1"}</definedName>
    <definedName name="ссссс" hidden="1">{#N/A,#N/A,TRUE,"Смета на пасс. обор. №1"}</definedName>
    <definedName name="ссссс_1" localSheetId="11" hidden="1">{#N/A,#N/A,TRUE,"Смета на пасс. обор. №1"}</definedName>
    <definedName name="ссссс_1" localSheetId="19" hidden="1">{#N/A,#N/A,TRUE,"Смета на пасс. обор. №1"}</definedName>
    <definedName name="ссссс_1" localSheetId="21" hidden="1">{#N/A,#N/A,TRUE,"Смета на пасс. обор. №1"}</definedName>
    <definedName name="ссссс_1" localSheetId="20" hidden="1">{#N/A,#N/A,TRUE,"Смета на пасс. обор. №1"}</definedName>
    <definedName name="ссссс_1" localSheetId="4" hidden="1">{#N/A,#N/A,TRUE,"Смета на пасс. обор. №1"}</definedName>
    <definedName name="ссссс_1" localSheetId="18" hidden="1">{#N/A,#N/A,TRUE,"Смета на пасс. обор. №1"}</definedName>
    <definedName name="ссссс_1" localSheetId="10" hidden="1">{#N/A,#N/A,TRUE,"Смета на пасс. обор. №1"}</definedName>
    <definedName name="ссссс_1" hidden="1">{#N/A,#N/A,TRUE,"Смета на пасс. обор. №1"}</definedName>
    <definedName name="сусусу" localSheetId="11" hidden="1">{#N/A,#N/A,TRUE,"Смета на пасс. обор. №1"}</definedName>
    <definedName name="сусусу" localSheetId="19" hidden="1">{#N/A,#N/A,TRUE,"Смета на пасс. обор. №1"}</definedName>
    <definedName name="сусусу" localSheetId="21" hidden="1">{#N/A,#N/A,TRUE,"Смета на пасс. обор. №1"}</definedName>
    <definedName name="сусусу" localSheetId="20" hidden="1">{#N/A,#N/A,TRUE,"Смета на пасс. обор. №1"}</definedName>
    <definedName name="сусусу" localSheetId="4" hidden="1">{#N/A,#N/A,TRUE,"Смета на пасс. обор. №1"}</definedName>
    <definedName name="сусусу" localSheetId="18" hidden="1">{#N/A,#N/A,TRUE,"Смета на пасс. обор. №1"}</definedName>
    <definedName name="сусусу" localSheetId="10" hidden="1">{#N/A,#N/A,TRUE,"Смета на пасс. обор. №1"}</definedName>
    <definedName name="сусусу" hidden="1">{#N/A,#N/A,TRUE,"Смета на пасс. обор. №1"}</definedName>
    <definedName name="сусусу_1" localSheetId="11" hidden="1">{#N/A,#N/A,TRUE,"Смета на пасс. обор. №1"}</definedName>
    <definedName name="сусусу_1" localSheetId="19" hidden="1">{#N/A,#N/A,TRUE,"Смета на пасс. обор. №1"}</definedName>
    <definedName name="сусусу_1" localSheetId="21" hidden="1">{#N/A,#N/A,TRUE,"Смета на пасс. обор. №1"}</definedName>
    <definedName name="сусусу_1" localSheetId="20" hidden="1">{#N/A,#N/A,TRUE,"Смета на пасс. обор. №1"}</definedName>
    <definedName name="сусусу_1" localSheetId="4" hidden="1">{#N/A,#N/A,TRUE,"Смета на пасс. обор. №1"}</definedName>
    <definedName name="сусусу_1" localSheetId="18" hidden="1">{#N/A,#N/A,TRUE,"Смета на пасс. обор. №1"}</definedName>
    <definedName name="сусусу_1" localSheetId="10" hidden="1">{#N/A,#N/A,TRUE,"Смета на пасс. обор. №1"}</definedName>
    <definedName name="сусусу_1" hidden="1">{#N/A,#N/A,TRUE,"Смета на пасс. обор. №1"}</definedName>
    <definedName name="тасс" localSheetId="11" hidden="1">{#N/A,#N/A,TRUE,"Смета на пасс. обор. №1"}</definedName>
    <definedName name="тасс" localSheetId="19" hidden="1">{#N/A,#N/A,TRUE,"Смета на пасс. обор. №1"}</definedName>
    <definedName name="тасс" localSheetId="21" hidden="1">{#N/A,#N/A,TRUE,"Смета на пасс. обор. №1"}</definedName>
    <definedName name="тасс" localSheetId="20" hidden="1">{#N/A,#N/A,TRUE,"Смета на пасс. обор. №1"}</definedName>
    <definedName name="тасс" localSheetId="4" hidden="1">{#N/A,#N/A,TRUE,"Смета на пасс. обор. №1"}</definedName>
    <definedName name="тасс" localSheetId="18" hidden="1">{#N/A,#N/A,TRUE,"Смета на пасс. обор. №1"}</definedName>
    <definedName name="тасс" localSheetId="10" hidden="1">{#N/A,#N/A,TRUE,"Смета на пасс. обор. №1"}</definedName>
    <definedName name="тасс" hidden="1">{#N/A,#N/A,TRUE,"Смета на пасс. обор. №1"}</definedName>
    <definedName name="тасс_1" localSheetId="11" hidden="1">{#N/A,#N/A,TRUE,"Смета на пасс. обор. №1"}</definedName>
    <definedName name="тасс_1" localSheetId="19" hidden="1">{#N/A,#N/A,TRUE,"Смета на пасс. обор. №1"}</definedName>
    <definedName name="тасс_1" localSheetId="21" hidden="1">{#N/A,#N/A,TRUE,"Смета на пасс. обор. №1"}</definedName>
    <definedName name="тасс_1" localSheetId="20" hidden="1">{#N/A,#N/A,TRUE,"Смета на пасс. обор. №1"}</definedName>
    <definedName name="тасс_1" localSheetId="4" hidden="1">{#N/A,#N/A,TRUE,"Смета на пасс. обор. №1"}</definedName>
    <definedName name="тасс_1" localSheetId="18" hidden="1">{#N/A,#N/A,TRUE,"Смета на пасс. обор. №1"}</definedName>
    <definedName name="тасс_1" localSheetId="10" hidden="1">{#N/A,#N/A,TRUE,"Смета на пасс. обор. №1"}</definedName>
    <definedName name="тасс_1" hidden="1">{#N/A,#N/A,TRUE,"Смета на пасс. обор. №1"}</definedName>
    <definedName name="тра" localSheetId="11" hidden="1">{"IMRAK42x8x8",#N/A,TRUE,"IMRAK 1400 42U 800X800";"IMRAK32x6x6",#N/A,TRUE,"IMRAK 1400 32U 600x600";"IMRAK42x12x8",#N/A,TRUE,"IMRAK 1400 42U 1200x800";"IMRAK15x6x4",#N/A,TRUE,"IMRAK 400 15U FRONT SECTION"}</definedName>
    <definedName name="тра" localSheetId="19" hidden="1">{"IMRAK42x8x8",#N/A,TRUE,"IMRAK 1400 42U 800X800";"IMRAK32x6x6",#N/A,TRUE,"IMRAK 1400 32U 600x600";"IMRAK42x12x8",#N/A,TRUE,"IMRAK 1400 42U 1200x800";"IMRAK15x6x4",#N/A,TRUE,"IMRAK 400 15U FRONT SECTION"}</definedName>
    <definedName name="тра" localSheetId="21" hidden="1">{"IMRAK42x8x8",#N/A,TRUE,"IMRAK 1400 42U 800X800";"IMRAK32x6x6",#N/A,TRUE,"IMRAK 1400 32U 600x600";"IMRAK42x12x8",#N/A,TRUE,"IMRAK 1400 42U 1200x800";"IMRAK15x6x4",#N/A,TRUE,"IMRAK 400 15U FRONT SECTION"}</definedName>
    <definedName name="тра" localSheetId="20" hidden="1">{"IMRAK42x8x8",#N/A,TRUE,"IMRAK 1400 42U 800X800";"IMRAK32x6x6",#N/A,TRUE,"IMRAK 1400 32U 600x600";"IMRAK42x12x8",#N/A,TRUE,"IMRAK 1400 42U 1200x800";"IMRAK15x6x4",#N/A,TRUE,"IMRAK 400 15U FRONT SECTION"}</definedName>
    <definedName name="тра" localSheetId="4" hidden="1">{"IMRAK42x8x8",#N/A,TRUE,"IMRAK 1400 42U 800X800";"IMRAK32x6x6",#N/A,TRUE,"IMRAK 1400 32U 600x600";"IMRAK42x12x8",#N/A,TRUE,"IMRAK 1400 42U 1200x800";"IMRAK15x6x4",#N/A,TRUE,"IMRAK 400 15U FRONT SECTION"}</definedName>
    <definedName name="тра" localSheetId="10" hidden="1">{"IMRAK42x8x8",#N/A,TRUE,"IMRAK 1400 42U 800X800";"IMRAK32x6x6",#N/A,TRUE,"IMRAK 1400 32U 600x600";"IMRAK42x12x8",#N/A,TRUE,"IMRAK 1400 42U 1200x800";"IMRAK15x6x4",#N/A,TRUE,"IMRAK 400 15U FRONT SECTION"}</definedName>
    <definedName name="тра" hidden="1">{"IMRAK42x8x8",#N/A,TRUE,"IMRAK 1400 42U 800X800";"IMRAK32x6x6",#N/A,TRUE,"IMRAK 1400 32U 600x600";"IMRAK42x12x8",#N/A,TRUE,"IMRAK 1400 42U 1200x800";"IMRAK15x6x4",#N/A,TRUE,"IMRAK 400 15U FRONT SECTION"}</definedName>
    <definedName name="тран" localSheetId="11" hidden="1">{"IMRAK42x8x8",#N/A,TRUE,"IMRAK 1400 42U 800X800";"IMRAK32x6x6",#N/A,TRUE,"IMRAK 1400 32U 600x600";"IMRAK42x12x8",#N/A,TRUE,"IMRAK 1400 42U 1200x800";"IMRAK15x6x4",#N/A,TRUE,"IMRAK 400 15U FRONT SECTION"}</definedName>
    <definedName name="тран" localSheetId="19" hidden="1">{"IMRAK42x8x8",#N/A,TRUE,"IMRAK 1400 42U 800X800";"IMRAK32x6x6",#N/A,TRUE,"IMRAK 1400 32U 600x600";"IMRAK42x12x8",#N/A,TRUE,"IMRAK 1400 42U 1200x800";"IMRAK15x6x4",#N/A,TRUE,"IMRAK 400 15U FRONT SECTION"}</definedName>
    <definedName name="тран" localSheetId="21" hidden="1">{"IMRAK42x8x8",#N/A,TRUE,"IMRAK 1400 42U 800X800";"IMRAK32x6x6",#N/A,TRUE,"IMRAK 1400 32U 600x600";"IMRAK42x12x8",#N/A,TRUE,"IMRAK 1400 42U 1200x800";"IMRAK15x6x4",#N/A,TRUE,"IMRAK 400 15U FRONT SECTION"}</definedName>
    <definedName name="тран" localSheetId="20" hidden="1">{"IMRAK42x8x8",#N/A,TRUE,"IMRAK 1400 42U 800X800";"IMRAK32x6x6",#N/A,TRUE,"IMRAK 1400 32U 600x600";"IMRAK42x12x8",#N/A,TRUE,"IMRAK 1400 42U 1200x800";"IMRAK15x6x4",#N/A,TRUE,"IMRAK 400 15U FRONT SECTION"}</definedName>
    <definedName name="тран" localSheetId="4" hidden="1">{"IMRAK42x8x8",#N/A,TRUE,"IMRAK 1400 42U 800X800";"IMRAK32x6x6",#N/A,TRUE,"IMRAK 1400 32U 600x600";"IMRAK42x12x8",#N/A,TRUE,"IMRAK 1400 42U 1200x800";"IMRAK15x6x4",#N/A,TRUE,"IMRAK 400 15U FRONT SECTION"}</definedName>
    <definedName name="тран" localSheetId="10" hidden="1">{"IMRAK42x8x8",#N/A,TRUE,"IMRAK 1400 42U 800X800";"IMRAK32x6x6",#N/A,TRUE,"IMRAK 1400 32U 600x600";"IMRAK42x12x8",#N/A,TRUE,"IMRAK 1400 42U 1200x800";"IMRAK15x6x4",#N/A,TRUE,"IMRAK 400 15U FRONT SECTION"}</definedName>
    <definedName name="тран" hidden="1">{"IMRAK42x8x8",#N/A,TRUE,"IMRAK 1400 42U 800X800";"IMRAK32x6x6",#N/A,TRUE,"IMRAK 1400 32U 600x600";"IMRAK42x12x8",#N/A,TRUE,"IMRAK 1400 42U 1200x800";"IMRAK15x6x4",#N/A,TRUE,"IMRAK 400 15U FRONT SECTION"}</definedName>
    <definedName name="трп" localSheetId="11" hidden="1">{#N/A,#N/A,TRUE,"Смета на пасс. обор. №1"}</definedName>
    <definedName name="трп" localSheetId="19" hidden="1">{#N/A,#N/A,TRUE,"Смета на пасс. обор. №1"}</definedName>
    <definedName name="трп" localSheetId="21" hidden="1">{#N/A,#N/A,TRUE,"Смета на пасс. обор. №1"}</definedName>
    <definedName name="трп" localSheetId="20" hidden="1">{#N/A,#N/A,TRUE,"Смета на пасс. обор. №1"}</definedName>
    <definedName name="трп" localSheetId="4" hidden="1">{#N/A,#N/A,TRUE,"Смета на пасс. обор. №1"}</definedName>
    <definedName name="трп" localSheetId="18" hidden="1">{#N/A,#N/A,TRUE,"Смета на пасс. обор. №1"}</definedName>
    <definedName name="трп" localSheetId="10" hidden="1">{#N/A,#N/A,TRUE,"Смета на пасс. обор. №1"}</definedName>
    <definedName name="трп" hidden="1">{#N/A,#N/A,TRUE,"Смета на пасс. обор. №1"}</definedName>
    <definedName name="трп_1" localSheetId="11" hidden="1">{#N/A,#N/A,TRUE,"Смета на пасс. обор. №1"}</definedName>
    <definedName name="трп_1" localSheetId="19" hidden="1">{#N/A,#N/A,TRUE,"Смета на пасс. обор. №1"}</definedName>
    <definedName name="трп_1" localSheetId="21" hidden="1">{#N/A,#N/A,TRUE,"Смета на пасс. обор. №1"}</definedName>
    <definedName name="трп_1" localSheetId="20" hidden="1">{#N/A,#N/A,TRUE,"Смета на пасс. обор. №1"}</definedName>
    <definedName name="трп_1" localSheetId="4" hidden="1">{#N/A,#N/A,TRUE,"Смета на пасс. обор. №1"}</definedName>
    <definedName name="трп_1" localSheetId="18" hidden="1">{#N/A,#N/A,TRUE,"Смета на пасс. обор. №1"}</definedName>
    <definedName name="трп_1" localSheetId="10" hidden="1">{#N/A,#N/A,TRUE,"Смета на пасс. обор. №1"}</definedName>
    <definedName name="трп_1" hidden="1">{#N/A,#N/A,TRUE,"Смета на пасс. обор. №1"}</definedName>
    <definedName name="ук" localSheetId="11" hidden="1">{#N/A,#N/A,TRUE,"Смета на пасс. обор. №1"}</definedName>
    <definedName name="ук" localSheetId="19" hidden="1">{#N/A,#N/A,TRUE,"Смета на пасс. обор. №1"}</definedName>
    <definedName name="ук" localSheetId="21" hidden="1">{#N/A,#N/A,TRUE,"Смета на пасс. обор. №1"}</definedName>
    <definedName name="ук" localSheetId="20" hidden="1">{#N/A,#N/A,TRUE,"Смета на пасс. обор. №1"}</definedName>
    <definedName name="ук" localSheetId="4" hidden="1">{#N/A,#N/A,TRUE,"Смета на пасс. обор. №1"}</definedName>
    <definedName name="ук" localSheetId="10" hidden="1">{#N/A,#N/A,TRUE,"Смета на пасс. обор. №1"}</definedName>
    <definedName name="ук" hidden="1">{#N/A,#N/A,TRUE,"Смета на пасс. обор. №1"}</definedName>
    <definedName name="ук_1" localSheetId="11" hidden="1">{#N/A,#N/A,TRUE,"Смета на пасс. обор. №1"}</definedName>
    <definedName name="ук_1" localSheetId="19" hidden="1">{#N/A,#N/A,TRUE,"Смета на пасс. обор. №1"}</definedName>
    <definedName name="ук_1" localSheetId="21" hidden="1">{#N/A,#N/A,TRUE,"Смета на пасс. обор. №1"}</definedName>
    <definedName name="ук_1" localSheetId="20" hidden="1">{#N/A,#N/A,TRUE,"Смета на пасс. обор. №1"}</definedName>
    <definedName name="ук_1" localSheetId="4" hidden="1">{#N/A,#N/A,TRUE,"Смета на пасс. обор. №1"}</definedName>
    <definedName name="ук_1" localSheetId="18" hidden="1">{#N/A,#N/A,TRUE,"Смета на пасс. обор. №1"}</definedName>
    <definedName name="ук_1" localSheetId="10" hidden="1">{#N/A,#N/A,TRUE,"Смета на пасс. обор. №1"}</definedName>
    <definedName name="ук_1" hidden="1">{#N/A,#N/A,TRUE,"Смета на пасс. обор. №1"}</definedName>
    <definedName name="уу" localSheetId="20" hidden="1">{#N/A,#N/A,TRUE,"Смета на пасс. обор. №1"}</definedName>
    <definedName name="уууу" localSheetId="11" hidden="1">{#N/A,#N/A,TRUE,"Смета на пасс. обор. №1"}</definedName>
    <definedName name="уууу" localSheetId="19" hidden="1">{#N/A,#N/A,TRUE,"Смета на пасс. обор. №1"}</definedName>
    <definedName name="уууу" localSheetId="21" hidden="1">{#N/A,#N/A,TRUE,"Смета на пасс. обор. №1"}</definedName>
    <definedName name="уууу" localSheetId="20" hidden="1">{#N/A,#N/A,TRUE,"Смета на пасс. обор. №1"}</definedName>
    <definedName name="уууу" localSheetId="4" hidden="1">{#N/A,#N/A,TRUE,"Смета на пасс. обор. №1"}</definedName>
    <definedName name="уууу" localSheetId="10" hidden="1">{#N/A,#N/A,TRUE,"Смета на пасс. обор. №1"}</definedName>
    <definedName name="уууу" hidden="1">{#N/A,#N/A,TRUE,"Смета на пасс. обор. №1"}</definedName>
    <definedName name="ууууу" localSheetId="11" hidden="1">{#N/A,#N/A,TRUE,"Смета на пасс. обор. №1"}</definedName>
    <definedName name="ууууу" localSheetId="19" hidden="1">{#N/A,#N/A,TRUE,"Смета на пасс. обор. №1"}</definedName>
    <definedName name="ууууу" localSheetId="21" hidden="1">{#N/A,#N/A,TRUE,"Смета на пасс. обор. №1"}</definedName>
    <definedName name="ууууу" localSheetId="20" hidden="1">{#N/A,#N/A,TRUE,"Смета на пасс. обор. №1"}</definedName>
    <definedName name="ууууу" localSheetId="4" hidden="1">{#N/A,#N/A,TRUE,"Смета на пасс. обор. №1"}</definedName>
    <definedName name="ууууу" localSheetId="10" hidden="1">{#N/A,#N/A,TRUE,"Смета на пасс. обор. №1"}</definedName>
    <definedName name="ууууу" hidden="1">{#N/A,#N/A,TRUE,"Смета на пасс. обор. №1"}</definedName>
    <definedName name="уы" localSheetId="11" hidden="1">{#N/A,#N/A,TRUE,"Смета на пасс. обор. №1"}</definedName>
    <definedName name="уы" localSheetId="19" hidden="1">{#N/A,#N/A,TRUE,"Смета на пасс. обор. №1"}</definedName>
    <definedName name="уы" localSheetId="21" hidden="1">{#N/A,#N/A,TRUE,"Смета на пасс. обор. №1"}</definedName>
    <definedName name="уы" localSheetId="20" hidden="1">{#N/A,#N/A,TRUE,"Смета на пасс. обор. №1"}</definedName>
    <definedName name="уы" localSheetId="4" hidden="1">{#N/A,#N/A,TRUE,"Смета на пасс. обор. №1"}</definedName>
    <definedName name="уы" localSheetId="18" hidden="1">{#N/A,#N/A,TRUE,"Смета на пасс. обор. №1"}</definedName>
    <definedName name="уы" localSheetId="10" hidden="1">{#N/A,#N/A,TRUE,"Смета на пасс. обор. №1"}</definedName>
    <definedName name="уы" hidden="1">{#N/A,#N/A,TRUE,"Смета на пасс. обор. №1"}</definedName>
    <definedName name="уы_1" localSheetId="11" hidden="1">{#N/A,#N/A,TRUE,"Смета на пасс. обор. №1"}</definedName>
    <definedName name="уы_1" localSheetId="19" hidden="1">{#N/A,#N/A,TRUE,"Смета на пасс. обор. №1"}</definedName>
    <definedName name="уы_1" localSheetId="21" hidden="1">{#N/A,#N/A,TRUE,"Смета на пасс. обор. №1"}</definedName>
    <definedName name="уы_1" localSheetId="20" hidden="1">{#N/A,#N/A,TRUE,"Смета на пасс. обор. №1"}</definedName>
    <definedName name="уы_1" localSheetId="4" hidden="1">{#N/A,#N/A,TRUE,"Смета на пасс. обор. №1"}</definedName>
    <definedName name="уы_1" localSheetId="18" hidden="1">{#N/A,#N/A,TRUE,"Смета на пасс. обор. №1"}</definedName>
    <definedName name="уы_1" localSheetId="10" hidden="1">{#N/A,#N/A,TRUE,"Смета на пасс. обор. №1"}</definedName>
    <definedName name="уы_1" hidden="1">{#N/A,#N/A,TRUE,"Смета на пасс. обор. №1"}</definedName>
    <definedName name="ф" localSheetId="11" hidden="1">{#N/A,#N/A,TRUE,"Смета на пасс. обор. №1"}</definedName>
    <definedName name="ф" localSheetId="19" hidden="1">{#N/A,#N/A,TRUE,"Смета на пасс. обор. №1"}</definedName>
    <definedName name="ф" localSheetId="21" hidden="1">{#N/A,#N/A,TRUE,"Смета на пасс. обор. №1"}</definedName>
    <definedName name="ф" localSheetId="20" hidden="1">{#N/A,#N/A,TRUE,"Смета на пасс. обор. №1"}</definedName>
    <definedName name="ф" localSheetId="4" hidden="1">{#N/A,#N/A,TRUE,"Смета на пасс. обор. №1"}</definedName>
    <definedName name="ф" localSheetId="10" hidden="1">{#N/A,#N/A,TRUE,"Смета на пасс. обор. №1"}</definedName>
    <definedName name="ф" hidden="1">{#N/A,#N/A,TRUE,"Смета на пасс. обор. №1"}</definedName>
    <definedName name="ф_1" localSheetId="11" hidden="1">{#N/A,#N/A,TRUE,"Смета на пасс. обор. №1"}</definedName>
    <definedName name="ф_1" localSheetId="19" hidden="1">{#N/A,#N/A,TRUE,"Смета на пасс. обор. №1"}</definedName>
    <definedName name="ф_1" localSheetId="21" hidden="1">{#N/A,#N/A,TRUE,"Смета на пасс. обор. №1"}</definedName>
    <definedName name="ф_1" localSheetId="20" hidden="1">{#N/A,#N/A,TRUE,"Смета на пасс. обор. №1"}</definedName>
    <definedName name="ф_1" localSheetId="4" hidden="1">{#N/A,#N/A,TRUE,"Смета на пасс. обор. №1"}</definedName>
    <definedName name="ф_1" localSheetId="18" hidden="1">{#N/A,#N/A,TRUE,"Смета на пасс. обор. №1"}</definedName>
    <definedName name="ф_1" localSheetId="10" hidden="1">{#N/A,#N/A,TRUE,"Смета на пасс. обор. №1"}</definedName>
    <definedName name="ф_1" hidden="1">{#N/A,#N/A,TRUE,"Смета на пасс. обор. №1"}</definedName>
    <definedName name="фф" localSheetId="11" hidden="1">{#N/A,#N/A,TRUE,"Смета на пасс. обор. №1"}</definedName>
    <definedName name="фф" localSheetId="19" hidden="1">{#N/A,#N/A,TRUE,"Смета на пасс. обор. №1"}</definedName>
    <definedName name="фф" localSheetId="21" hidden="1">{#N/A,#N/A,TRUE,"Смета на пасс. обор. №1"}</definedName>
    <definedName name="фф" localSheetId="20" hidden="1">{#N/A,#N/A,TRUE,"Смета на пасс. обор. №1"}</definedName>
    <definedName name="фф" localSheetId="4" hidden="1">{#N/A,#N/A,TRUE,"Смета на пасс. обор. №1"}</definedName>
    <definedName name="фф" localSheetId="10" hidden="1">{#N/A,#N/A,TRUE,"Смета на пасс. обор. №1"}</definedName>
    <definedName name="фф" hidden="1">{#N/A,#N/A,TRUE,"Смета на пасс. обор. №1"}</definedName>
    <definedName name="фффф" localSheetId="11" hidden="1">{#N/A,#N/A,TRUE,"Смета на пасс. обор. №1"}</definedName>
    <definedName name="фффф" localSheetId="19" hidden="1">{#N/A,#N/A,TRUE,"Смета на пасс. обор. №1"}</definedName>
    <definedName name="фффф" localSheetId="21" hidden="1">{#N/A,#N/A,TRUE,"Смета на пасс. обор. №1"}</definedName>
    <definedName name="фффф" localSheetId="20" hidden="1">{#N/A,#N/A,TRUE,"Смета на пасс. обор. №1"}</definedName>
    <definedName name="фффф" localSheetId="4" hidden="1">{#N/A,#N/A,TRUE,"Смета на пасс. обор. №1"}</definedName>
    <definedName name="фффф" localSheetId="10" hidden="1">{#N/A,#N/A,TRUE,"Смета на пасс. обор. №1"}</definedName>
    <definedName name="фффф" hidden="1">{#N/A,#N/A,TRUE,"Смета на пасс. обор. №1"}</definedName>
    <definedName name="фыв" localSheetId="11" hidden="1">{#N/A,#N/A,TRUE,"Смета на пасс. обор. №1"}</definedName>
    <definedName name="фыв" localSheetId="19" hidden="1">{#N/A,#N/A,TRUE,"Смета на пасс. обор. №1"}</definedName>
    <definedName name="фыв" localSheetId="21" hidden="1">{#N/A,#N/A,TRUE,"Смета на пасс. обор. №1"}</definedName>
    <definedName name="фыв" localSheetId="20" hidden="1">{#N/A,#N/A,TRUE,"Смета на пасс. обор. №1"}</definedName>
    <definedName name="фыв" localSheetId="4" hidden="1">{#N/A,#N/A,TRUE,"Смета на пасс. обор. №1"}</definedName>
    <definedName name="фыв" localSheetId="10" hidden="1">{#N/A,#N/A,TRUE,"Смета на пасс. обор. №1"}</definedName>
    <definedName name="фыв" hidden="1">{#N/A,#N/A,TRUE,"Смета на пасс. обор. №1"}</definedName>
    <definedName name="фыв_1" localSheetId="11" hidden="1">{#N/A,#N/A,TRUE,"Смета на пасс. обор. №1"}</definedName>
    <definedName name="фыв_1" localSheetId="19" hidden="1">{#N/A,#N/A,TRUE,"Смета на пасс. обор. №1"}</definedName>
    <definedName name="фыв_1" localSheetId="21" hidden="1">{#N/A,#N/A,TRUE,"Смета на пасс. обор. №1"}</definedName>
    <definedName name="фыв_1" localSheetId="20" hidden="1">{#N/A,#N/A,TRUE,"Смета на пасс. обор. №1"}</definedName>
    <definedName name="фыв_1" localSheetId="4" hidden="1">{#N/A,#N/A,TRUE,"Смета на пасс. обор. №1"}</definedName>
    <definedName name="фыв_1" localSheetId="18" hidden="1">{#N/A,#N/A,TRUE,"Смета на пасс. обор. №1"}</definedName>
    <definedName name="фыв_1" localSheetId="10" hidden="1">{#N/A,#N/A,TRUE,"Смета на пасс. обор. №1"}</definedName>
    <definedName name="фыв_1" hidden="1">{#N/A,#N/A,TRUE,"Смета на пасс. обор. №1"}</definedName>
    <definedName name="хххх" localSheetId="11" hidden="1">{"IMRAK42x8x8",#N/A,TRUE,"IMRAK 1400 42U 800X800";"IMRAK32x6x6",#N/A,TRUE,"IMRAK 1400 32U 600x600";"IMRAK42x12x8",#N/A,TRUE,"IMRAK 1400 42U 1200x800";"IMRAK15x6x4",#N/A,TRUE,"IMRAK 400 15U FRONT SECTION"}</definedName>
    <definedName name="хххх" localSheetId="19" hidden="1">{"IMRAK42x8x8",#N/A,TRUE,"IMRAK 1400 42U 800X800";"IMRAK32x6x6",#N/A,TRUE,"IMRAK 1400 32U 600x600";"IMRAK42x12x8",#N/A,TRUE,"IMRAK 1400 42U 1200x800";"IMRAK15x6x4",#N/A,TRUE,"IMRAK 400 15U FRONT SECTION"}</definedName>
    <definedName name="хххх" localSheetId="21" hidden="1">{"IMRAK42x8x8",#N/A,TRUE,"IMRAK 1400 42U 800X800";"IMRAK32x6x6",#N/A,TRUE,"IMRAK 1400 32U 600x600";"IMRAK42x12x8",#N/A,TRUE,"IMRAK 1400 42U 1200x800";"IMRAK15x6x4",#N/A,TRUE,"IMRAK 400 15U FRONT SECTION"}</definedName>
    <definedName name="хххх" localSheetId="20" hidden="1">{"IMRAK42x8x8",#N/A,TRUE,"IMRAK 1400 42U 800X800";"IMRAK32x6x6",#N/A,TRUE,"IMRAK 1400 32U 600x600";"IMRAK42x12x8",#N/A,TRUE,"IMRAK 1400 42U 1200x800";"IMRAK15x6x4",#N/A,TRUE,"IMRAK 400 15U FRONT SECTION"}</definedName>
    <definedName name="хххх" localSheetId="4" hidden="1">{"IMRAK42x8x8",#N/A,TRUE,"IMRAK 1400 42U 800X800";"IMRAK32x6x6",#N/A,TRUE,"IMRAK 1400 32U 600x600";"IMRAK42x12x8",#N/A,TRUE,"IMRAK 1400 42U 1200x800";"IMRAK15x6x4",#N/A,TRUE,"IMRAK 400 15U FRONT SECTION"}</definedName>
    <definedName name="хххх" localSheetId="10" hidden="1">{"IMRAK42x8x8",#N/A,TRUE,"IMRAK 1400 42U 800X800";"IMRAK32x6x6",#N/A,TRUE,"IMRAK 1400 32U 600x600";"IMRAK42x12x8",#N/A,TRUE,"IMRAK 1400 42U 1200x800";"IMRAK15x6x4",#N/A,TRUE,"IMRAK 400 15U FRONT SECTION"}</definedName>
    <definedName name="хххх" hidden="1">{"IMRAK42x8x8",#N/A,TRUE,"IMRAK 1400 42U 800X800";"IMRAK32x6x6",#N/A,TRUE,"IMRAK 1400 32U 600x600";"IMRAK42x12x8",#N/A,TRUE,"IMRAK 1400 42U 1200x800";"IMRAK15x6x4",#N/A,TRUE,"IMRAK 400 15U FRONT SECTION"}</definedName>
    <definedName name="хэ" localSheetId="11" hidden="1">{#N/A,#N/A,TRUE,"Смета на пасс. обор. №1"}</definedName>
    <definedName name="хэ" localSheetId="19" hidden="1">{#N/A,#N/A,TRUE,"Смета на пасс. обор. №1"}</definedName>
    <definedName name="хэ" localSheetId="21" hidden="1">{#N/A,#N/A,TRUE,"Смета на пасс. обор. №1"}</definedName>
    <definedName name="хэ" localSheetId="20" hidden="1">{#N/A,#N/A,TRUE,"Смета на пасс. обор. №1"}</definedName>
    <definedName name="хэ" localSheetId="4" hidden="1">{#N/A,#N/A,TRUE,"Смета на пасс. обор. №1"}</definedName>
    <definedName name="хэ" localSheetId="18" hidden="1">{#N/A,#N/A,TRUE,"Смета на пасс. обор. №1"}</definedName>
    <definedName name="хэ" localSheetId="10" hidden="1">{#N/A,#N/A,TRUE,"Смета на пасс. обор. №1"}</definedName>
    <definedName name="хэ" hidden="1">{#N/A,#N/A,TRUE,"Смета на пасс. обор. №1"}</definedName>
    <definedName name="хэ_1" localSheetId="11" hidden="1">{#N/A,#N/A,TRUE,"Смета на пасс. обор. №1"}</definedName>
    <definedName name="хэ_1" localSheetId="19" hidden="1">{#N/A,#N/A,TRUE,"Смета на пасс. обор. №1"}</definedName>
    <definedName name="хэ_1" localSheetId="21" hidden="1">{#N/A,#N/A,TRUE,"Смета на пасс. обор. №1"}</definedName>
    <definedName name="хэ_1" localSheetId="20" hidden="1">{#N/A,#N/A,TRUE,"Смета на пасс. обор. №1"}</definedName>
    <definedName name="хэ_1" localSheetId="4" hidden="1">{#N/A,#N/A,TRUE,"Смета на пасс. обор. №1"}</definedName>
    <definedName name="хэ_1" localSheetId="18" hidden="1">{#N/A,#N/A,TRUE,"Смета на пасс. обор. №1"}</definedName>
    <definedName name="хэ_1" localSheetId="10" hidden="1">{#N/A,#N/A,TRUE,"Смета на пасс. обор. №1"}</definedName>
    <definedName name="хэ_1" hidden="1">{#N/A,#N/A,TRUE,"Смета на пасс. обор. №1"}</definedName>
    <definedName name="ц" localSheetId="20" hidden="1">{#N/A,#N/A,TRUE,"Смета на пасс. обор. №1"}</definedName>
    <definedName name="цвет" localSheetId="11" hidden="1">{#N/A,#N/A,TRUE,"Смета на пасс. обор. №1"}</definedName>
    <definedName name="цвет" localSheetId="19" hidden="1">{#N/A,#N/A,TRUE,"Смета на пасс. обор. №1"}</definedName>
    <definedName name="цвет" localSheetId="21" hidden="1">{#N/A,#N/A,TRUE,"Смета на пасс. обор. №1"}</definedName>
    <definedName name="цвет" localSheetId="20" hidden="1">{#N/A,#N/A,TRUE,"Смета на пасс. обор. №1"}</definedName>
    <definedName name="цвет" localSheetId="4" hidden="1">{#N/A,#N/A,TRUE,"Смета на пасс. обор. №1"}</definedName>
    <definedName name="цвет" localSheetId="18" hidden="1">{#N/A,#N/A,TRUE,"Смета на пасс. обор. №1"}</definedName>
    <definedName name="цвет" localSheetId="10" hidden="1">{#N/A,#N/A,TRUE,"Смета на пасс. обор. №1"}</definedName>
    <definedName name="цвет" hidden="1">{#N/A,#N/A,TRUE,"Смета на пасс. обор. №1"}</definedName>
    <definedName name="цвет_1" localSheetId="11" hidden="1">{#N/A,#N/A,TRUE,"Смета на пасс. обор. №1"}</definedName>
    <definedName name="цвет_1" localSheetId="19" hidden="1">{#N/A,#N/A,TRUE,"Смета на пасс. обор. №1"}</definedName>
    <definedName name="цвет_1" localSheetId="21" hidden="1">{#N/A,#N/A,TRUE,"Смета на пасс. обор. №1"}</definedName>
    <definedName name="цвет_1" localSheetId="20" hidden="1">{#N/A,#N/A,TRUE,"Смета на пасс. обор. №1"}</definedName>
    <definedName name="цвет_1" localSheetId="4" hidden="1">{#N/A,#N/A,TRUE,"Смета на пасс. обор. №1"}</definedName>
    <definedName name="цвет_1" localSheetId="18" hidden="1">{#N/A,#N/A,TRUE,"Смета на пасс. обор. №1"}</definedName>
    <definedName name="цвет_1" localSheetId="10" hidden="1">{#N/A,#N/A,TRUE,"Смета на пасс. обор. №1"}</definedName>
    <definedName name="цвет_1" hidden="1">{#N/A,#N/A,TRUE,"Смета на пасс. обор. №1"}</definedName>
    <definedName name="цуе" localSheetId="11" hidden="1">{#N/A,#N/A,TRUE,"Смета на пасс. обор. №1"}</definedName>
    <definedName name="цуе" localSheetId="19" hidden="1">{#N/A,#N/A,TRUE,"Смета на пасс. обор. №1"}</definedName>
    <definedName name="цуе" localSheetId="21" hidden="1">{#N/A,#N/A,TRUE,"Смета на пасс. обор. №1"}</definedName>
    <definedName name="цуе" localSheetId="20" hidden="1">{#N/A,#N/A,TRUE,"Смета на пасс. обор. №1"}</definedName>
    <definedName name="цуе" localSheetId="4" hidden="1">{#N/A,#N/A,TRUE,"Смета на пасс. обор. №1"}</definedName>
    <definedName name="цуе" localSheetId="18" hidden="1">{#N/A,#N/A,TRUE,"Смета на пасс. обор. №1"}</definedName>
    <definedName name="цуе" localSheetId="10" hidden="1">{#N/A,#N/A,TRUE,"Смета на пасс. обор. №1"}</definedName>
    <definedName name="цуе" hidden="1">{#N/A,#N/A,TRUE,"Смета на пасс. обор. №1"}</definedName>
    <definedName name="цц" localSheetId="11" hidden="1">{#N/A,#N/A,TRUE,"Смета на пасс. обор. №1"}</definedName>
    <definedName name="цц" localSheetId="19" hidden="1">{#N/A,#N/A,TRUE,"Смета на пасс. обор. №1"}</definedName>
    <definedName name="цц" localSheetId="21" hidden="1">{#N/A,#N/A,TRUE,"Смета на пасс. обор. №1"}</definedName>
    <definedName name="цц" localSheetId="20" hidden="1">{#N/A,#N/A,TRUE,"Смета на пасс. обор. №1"}</definedName>
    <definedName name="цц" localSheetId="4" hidden="1">{#N/A,#N/A,TRUE,"Смета на пасс. обор. №1"}</definedName>
    <definedName name="цц" localSheetId="10" hidden="1">{#N/A,#N/A,TRUE,"Смета на пасс. обор. №1"}</definedName>
    <definedName name="цц" hidden="1">{#N/A,#N/A,TRUE,"Смета на пасс. обор. №1"}</definedName>
    <definedName name="ч" localSheetId="11" hidden="1">{#N/A,#N/A,TRUE,"Смета на пасс. обор. №1"}</definedName>
    <definedName name="ч" localSheetId="19" hidden="1">{#N/A,#N/A,TRUE,"Смета на пасс. обор. №1"}</definedName>
    <definedName name="ч" localSheetId="21" hidden="1">{#N/A,#N/A,TRUE,"Смета на пасс. обор. №1"}</definedName>
    <definedName name="ч" localSheetId="20" hidden="1">{#N/A,#N/A,TRUE,"Смета на пасс. обор. №1"}</definedName>
    <definedName name="ч" localSheetId="4" hidden="1">{#N/A,#N/A,TRUE,"Смета на пасс. обор. №1"}</definedName>
    <definedName name="ч" localSheetId="18" hidden="1">{#N/A,#N/A,TRUE,"Смета на пасс. обор. №1"}</definedName>
    <definedName name="ч" localSheetId="10" hidden="1">{#N/A,#N/A,TRUE,"Смета на пасс. обор. №1"}</definedName>
    <definedName name="ч" hidden="1">{#N/A,#N/A,TRUE,"Смета на пасс. обор. №1"}</definedName>
    <definedName name="ч_1" localSheetId="11" hidden="1">{#N/A,#N/A,TRUE,"Смета на пасс. обор. №1"}</definedName>
    <definedName name="ч_1" localSheetId="19" hidden="1">{#N/A,#N/A,TRUE,"Смета на пасс. обор. №1"}</definedName>
    <definedName name="ч_1" localSheetId="21" hidden="1">{#N/A,#N/A,TRUE,"Смета на пасс. обор. №1"}</definedName>
    <definedName name="ч_1" localSheetId="20" hidden="1">{#N/A,#N/A,TRUE,"Смета на пасс. обор. №1"}</definedName>
    <definedName name="ч_1" localSheetId="4" hidden="1">{#N/A,#N/A,TRUE,"Смета на пасс. обор. №1"}</definedName>
    <definedName name="ч_1" localSheetId="18" hidden="1">{#N/A,#N/A,TRUE,"Смета на пасс. обор. №1"}</definedName>
    <definedName name="ч_1" localSheetId="10" hidden="1">{#N/A,#N/A,TRUE,"Смета на пасс. обор. №1"}</definedName>
    <definedName name="ч_1" hidden="1">{#N/A,#N/A,TRUE,"Смета на пасс. обор. №1"}</definedName>
    <definedName name="ш" localSheetId="11" hidden="1">{#N/A,#N/A,TRUE,"Смета на пасс. обор. №1"}</definedName>
    <definedName name="ш" localSheetId="19" hidden="1">{#N/A,#N/A,TRUE,"Смета на пасс. обор. №1"}</definedName>
    <definedName name="ш" localSheetId="21" hidden="1">{#N/A,#N/A,TRUE,"Смета на пасс. обор. №1"}</definedName>
    <definedName name="ш" localSheetId="20" hidden="1">{#N/A,#N/A,TRUE,"Смета на пасс. обор. №1"}</definedName>
    <definedName name="ш" localSheetId="4" hidden="1">{#N/A,#N/A,TRUE,"Смета на пасс. обор. №1"}</definedName>
    <definedName name="ш" localSheetId="10" hidden="1">{#N/A,#N/A,TRUE,"Смета на пасс. обор. №1"}</definedName>
    <definedName name="ш" hidden="1">{#N/A,#N/A,TRUE,"Смета на пасс. обор. №1"}</definedName>
    <definedName name="ш_1" localSheetId="11" hidden="1">{#N/A,#N/A,TRUE,"Смета на пасс. обор. №1"}</definedName>
    <definedName name="ш_1" localSheetId="19" hidden="1">{#N/A,#N/A,TRUE,"Смета на пасс. обор. №1"}</definedName>
    <definedName name="ш_1" localSheetId="21" hidden="1">{#N/A,#N/A,TRUE,"Смета на пасс. обор. №1"}</definedName>
    <definedName name="ш_1" localSheetId="20" hidden="1">{#N/A,#N/A,TRUE,"Смета на пасс. обор. №1"}</definedName>
    <definedName name="ш_1" localSheetId="4" hidden="1">{#N/A,#N/A,TRUE,"Смета на пасс. обор. №1"}</definedName>
    <definedName name="ш_1" localSheetId="18" hidden="1">{#N/A,#N/A,TRUE,"Смета на пасс. обор. №1"}</definedName>
    <definedName name="ш_1" localSheetId="10" hidden="1">{#N/A,#N/A,TRUE,"Смета на пасс. обор. №1"}</definedName>
    <definedName name="ш_1" hidden="1">{#N/A,#N/A,TRUE,"Смета на пасс. обор. №1"}</definedName>
    <definedName name="ы" localSheetId="11" hidden="1">{#N/A,#N/A,TRUE,"Смета на пасс. обор. №1"}</definedName>
    <definedName name="ы" localSheetId="19" hidden="1">{#N/A,#N/A,TRUE,"Смета на пасс. обор. №1"}</definedName>
    <definedName name="ы" localSheetId="21" hidden="1">{#N/A,#N/A,TRUE,"Смета на пасс. обор. №1"}</definedName>
    <definedName name="ы" localSheetId="20" hidden="1">{#N/A,#N/A,TRUE,"Смета на пасс. обор. №1"}</definedName>
    <definedName name="ы" localSheetId="4" hidden="1">{#N/A,#N/A,TRUE,"Смета на пасс. обор. №1"}</definedName>
    <definedName name="ы" localSheetId="10" hidden="1">{#N/A,#N/A,TRUE,"Смета на пасс. обор. №1"}</definedName>
    <definedName name="ы" hidden="1">{#N/A,#N/A,TRUE,"Смета на пасс. обор. №1"}</definedName>
    <definedName name="ы_1" localSheetId="11" hidden="1">{#N/A,#N/A,TRUE,"Смета на пасс. обор. №1"}</definedName>
    <definedName name="ы_1" localSheetId="19" hidden="1">{#N/A,#N/A,TRUE,"Смета на пасс. обор. №1"}</definedName>
    <definedName name="ы_1" localSheetId="21" hidden="1">{#N/A,#N/A,TRUE,"Смета на пасс. обор. №1"}</definedName>
    <definedName name="ы_1" localSheetId="20" hidden="1">{#N/A,#N/A,TRUE,"Смета на пасс. обор. №1"}</definedName>
    <definedName name="ы_1" localSheetId="4" hidden="1">{#N/A,#N/A,TRUE,"Смета на пасс. обор. №1"}</definedName>
    <definedName name="ы_1" localSheetId="18" hidden="1">{#N/A,#N/A,TRUE,"Смета на пасс. обор. №1"}</definedName>
    <definedName name="ы_1" localSheetId="10" hidden="1">{#N/A,#N/A,TRUE,"Смета на пасс. обор. №1"}</definedName>
    <definedName name="ы_1" hidden="1">{#N/A,#N/A,TRUE,"Смета на пасс. обор. №1"}</definedName>
    <definedName name="ыаролд" localSheetId="11" hidden="1">{#N/A,#N/A,TRUE,"Смета на пасс. обор. №1"}</definedName>
    <definedName name="ыаролд" localSheetId="19" hidden="1">{#N/A,#N/A,TRUE,"Смета на пасс. обор. №1"}</definedName>
    <definedName name="ыаролд" localSheetId="21" hidden="1">{#N/A,#N/A,TRUE,"Смета на пасс. обор. №1"}</definedName>
    <definedName name="ыаролд" localSheetId="20" hidden="1">{#N/A,#N/A,TRUE,"Смета на пасс. обор. №1"}</definedName>
    <definedName name="ыаролд" localSheetId="4" hidden="1">{#N/A,#N/A,TRUE,"Смета на пасс. обор. №1"}</definedName>
    <definedName name="ыаролд" localSheetId="10" hidden="1">{#N/A,#N/A,TRUE,"Смета на пасс. обор. №1"}</definedName>
    <definedName name="ыаролд" hidden="1">{#N/A,#N/A,TRUE,"Смета на пасс. обор. №1"}</definedName>
    <definedName name="ыва" localSheetId="11" hidden="1">{#N/A,#N/A,TRUE,"Смета на пасс. обор. №1"}</definedName>
    <definedName name="ыва" localSheetId="19" hidden="1">{#N/A,#N/A,TRUE,"Смета на пасс. обор. №1"}</definedName>
    <definedName name="ыва" localSheetId="21" hidden="1">{#N/A,#N/A,TRUE,"Смета на пасс. обор. №1"}</definedName>
    <definedName name="ыва" localSheetId="20" hidden="1">{#N/A,#N/A,TRUE,"Смета на пасс. обор. №1"}</definedName>
    <definedName name="ыва" localSheetId="4" hidden="1">{#N/A,#N/A,TRUE,"Смета на пасс. обор. №1"}</definedName>
    <definedName name="ыва" localSheetId="10" hidden="1">{#N/A,#N/A,TRUE,"Смета на пасс. обор. №1"}</definedName>
    <definedName name="ыва" hidden="1">{#N/A,#N/A,TRUE,"Смета на пасс. обор. №1"}</definedName>
    <definedName name="ыва_1" localSheetId="11" hidden="1">{#N/A,#N/A,TRUE,"Смета на пасс. обор. №1"}</definedName>
    <definedName name="ыва_1" localSheetId="19" hidden="1">{#N/A,#N/A,TRUE,"Смета на пасс. обор. №1"}</definedName>
    <definedName name="ыва_1" localSheetId="21" hidden="1">{#N/A,#N/A,TRUE,"Смета на пасс. обор. №1"}</definedName>
    <definedName name="ыва_1" localSheetId="20" hidden="1">{#N/A,#N/A,TRUE,"Смета на пасс. обор. №1"}</definedName>
    <definedName name="ыва_1" localSheetId="4" hidden="1">{#N/A,#N/A,TRUE,"Смета на пасс. обор. №1"}</definedName>
    <definedName name="ыва_1" localSheetId="18" hidden="1">{#N/A,#N/A,TRUE,"Смета на пасс. обор. №1"}</definedName>
    <definedName name="ыва_1" localSheetId="10" hidden="1">{#N/A,#N/A,TRUE,"Смета на пасс. обор. №1"}</definedName>
    <definedName name="ыва_1" hidden="1">{#N/A,#N/A,TRUE,"Смета на пасс. обор. №1"}</definedName>
    <definedName name="ыыыы" localSheetId="20" hidden="1">{#N/A,#N/A,TRUE,"Смета на пасс. обор. №1"}</definedName>
    <definedName name="ьььь" localSheetId="11" hidden="1">{#N/A,#N/A,TRUE,"Смета на пасс. обор. №1"}</definedName>
    <definedName name="ьььь" localSheetId="19" hidden="1">{#N/A,#N/A,TRUE,"Смета на пасс. обор. №1"}</definedName>
    <definedName name="ьььь" localSheetId="21" hidden="1">{#N/A,#N/A,TRUE,"Смета на пасс. обор. №1"}</definedName>
    <definedName name="ьььь" localSheetId="20" hidden="1">{#N/A,#N/A,TRUE,"Смета на пасс. обор. №1"}</definedName>
    <definedName name="ьььь" localSheetId="4" hidden="1">{#N/A,#N/A,TRUE,"Смета на пасс. обор. №1"}</definedName>
    <definedName name="ьььь" localSheetId="10" hidden="1">{#N/A,#N/A,TRUE,"Смета на пасс. обор. №1"}</definedName>
    <definedName name="ьььь" hidden="1">{#N/A,#N/A,TRUE,"Смета на пасс. обор. №1"}</definedName>
    <definedName name="эл" localSheetId="11" hidden="1">{#N/A,#N/A,TRUE,"Смета на пасс. обор. №1"}</definedName>
    <definedName name="эл" localSheetId="19" hidden="1">{#N/A,#N/A,TRUE,"Смета на пасс. обор. №1"}</definedName>
    <definedName name="эл" localSheetId="21" hidden="1">{#N/A,#N/A,TRUE,"Смета на пасс. обор. №1"}</definedName>
    <definedName name="эл" localSheetId="20" hidden="1">{#N/A,#N/A,TRUE,"Смета на пасс. обор. №1"}</definedName>
    <definedName name="эл" localSheetId="4" hidden="1">{#N/A,#N/A,TRUE,"Смета на пасс. обор. №1"}</definedName>
    <definedName name="эл" localSheetId="18" hidden="1">{#N/A,#N/A,TRUE,"Смета на пасс. обор. №1"}</definedName>
    <definedName name="эл" localSheetId="10" hidden="1">{#N/A,#N/A,TRUE,"Смета на пасс. обор. №1"}</definedName>
    <definedName name="эл" hidden="1">{#N/A,#N/A,TRUE,"Смета на пасс. обор. №1"}</definedName>
    <definedName name="Эл.щиты" localSheetId="11" hidden="1">{"IMRAK42x8x8",#N/A,TRUE,"IMRAK 1400 42U 800X800";"IMRAK32x6x6",#N/A,TRUE,"IMRAK 1400 32U 600x600";"IMRAK42x12x8",#N/A,TRUE,"IMRAK 1400 42U 1200x800";"IMRAK15x6x4",#N/A,TRUE,"IMRAK 400 15U FRONT SECTION"}</definedName>
    <definedName name="Эл.щиты" localSheetId="19" hidden="1">{"IMRAK42x8x8",#N/A,TRUE,"IMRAK 1400 42U 800X800";"IMRAK32x6x6",#N/A,TRUE,"IMRAK 1400 32U 600x600";"IMRAK42x12x8",#N/A,TRUE,"IMRAK 1400 42U 1200x800";"IMRAK15x6x4",#N/A,TRUE,"IMRAK 400 15U FRONT SECTION"}</definedName>
    <definedName name="Эл.щиты" localSheetId="21" hidden="1">{"IMRAK42x8x8",#N/A,TRUE,"IMRAK 1400 42U 800X800";"IMRAK32x6x6",#N/A,TRUE,"IMRAK 1400 32U 600x600";"IMRAK42x12x8",#N/A,TRUE,"IMRAK 1400 42U 1200x800";"IMRAK15x6x4",#N/A,TRUE,"IMRAK 400 15U FRONT SECTION"}</definedName>
    <definedName name="Эл.щиты" localSheetId="20" hidden="1">{"IMRAK42x8x8",#N/A,TRUE,"IMRAK 1400 42U 800X800";"IMRAK32x6x6",#N/A,TRUE,"IMRAK 1400 32U 600x600";"IMRAK42x12x8",#N/A,TRUE,"IMRAK 1400 42U 1200x800";"IMRAK15x6x4",#N/A,TRUE,"IMRAK 400 15U FRONT SECTION"}</definedName>
    <definedName name="Эл.щиты" localSheetId="4" hidden="1">{"IMRAK42x8x8",#N/A,TRUE,"IMRAK 1400 42U 800X800";"IMRAK32x6x6",#N/A,TRUE,"IMRAK 1400 32U 600x600";"IMRAK42x12x8",#N/A,TRUE,"IMRAK 1400 42U 1200x800";"IMRAK15x6x4",#N/A,TRUE,"IMRAK 400 15U FRONT SECTION"}</definedName>
    <definedName name="Эл.щиты" localSheetId="10" hidden="1">{"IMRAK42x8x8",#N/A,TRUE,"IMRAK 1400 42U 800X800";"IMRAK32x6x6",#N/A,TRUE,"IMRAK 1400 32U 600x600";"IMRAK42x12x8",#N/A,TRUE,"IMRAK 1400 42U 1200x800";"IMRAK15x6x4",#N/A,TRUE,"IMRAK 400 15U FRONT SECTION"}</definedName>
    <definedName name="Эл.щиты" hidden="1">{"IMRAK42x8x8",#N/A,TRUE,"IMRAK 1400 42U 800X800";"IMRAK32x6x6",#N/A,TRUE,"IMRAK 1400 32U 600x600";"IMRAK42x12x8",#N/A,TRUE,"IMRAK 1400 42U 1200x800";"IMRAK15x6x4",#N/A,TRUE,"IMRAK 400 15U FRONT SECTION"}</definedName>
    <definedName name="эл_1" localSheetId="11" hidden="1">{#N/A,#N/A,TRUE,"Смета на пасс. обор. №1"}</definedName>
    <definedName name="эл_1" localSheetId="19" hidden="1">{#N/A,#N/A,TRUE,"Смета на пасс. обор. №1"}</definedName>
    <definedName name="эл_1" localSheetId="21" hidden="1">{#N/A,#N/A,TRUE,"Смета на пасс. обор. №1"}</definedName>
    <definedName name="эл_1" localSheetId="20" hidden="1">{#N/A,#N/A,TRUE,"Смета на пасс. обор. №1"}</definedName>
    <definedName name="эл_1" localSheetId="4" hidden="1">{#N/A,#N/A,TRUE,"Смета на пасс. обор. №1"}</definedName>
    <definedName name="эл_1" localSheetId="18" hidden="1">{#N/A,#N/A,TRUE,"Смета на пасс. обор. №1"}</definedName>
    <definedName name="эл_1" localSheetId="10" hidden="1">{#N/A,#N/A,TRUE,"Смета на пасс. обор. №1"}</definedName>
    <definedName name="эл_1" hidden="1">{#N/A,#N/A,TRUE,"Смета на пасс. обор. №1"}</definedName>
    <definedName name="юю" localSheetId="11" hidden="1">{#N/A,#N/A,TRUE,"Смета на пасс. обор. №1"}</definedName>
    <definedName name="юю" localSheetId="19" hidden="1">{#N/A,#N/A,TRUE,"Смета на пасс. обор. №1"}</definedName>
    <definedName name="юю" localSheetId="21" hidden="1">{#N/A,#N/A,TRUE,"Смета на пасс. обор. №1"}</definedName>
    <definedName name="юю" localSheetId="20" hidden="1">{#N/A,#N/A,TRUE,"Смета на пасс. обор. №1"}</definedName>
    <definedName name="юю" localSheetId="4" hidden="1">{#N/A,#N/A,TRUE,"Смета на пасс. обор. №1"}</definedName>
    <definedName name="юю" localSheetId="10" hidden="1">{#N/A,#N/A,TRUE,"Смета на пасс. обор. №1"}</definedName>
    <definedName name="юю" hidden="1">{#N/A,#N/A,TRUE,"Смета на пасс. обор. №1"}</definedName>
    <definedName name="ююю" localSheetId="11" hidden="1">{#N/A,#N/A,TRUE,"Смета на пасс. обор. №1"}</definedName>
    <definedName name="ююю" localSheetId="19" hidden="1">{#N/A,#N/A,TRUE,"Смета на пасс. обор. №1"}</definedName>
    <definedName name="ююю" localSheetId="21" hidden="1">{#N/A,#N/A,TRUE,"Смета на пасс. обор. №1"}</definedName>
    <definedName name="ююю" localSheetId="20" hidden="1">{#N/A,#N/A,TRUE,"Смета на пасс. обор. №1"}</definedName>
    <definedName name="ююю" localSheetId="4" hidden="1">{#N/A,#N/A,TRUE,"Смета на пасс. обор. №1"}</definedName>
    <definedName name="ююю" localSheetId="10" hidden="1">{#N/A,#N/A,TRUE,"Смета на пасс. обор. №1"}</definedName>
    <definedName name="ююю" hidden="1">{#N/A,#N/A,TRUE,"Смета на пасс. обор. №1"}</definedName>
    <definedName name="ююю_1" localSheetId="11" hidden="1">{#N/A,#N/A,TRUE,"Смета на пасс. обор. №1"}</definedName>
    <definedName name="ююю_1" localSheetId="19" hidden="1">{#N/A,#N/A,TRUE,"Смета на пасс. обор. №1"}</definedName>
    <definedName name="ююю_1" localSheetId="21" hidden="1">{#N/A,#N/A,TRUE,"Смета на пасс. обор. №1"}</definedName>
    <definedName name="ююю_1" localSheetId="20" hidden="1">{#N/A,#N/A,TRUE,"Смета на пасс. обор. №1"}</definedName>
    <definedName name="ююю_1" localSheetId="4" hidden="1">{#N/A,#N/A,TRUE,"Смета на пасс. обор. №1"}</definedName>
    <definedName name="ююю_1" localSheetId="18" hidden="1">{#N/A,#N/A,TRUE,"Смета на пасс. обор. №1"}</definedName>
    <definedName name="ююю_1" localSheetId="10" hidden="1">{#N/A,#N/A,TRUE,"Смета на пасс. обор. №1"}</definedName>
    <definedName name="ююю_1" hidden="1">{#N/A,#N/A,TRUE,"Смета на пасс. обор. №1"}</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33" l="1"/>
  <c r="C14" i="33"/>
  <c r="C13" i="33"/>
  <c r="K12" i="205"/>
  <c r="A2" i="33"/>
  <c r="I11" i="205"/>
  <c r="I10" i="205"/>
  <c r="B2" i="205" l="1"/>
  <c r="A3" i="37"/>
  <c r="C5" i="179" l="1"/>
  <c r="B5" i="179"/>
  <c r="F22" i="26"/>
  <c r="M19" i="229"/>
  <c r="M333" i="229" s="1"/>
  <c r="M334" i="229" s="1"/>
  <c r="M35" i="229"/>
  <c r="M53" i="229"/>
  <c r="M69" i="229"/>
  <c r="M84" i="229"/>
  <c r="M95" i="229"/>
  <c r="M106" i="229"/>
  <c r="M129" i="229"/>
  <c r="M151" i="229"/>
  <c r="M164" i="229"/>
  <c r="M179" i="229"/>
  <c r="M198" i="229"/>
  <c r="M219" i="229"/>
  <c r="M231" i="229"/>
  <c r="M243" i="229"/>
  <c r="M260" i="229"/>
  <c r="M273" i="229"/>
  <c r="M288" i="229"/>
  <c r="M308" i="229"/>
  <c r="M324" i="229"/>
  <c r="M336" i="229"/>
  <c r="M829" i="229" s="1"/>
  <c r="M830" i="229" s="1"/>
  <c r="M349" i="229"/>
  <c r="M362" i="229"/>
  <c r="M371" i="229"/>
  <c r="M380" i="229"/>
  <c r="M390" i="229"/>
  <c r="M399" i="229"/>
  <c r="M408" i="229"/>
  <c r="M421" i="229"/>
  <c r="M432" i="229"/>
  <c r="M445" i="229"/>
  <c r="M457" i="229"/>
  <c r="M470" i="229"/>
  <c r="M482" i="229"/>
  <c r="M495" i="229"/>
  <c r="M507" i="229"/>
  <c r="M520" i="229"/>
  <c r="M532" i="229"/>
  <c r="M543" i="229"/>
  <c r="M555" i="229"/>
  <c r="M567" i="229"/>
  <c r="M579" i="229"/>
  <c r="M591" i="229"/>
  <c r="M603" i="229"/>
  <c r="M614" i="229"/>
  <c r="M626" i="229"/>
  <c r="M669" i="229"/>
  <c r="M681" i="229"/>
  <c r="M694" i="229"/>
  <c r="M715" i="229"/>
  <c r="M724" i="229"/>
  <c r="M746" i="229"/>
  <c r="M757" i="229"/>
  <c r="M769" i="229"/>
  <c r="M781" i="229"/>
  <c r="M790" i="229"/>
  <c r="M799" i="229"/>
  <c r="M807" i="229"/>
  <c r="M817" i="229"/>
  <c r="M832" i="229"/>
  <c r="M841" i="229"/>
  <c r="M854" i="229"/>
  <c r="M889" i="229" s="1"/>
  <c r="M890" i="229" s="1"/>
  <c r="M871" i="229"/>
  <c r="M19" i="228"/>
  <c r="M41" i="228"/>
  <c r="M65" i="228"/>
  <c r="M86" i="228"/>
  <c r="M105" i="228"/>
  <c r="M117" i="228"/>
  <c r="M129" i="228"/>
  <c r="M157" i="228"/>
  <c r="M409" i="228" s="1"/>
  <c r="M410" i="228" s="1"/>
  <c r="M184" i="228"/>
  <c r="M201" i="228"/>
  <c r="M222" i="228"/>
  <c r="M246" i="228"/>
  <c r="M272" i="228"/>
  <c r="M285" i="228"/>
  <c r="M298" i="228"/>
  <c r="M317" i="228"/>
  <c r="M335" i="228"/>
  <c r="M352" i="228"/>
  <c r="M376" i="228"/>
  <c r="M397" i="228"/>
  <c r="M412" i="228"/>
  <c r="M426" i="228"/>
  <c r="M982" i="228" s="1"/>
  <c r="M983" i="228" s="1"/>
  <c r="M443" i="228"/>
  <c r="M455" i="228"/>
  <c r="M467" i="228"/>
  <c r="M480" i="228"/>
  <c r="M492" i="228"/>
  <c r="M505" i="228"/>
  <c r="M520" i="228"/>
  <c r="M534" i="228"/>
  <c r="M549" i="228"/>
  <c r="M563" i="228"/>
  <c r="M578" i="228"/>
  <c r="M592" i="228"/>
  <c r="M607" i="228"/>
  <c r="M621" i="228"/>
  <c r="M636" i="228"/>
  <c r="M650" i="228"/>
  <c r="M663" i="228"/>
  <c r="M677" i="228"/>
  <c r="M691" i="228"/>
  <c r="M706" i="228"/>
  <c r="M721" i="228"/>
  <c r="M735" i="228"/>
  <c r="M748" i="228"/>
  <c r="M762" i="228"/>
  <c r="M803" i="228"/>
  <c r="M816" i="228"/>
  <c r="M832" i="228"/>
  <c r="M856" i="228"/>
  <c r="M865" i="228"/>
  <c r="M890" i="228"/>
  <c r="M904" i="228"/>
  <c r="M918" i="228"/>
  <c r="M932" i="228"/>
  <c r="M941" i="228"/>
  <c r="M950" i="228"/>
  <c r="M958" i="228"/>
  <c r="M968" i="228"/>
  <c r="M985" i="228"/>
  <c r="M1052" i="228" s="1"/>
  <c r="M1053" i="228" s="1"/>
  <c r="M998" i="228"/>
  <c r="M1013" i="228"/>
  <c r="M1032" i="228"/>
  <c r="M1055" i="228"/>
  <c r="M1064" i="228"/>
  <c r="M1074" i="228"/>
  <c r="M1075" i="228" s="1"/>
  <c r="M891" i="229" l="1"/>
  <c r="M892" i="229" s="1"/>
  <c r="F894" i="229" s="1"/>
  <c r="M1076" i="228"/>
  <c r="M1077" i="228" s="1"/>
  <c r="F1079" i="228" s="1"/>
  <c r="C6" i="33" l="1"/>
  <c r="F68" i="130"/>
  <c r="F71" i="130"/>
  <c r="F72" i="130" s="1"/>
  <c r="J11" i="205" s="1"/>
  <c r="D71" i="130"/>
  <c r="F69" i="130"/>
  <c r="J10" i="205" l="1"/>
  <c r="C5" i="33"/>
  <c r="C72" i="130"/>
  <c r="J190" i="222" l="1"/>
  <c r="I190" i="222"/>
  <c r="H190" i="222"/>
  <c r="J189" i="222"/>
  <c r="I189" i="222"/>
  <c r="H189" i="222"/>
  <c r="K189" i="222" s="1"/>
  <c r="L189" i="222" s="1"/>
  <c r="O189" i="222" s="1"/>
  <c r="S189" i="222" s="1"/>
  <c r="U189" i="222" s="1"/>
  <c r="W189" i="222" s="1"/>
  <c r="J188" i="222"/>
  <c r="I188" i="222"/>
  <c r="H188" i="222"/>
  <c r="B187" i="222"/>
  <c r="B188" i="222" s="1"/>
  <c r="B189" i="222" s="1"/>
  <c r="B190" i="222" s="1"/>
  <c r="V147" i="222"/>
  <c r="T147" i="222"/>
  <c r="L147" i="222"/>
  <c r="O147" i="222" s="1"/>
  <c r="S147" i="222" s="1"/>
  <c r="H147" i="222"/>
  <c r="E147" i="222"/>
  <c r="V146" i="222"/>
  <c r="T146" i="222"/>
  <c r="S146" i="222"/>
  <c r="U146" i="222" s="1"/>
  <c r="H146" i="222"/>
  <c r="E146" i="222"/>
  <c r="L146" i="222" s="1"/>
  <c r="O146" i="222" s="1"/>
  <c r="V145" i="222"/>
  <c r="T145" i="222"/>
  <c r="H145" i="222"/>
  <c r="E145" i="222"/>
  <c r="L145" i="222" s="1"/>
  <c r="O145" i="222" s="1"/>
  <c r="S145" i="222" s="1"/>
  <c r="U145" i="222" s="1"/>
  <c r="V144" i="222"/>
  <c r="T144" i="222"/>
  <c r="H144" i="222"/>
  <c r="E144" i="222"/>
  <c r="L144" i="222" s="1"/>
  <c r="O144" i="222" s="1"/>
  <c r="S144" i="222" s="1"/>
  <c r="V143" i="222"/>
  <c r="T143" i="222"/>
  <c r="L143" i="222"/>
  <c r="O143" i="222" s="1"/>
  <c r="S143" i="222" s="1"/>
  <c r="U143" i="222" s="1"/>
  <c r="W143" i="222" s="1"/>
  <c r="H143" i="222"/>
  <c r="E143" i="222"/>
  <c r="V142" i="222"/>
  <c r="T142" i="222"/>
  <c r="S142" i="222"/>
  <c r="U142" i="222" s="1"/>
  <c r="H142" i="222"/>
  <c r="L142" i="222" s="1"/>
  <c r="O142" i="222" s="1"/>
  <c r="V141" i="222"/>
  <c r="T141" i="222"/>
  <c r="H141" i="222"/>
  <c r="L141" i="222" s="1"/>
  <c r="O141" i="222" s="1"/>
  <c r="S141" i="222" s="1"/>
  <c r="V140" i="222"/>
  <c r="T140" i="222"/>
  <c r="N140" i="222"/>
  <c r="H140" i="222"/>
  <c r="E140" i="222"/>
  <c r="L140" i="222" s="1"/>
  <c r="O140" i="222" s="1"/>
  <c r="S140" i="222" s="1"/>
  <c r="V139" i="222"/>
  <c r="T139" i="222"/>
  <c r="H139" i="222"/>
  <c r="L139" i="222" s="1"/>
  <c r="O139" i="222" s="1"/>
  <c r="S139" i="222" s="1"/>
  <c r="V138" i="222"/>
  <c r="T138" i="222"/>
  <c r="L138" i="222"/>
  <c r="O138" i="222" s="1"/>
  <c r="S138" i="222" s="1"/>
  <c r="H138" i="222"/>
  <c r="E138" i="222"/>
  <c r="B137" i="222"/>
  <c r="B138" i="222" s="1"/>
  <c r="B139" i="222" s="1"/>
  <c r="B140" i="222" s="1"/>
  <c r="B141" i="222" s="1"/>
  <c r="B142" i="222" s="1"/>
  <c r="B143" i="222" s="1"/>
  <c r="B144" i="222" s="1"/>
  <c r="B145" i="222" s="1"/>
  <c r="B146" i="222" s="1"/>
  <c r="B147" i="222" s="1"/>
  <c r="V134" i="222"/>
  <c r="T134" i="222"/>
  <c r="N134" i="222"/>
  <c r="L134" i="222"/>
  <c r="O134" i="222" s="1"/>
  <c r="S134" i="222" s="1"/>
  <c r="V133" i="222"/>
  <c r="T133" i="222"/>
  <c r="H133" i="222"/>
  <c r="L133" i="222" s="1"/>
  <c r="O133" i="222" s="1"/>
  <c r="S133" i="222" s="1"/>
  <c r="B133" i="222"/>
  <c r="B134" i="222" s="1"/>
  <c r="V132" i="222"/>
  <c r="T132" i="222"/>
  <c r="H132" i="222"/>
  <c r="E132" i="222"/>
  <c r="L132" i="222" s="1"/>
  <c r="O132" i="222" s="1"/>
  <c r="S132" i="222" s="1"/>
  <c r="V131" i="222"/>
  <c r="T131" i="222"/>
  <c r="H131" i="222"/>
  <c r="E131" i="222"/>
  <c r="L131" i="222" s="1"/>
  <c r="O131" i="222" s="1"/>
  <c r="S131" i="222" s="1"/>
  <c r="U131" i="222" s="1"/>
  <c r="W131" i="222" s="1"/>
  <c r="V130" i="222"/>
  <c r="T130" i="222"/>
  <c r="H130" i="222"/>
  <c r="L130" i="222" s="1"/>
  <c r="O130" i="222" s="1"/>
  <c r="S130" i="222" s="1"/>
  <c r="E130" i="222"/>
  <c r="V129" i="222"/>
  <c r="T129" i="222"/>
  <c r="H129" i="222"/>
  <c r="E129" i="222"/>
  <c r="L129" i="222" s="1"/>
  <c r="O129" i="222" s="1"/>
  <c r="S129" i="222" s="1"/>
  <c r="U129" i="222" s="1"/>
  <c r="V128" i="222"/>
  <c r="T128" i="222"/>
  <c r="H128" i="222"/>
  <c r="E128" i="222"/>
  <c r="L128" i="222" s="1"/>
  <c r="O128" i="222" s="1"/>
  <c r="S128" i="222" s="1"/>
  <c r="V127" i="222"/>
  <c r="T127" i="222"/>
  <c r="H127" i="222"/>
  <c r="E127" i="222"/>
  <c r="L127" i="222" s="1"/>
  <c r="O127" i="222" s="1"/>
  <c r="S127" i="222" s="1"/>
  <c r="U127" i="222" s="1"/>
  <c r="V126" i="222"/>
  <c r="T126" i="222"/>
  <c r="H126" i="222"/>
  <c r="L126" i="222" s="1"/>
  <c r="O126" i="222" s="1"/>
  <c r="S126" i="222" s="1"/>
  <c r="E125" i="222"/>
  <c r="V124" i="222"/>
  <c r="T124" i="222"/>
  <c r="N124" i="222"/>
  <c r="H124" i="222"/>
  <c r="L124" i="222" s="1"/>
  <c r="O124" i="222" s="1"/>
  <c r="S124" i="222" s="1"/>
  <c r="U124" i="222" s="1"/>
  <c r="W124" i="222" s="1"/>
  <c r="E123" i="222"/>
  <c r="V122" i="222"/>
  <c r="T122" i="222"/>
  <c r="N122" i="222"/>
  <c r="H122" i="222"/>
  <c r="L122" i="222" s="1"/>
  <c r="E121" i="222"/>
  <c r="B121" i="222"/>
  <c r="B122" i="222" s="1"/>
  <c r="B123" i="222" s="1"/>
  <c r="B124" i="222" s="1"/>
  <c r="B125" i="222" s="1"/>
  <c r="B126" i="222" s="1"/>
  <c r="B127" i="222" s="1"/>
  <c r="B128" i="222" s="1"/>
  <c r="B129" i="222" s="1"/>
  <c r="B130" i="222" s="1"/>
  <c r="V120" i="222"/>
  <c r="T120" i="222"/>
  <c r="N120" i="222"/>
  <c r="H120" i="222"/>
  <c r="L120" i="222" s="1"/>
  <c r="O120" i="222" s="1"/>
  <c r="S120" i="222" s="1"/>
  <c r="O115" i="222"/>
  <c r="B115" i="222"/>
  <c r="J109" i="222"/>
  <c r="I109" i="222"/>
  <c r="H109" i="222"/>
  <c r="L108" i="222"/>
  <c r="O108" i="222" s="1"/>
  <c r="S108" i="222" s="1"/>
  <c r="U108" i="222" s="1"/>
  <c r="W108" i="222" s="1"/>
  <c r="J108" i="222"/>
  <c r="I108" i="222"/>
  <c r="H108" i="222"/>
  <c r="K108" i="222" s="1"/>
  <c r="N107" i="222"/>
  <c r="K107" i="222"/>
  <c r="J107" i="222"/>
  <c r="I107" i="222"/>
  <c r="H107" i="222"/>
  <c r="E107" i="222"/>
  <c r="J106" i="222"/>
  <c r="I106" i="222"/>
  <c r="H106" i="222"/>
  <c r="E106" i="222"/>
  <c r="J103" i="222"/>
  <c r="I103" i="222"/>
  <c r="H103" i="222"/>
  <c r="E103" i="222"/>
  <c r="J93" i="222"/>
  <c r="I93" i="222"/>
  <c r="H93" i="222"/>
  <c r="L93" i="222" s="1"/>
  <c r="O93" i="222" s="1"/>
  <c r="S93" i="222" s="1"/>
  <c r="U93" i="222" s="1"/>
  <c r="W93" i="222" s="1"/>
  <c r="S91" i="222"/>
  <c r="U91" i="222" s="1"/>
  <c r="W91" i="222" s="1"/>
  <c r="J91" i="222"/>
  <c r="I91" i="222"/>
  <c r="H91" i="222"/>
  <c r="L91" i="222" s="1"/>
  <c r="O91" i="222" s="1"/>
  <c r="L87" i="222"/>
  <c r="O87" i="222" s="1"/>
  <c r="S87" i="222" s="1"/>
  <c r="U87" i="222" s="1"/>
  <c r="W87" i="222" s="1"/>
  <c r="J87" i="222"/>
  <c r="I87" i="222"/>
  <c r="H87" i="222"/>
  <c r="K87" i="222" s="1"/>
  <c r="E87" i="222"/>
  <c r="J83" i="222"/>
  <c r="I83" i="222"/>
  <c r="H83" i="222"/>
  <c r="L83" i="222" s="1"/>
  <c r="L81" i="222" s="1"/>
  <c r="S82" i="222"/>
  <c r="U82" i="222" s="1"/>
  <c r="O82" i="222"/>
  <c r="E79" i="222"/>
  <c r="L79" i="222" s="1"/>
  <c r="O79" i="222" s="1"/>
  <c r="S79" i="222" s="1"/>
  <c r="U79" i="222" s="1"/>
  <c r="W79" i="222" s="1"/>
  <c r="K78" i="222"/>
  <c r="J78" i="222"/>
  <c r="I78" i="222"/>
  <c r="H78" i="222"/>
  <c r="J76" i="222"/>
  <c r="I76" i="222"/>
  <c r="K76" i="222" s="1"/>
  <c r="H76" i="222"/>
  <c r="E76" i="222"/>
  <c r="E77" i="222" s="1"/>
  <c r="E78" i="222" s="1"/>
  <c r="L78" i="222" s="1"/>
  <c r="O78" i="222" s="1"/>
  <c r="S78" i="222" s="1"/>
  <c r="U78" i="222" s="1"/>
  <c r="W78" i="222" s="1"/>
  <c r="J73" i="222"/>
  <c r="I73" i="222"/>
  <c r="H73" i="222"/>
  <c r="K73" i="222" s="1"/>
  <c r="E73" i="222"/>
  <c r="O71" i="222"/>
  <c r="S71" i="222" s="1"/>
  <c r="U71" i="222" s="1"/>
  <c r="W71" i="222" s="1"/>
  <c r="J71" i="222"/>
  <c r="I71" i="222"/>
  <c r="H71" i="222"/>
  <c r="K71" i="222" s="1"/>
  <c r="E71" i="222"/>
  <c r="L71" i="222" s="1"/>
  <c r="O70" i="222"/>
  <c r="S70" i="222" s="1"/>
  <c r="U70" i="222" s="1"/>
  <c r="W70" i="222" s="1"/>
  <c r="J69" i="222"/>
  <c r="I69" i="222"/>
  <c r="H69" i="222"/>
  <c r="K69" i="222" s="1"/>
  <c r="E69" i="222"/>
  <c r="L69" i="222" s="1"/>
  <c r="O69" i="222" s="1"/>
  <c r="S69" i="222" s="1"/>
  <c r="U69" i="222" s="1"/>
  <c r="W69" i="222" s="1"/>
  <c r="O68" i="222"/>
  <c r="S68" i="222" s="1"/>
  <c r="U68" i="222" s="1"/>
  <c r="W68" i="222" s="1"/>
  <c r="J67" i="222"/>
  <c r="I67" i="222"/>
  <c r="K67" i="222" s="1"/>
  <c r="H67" i="222"/>
  <c r="E67" i="222"/>
  <c r="S66" i="222"/>
  <c r="U66" i="222" s="1"/>
  <c r="W66" i="222" s="1"/>
  <c r="O66" i="222"/>
  <c r="J65" i="222"/>
  <c r="I65" i="222"/>
  <c r="H65" i="222"/>
  <c r="K65" i="222" s="1"/>
  <c r="E65" i="222"/>
  <c r="K64" i="222"/>
  <c r="J64" i="222"/>
  <c r="I64" i="222"/>
  <c r="H64" i="222"/>
  <c r="E64" i="222"/>
  <c r="L64" i="222" s="1"/>
  <c r="O64" i="222" s="1"/>
  <c r="S64" i="222" s="1"/>
  <c r="U64" i="222" s="1"/>
  <c r="W64" i="222" s="1"/>
  <c r="J63" i="222"/>
  <c r="I63" i="222"/>
  <c r="H63" i="222"/>
  <c r="J62" i="222"/>
  <c r="I62" i="222"/>
  <c r="H62" i="222"/>
  <c r="K62" i="222" s="1"/>
  <c r="E62" i="222"/>
  <c r="K61" i="222"/>
  <c r="J61" i="222"/>
  <c r="I61" i="222"/>
  <c r="H61" i="222"/>
  <c r="E61" i="222"/>
  <c r="L61" i="222" s="1"/>
  <c r="O61" i="222" s="1"/>
  <c r="S61" i="222" s="1"/>
  <c r="U61" i="222" s="1"/>
  <c r="W61" i="222" s="1"/>
  <c r="AA60" i="222"/>
  <c r="Z60" i="222"/>
  <c r="AB60" i="222" s="1"/>
  <c r="H60" i="222"/>
  <c r="L60" i="222" s="1"/>
  <c r="O60" i="222" s="1"/>
  <c r="S60" i="222" s="1"/>
  <c r="U60" i="222" s="1"/>
  <c r="W60" i="222" s="1"/>
  <c r="E60" i="222"/>
  <c r="AA59" i="222"/>
  <c r="Z59" i="222"/>
  <c r="AB59" i="222" s="1"/>
  <c r="L59" i="222"/>
  <c r="O59" i="222" s="1"/>
  <c r="S59" i="222" s="1"/>
  <c r="U59" i="222" s="1"/>
  <c r="W59" i="222" s="1"/>
  <c r="H59" i="222"/>
  <c r="E59" i="222"/>
  <c r="AB58" i="222"/>
  <c r="AA58" i="222"/>
  <c r="Z58" i="222"/>
  <c r="H58" i="222"/>
  <c r="L58" i="222" s="1"/>
  <c r="O58" i="222" s="1"/>
  <c r="S58" i="222" s="1"/>
  <c r="U58" i="222" s="1"/>
  <c r="W58" i="222" s="1"/>
  <c r="E58" i="222"/>
  <c r="AA57" i="222"/>
  <c r="Z57" i="222"/>
  <c r="AB57" i="222" s="1"/>
  <c r="H57" i="222"/>
  <c r="E57" i="222"/>
  <c r="L57" i="222" s="1"/>
  <c r="O57" i="222" s="1"/>
  <c r="S57" i="222" s="1"/>
  <c r="U57" i="222" s="1"/>
  <c r="W57" i="222" s="1"/>
  <c r="L56" i="222"/>
  <c r="O56" i="222" s="1"/>
  <c r="S56" i="222" s="1"/>
  <c r="U56" i="222" s="1"/>
  <c r="W56" i="222" s="1"/>
  <c r="H56" i="222"/>
  <c r="J55" i="222"/>
  <c r="I55" i="222"/>
  <c r="K55" i="222" s="1"/>
  <c r="H55" i="222"/>
  <c r="J53" i="222"/>
  <c r="I53" i="222"/>
  <c r="H53" i="222"/>
  <c r="J50" i="222"/>
  <c r="I50" i="222"/>
  <c r="H50" i="222"/>
  <c r="K50" i="222" s="1"/>
  <c r="E50" i="222"/>
  <c r="L50" i="222" s="1"/>
  <c r="O50" i="222" s="1"/>
  <c r="S50" i="222" s="1"/>
  <c r="U50" i="222" s="1"/>
  <c r="W50" i="222" s="1"/>
  <c r="J49" i="222"/>
  <c r="I49" i="222"/>
  <c r="H49" i="222"/>
  <c r="K49" i="222" s="1"/>
  <c r="E49" i="222"/>
  <c r="L49" i="222" s="1"/>
  <c r="O49" i="222" s="1"/>
  <c r="S49" i="222" s="1"/>
  <c r="U49" i="222" s="1"/>
  <c r="W49" i="222" s="1"/>
  <c r="J48" i="222"/>
  <c r="I48" i="222"/>
  <c r="H48" i="222"/>
  <c r="K48" i="222" s="1"/>
  <c r="J44" i="222"/>
  <c r="I44" i="222"/>
  <c r="H44" i="222"/>
  <c r="K44" i="222" s="1"/>
  <c r="E44" i="222"/>
  <c r="J42" i="222"/>
  <c r="I42" i="222"/>
  <c r="H42" i="222"/>
  <c r="K42" i="222" s="1"/>
  <c r="E42" i="222"/>
  <c r="J40" i="222"/>
  <c r="I40" i="222"/>
  <c r="H40" i="222"/>
  <c r="K40" i="222" s="1"/>
  <c r="E40" i="222"/>
  <c r="S38" i="222"/>
  <c r="U38" i="222" s="1"/>
  <c r="W38" i="222" s="1"/>
  <c r="O38" i="222"/>
  <c r="L38" i="222"/>
  <c r="L37" i="222"/>
  <c r="K35" i="222"/>
  <c r="J35" i="222"/>
  <c r="I35" i="222"/>
  <c r="H35" i="222"/>
  <c r="J34" i="222"/>
  <c r="I34" i="222"/>
  <c r="H34" i="222"/>
  <c r="K34" i="222" s="1"/>
  <c r="E34" i="222"/>
  <c r="J26" i="222"/>
  <c r="I26" i="222"/>
  <c r="H26" i="222"/>
  <c r="AA25" i="222"/>
  <c r="Z25" i="222"/>
  <c r="S23" i="222"/>
  <c r="U23" i="222" s="1"/>
  <c r="W23" i="222" s="1"/>
  <c r="H23" i="222"/>
  <c r="L23" i="222" s="1"/>
  <c r="O23" i="222" s="1"/>
  <c r="H22" i="222"/>
  <c r="L22" i="222" s="1"/>
  <c r="O22" i="222" s="1"/>
  <c r="S22" i="222" s="1"/>
  <c r="U22" i="222" s="1"/>
  <c r="W22" i="222" s="1"/>
  <c r="S21" i="222"/>
  <c r="U21" i="222" s="1"/>
  <c r="W21" i="222" s="1"/>
  <c r="L21" i="222"/>
  <c r="O21" i="222" s="1"/>
  <c r="H21" i="222"/>
  <c r="H20" i="222"/>
  <c r="L20" i="222" s="1"/>
  <c r="O20" i="222" s="1"/>
  <c r="S20" i="222" s="1"/>
  <c r="U20" i="222" s="1"/>
  <c r="W20" i="222" s="1"/>
  <c r="S19" i="222"/>
  <c r="U19" i="222" s="1"/>
  <c r="W19" i="222" s="1"/>
  <c r="L19" i="222"/>
  <c r="O19" i="222" s="1"/>
  <c r="H19" i="222"/>
  <c r="H18" i="222"/>
  <c r="L18" i="222" s="1"/>
  <c r="O18" i="222" s="1"/>
  <c r="S18" i="222" s="1"/>
  <c r="U18" i="222" s="1"/>
  <c r="W18" i="222" s="1"/>
  <c r="H17" i="222"/>
  <c r="E17" i="222"/>
  <c r="L17" i="222" s="1"/>
  <c r="H15" i="222"/>
  <c r="L15" i="222" s="1"/>
  <c r="H9" i="222"/>
  <c r="I9" i="222" s="1"/>
  <c r="B9" i="222"/>
  <c r="B10" i="222" s="1"/>
  <c r="B11" i="222" s="1"/>
  <c r="B12" i="222" s="1"/>
  <c r="B13" i="222" s="1"/>
  <c r="B14" i="222" s="1"/>
  <c r="B15" i="222" s="1"/>
  <c r="B16" i="222" s="1"/>
  <c r="B17" i="222" s="1"/>
  <c r="B18" i="222" s="1"/>
  <c r="B2" i="222"/>
  <c r="C40" i="221"/>
  <c r="C39" i="221"/>
  <c r="C38" i="221"/>
  <c r="C37" i="221"/>
  <c r="C36" i="221"/>
  <c r="C35" i="221"/>
  <c r="C34" i="221"/>
  <c r="C33" i="221"/>
  <c r="C32" i="221"/>
  <c r="H29" i="221"/>
  <c r="F29" i="221"/>
  <c r="D29" i="221"/>
  <c r="H28" i="221"/>
  <c r="F28" i="221"/>
  <c r="D28" i="221"/>
  <c r="H27" i="221"/>
  <c r="F27" i="221"/>
  <c r="D27" i="221"/>
  <c r="H26" i="221"/>
  <c r="F26" i="221"/>
  <c r="D26" i="221"/>
  <c r="H25" i="221"/>
  <c r="F25" i="221"/>
  <c r="D25" i="221"/>
  <c r="H24" i="221"/>
  <c r="F24" i="221"/>
  <c r="D24" i="221"/>
  <c r="J23" i="221"/>
  <c r="H23" i="221"/>
  <c r="F23" i="221"/>
  <c r="D23" i="221"/>
  <c r="J22" i="221"/>
  <c r="H22" i="221"/>
  <c r="F22" i="221"/>
  <c r="D22" i="221"/>
  <c r="J21" i="221"/>
  <c r="H21" i="221"/>
  <c r="F21" i="221"/>
  <c r="D21" i="221"/>
  <c r="J20" i="221"/>
  <c r="H20" i="221"/>
  <c r="F20" i="221"/>
  <c r="D20" i="221"/>
  <c r="J19" i="221"/>
  <c r="H19" i="221"/>
  <c r="F19" i="221"/>
  <c r="D19" i="221"/>
  <c r="J18" i="221"/>
  <c r="H18" i="221"/>
  <c r="F18" i="221"/>
  <c r="D18" i="221"/>
  <c r="BV14" i="221"/>
  <c r="BU14" i="221"/>
  <c r="BT14" i="221"/>
  <c r="BS14" i="221"/>
  <c r="BR14" i="221"/>
  <c r="BQ14" i="221"/>
  <c r="BP14" i="221"/>
  <c r="BO14" i="221"/>
  <c r="BN14" i="221"/>
  <c r="BM14" i="221"/>
  <c r="BL14" i="221"/>
  <c r="BK14" i="221"/>
  <c r="BJ14" i="221"/>
  <c r="BI14" i="221"/>
  <c r="BH14" i="221"/>
  <c r="BG14" i="221"/>
  <c r="BF14" i="221"/>
  <c r="BE14" i="221"/>
  <c r="BD14" i="221"/>
  <c r="BC14" i="221"/>
  <c r="BB14" i="221"/>
  <c r="BA14" i="221"/>
  <c r="AZ14" i="221"/>
  <c r="AY14" i="221"/>
  <c r="AX14" i="221"/>
  <c r="AW14" i="221"/>
  <c r="AV14" i="221"/>
  <c r="AU14" i="221"/>
  <c r="AT14" i="221"/>
  <c r="AS14" i="221"/>
  <c r="AR14" i="221"/>
  <c r="AQ14" i="221"/>
  <c r="AP14" i="221"/>
  <c r="AO14" i="221"/>
  <c r="AN14" i="221"/>
  <c r="AM14" i="221"/>
  <c r="AL14" i="221"/>
  <c r="AK14" i="221"/>
  <c r="AJ14" i="221"/>
  <c r="AI14" i="221"/>
  <c r="AH14" i="221"/>
  <c r="AG14" i="221"/>
  <c r="AF14" i="221"/>
  <c r="AE14" i="221"/>
  <c r="AD14" i="221"/>
  <c r="AC14" i="221"/>
  <c r="AB14" i="221"/>
  <c r="AA14" i="221"/>
  <c r="Z14" i="221"/>
  <c r="Y14" i="221"/>
  <c r="X14" i="221"/>
  <c r="W14" i="221"/>
  <c r="V14" i="221"/>
  <c r="U14" i="221"/>
  <c r="T14" i="221"/>
  <c r="S14" i="221"/>
  <c r="R14" i="221"/>
  <c r="Q14" i="221"/>
  <c r="P14" i="221"/>
  <c r="O14" i="221"/>
  <c r="N14" i="221"/>
  <c r="M14" i="221"/>
  <c r="L14" i="221"/>
  <c r="K14" i="221"/>
  <c r="J14" i="221"/>
  <c r="I14" i="221"/>
  <c r="H14" i="221"/>
  <c r="G14" i="221"/>
  <c r="F14" i="221"/>
  <c r="E14" i="221"/>
  <c r="D14" i="221"/>
  <c r="C14" i="221"/>
  <c r="W142" i="222" l="1"/>
  <c r="U144" i="222"/>
  <c r="W144" i="222" s="1"/>
  <c r="U128" i="222"/>
  <c r="W128" i="222" s="1"/>
  <c r="U132" i="222"/>
  <c r="W146" i="222"/>
  <c r="U120" i="222"/>
  <c r="U126" i="222"/>
  <c r="W126" i="222" s="1"/>
  <c r="U130" i="222"/>
  <c r="W130" i="222" s="1"/>
  <c r="W129" i="222"/>
  <c r="W145" i="222"/>
  <c r="U133" i="222"/>
  <c r="W133" i="222" s="1"/>
  <c r="U140" i="222"/>
  <c r="W140" i="222" s="1"/>
  <c r="U147" i="222"/>
  <c r="W147" i="222" s="1"/>
  <c r="U138" i="222"/>
  <c r="W138" i="222" s="1"/>
  <c r="U134" i="222"/>
  <c r="W134" i="222" s="1"/>
  <c r="W120" i="222"/>
  <c r="W132" i="222"/>
  <c r="U139" i="222"/>
  <c r="W139" i="222" s="1"/>
  <c r="U141" i="222"/>
  <c r="W141" i="222" s="1"/>
  <c r="I15" i="222"/>
  <c r="I14" i="222" s="1"/>
  <c r="H14" i="222"/>
  <c r="O17" i="222"/>
  <c r="B19" i="222"/>
  <c r="L36" i="222"/>
  <c r="O37" i="222"/>
  <c r="L34" i="222"/>
  <c r="O34" i="222" s="1"/>
  <c r="S34" i="222" s="1"/>
  <c r="U34" i="222" s="1"/>
  <c r="W34" i="222" s="1"/>
  <c r="L40" i="222"/>
  <c r="O40" i="222" s="1"/>
  <c r="S40" i="222" s="1"/>
  <c r="U40" i="222" s="1"/>
  <c r="W40" i="222" s="1"/>
  <c r="L73" i="222"/>
  <c r="O73" i="222" s="1"/>
  <c r="S73" i="222" s="1"/>
  <c r="U73" i="222" s="1"/>
  <c r="W73" i="222" s="1"/>
  <c r="O83" i="222"/>
  <c r="K106" i="222"/>
  <c r="L106" i="222" s="1"/>
  <c r="L67" i="222"/>
  <c r="O67" i="222" s="1"/>
  <c r="S67" i="222" s="1"/>
  <c r="U67" i="222" s="1"/>
  <c r="W67" i="222" s="1"/>
  <c r="K103" i="222"/>
  <c r="L103" i="222" s="1"/>
  <c r="O103" i="222" s="1"/>
  <c r="S103" i="222" s="1"/>
  <c r="U103" i="222" s="1"/>
  <c r="W103" i="222" s="1"/>
  <c r="K109" i="222"/>
  <c r="L109" i="222" s="1"/>
  <c r="O109" i="222" s="1"/>
  <c r="S109" i="222" s="1"/>
  <c r="U109" i="222" s="1"/>
  <c r="W109" i="222" s="1"/>
  <c r="L62" i="222"/>
  <c r="O62" i="222" s="1"/>
  <c r="S62" i="222" s="1"/>
  <c r="U62" i="222" s="1"/>
  <c r="W62" i="222" s="1"/>
  <c r="W82" i="222"/>
  <c r="O122" i="222"/>
  <c r="S122" i="222" s="1"/>
  <c r="U122" i="222" s="1"/>
  <c r="W122" i="222" s="1"/>
  <c r="L188" i="222"/>
  <c r="O188" i="222" s="1"/>
  <c r="S188" i="222" s="1"/>
  <c r="U188" i="222" s="1"/>
  <c r="W188" i="222" s="1"/>
  <c r="L9" i="222"/>
  <c r="K26" i="222"/>
  <c r="L26" i="222" s="1"/>
  <c r="L42" i="222"/>
  <c r="L44" i="222"/>
  <c r="O44" i="222" s="1"/>
  <c r="S44" i="222" s="1"/>
  <c r="U44" i="222" s="1"/>
  <c r="W44" i="222" s="1"/>
  <c r="L55" i="222"/>
  <c r="K63" i="222"/>
  <c r="L63" i="222" s="1"/>
  <c r="O63" i="222" s="1"/>
  <c r="S63" i="222" s="1"/>
  <c r="U63" i="222" s="1"/>
  <c r="W63" i="222" s="1"/>
  <c r="L65" i="222"/>
  <c r="O65" i="222" s="1"/>
  <c r="S65" i="222" s="1"/>
  <c r="U65" i="222" s="1"/>
  <c r="W65" i="222" s="1"/>
  <c r="L76" i="222"/>
  <c r="O76" i="222" s="1"/>
  <c r="S76" i="222" s="1"/>
  <c r="U76" i="222" s="1"/>
  <c r="W76" i="222" s="1"/>
  <c r="W127" i="222"/>
  <c r="O15" i="222"/>
  <c r="L14" i="222"/>
  <c r="L35" i="222"/>
  <c r="O35" i="222" s="1"/>
  <c r="S35" i="222" s="1"/>
  <c r="U35" i="222" s="1"/>
  <c r="W35" i="222" s="1"/>
  <c r="L48" i="222"/>
  <c r="O48" i="222" s="1"/>
  <c r="S48" i="222" s="1"/>
  <c r="U48" i="222" s="1"/>
  <c r="W48" i="222" s="1"/>
  <c r="K53" i="222"/>
  <c r="L53" i="222" s="1"/>
  <c r="L107" i="222"/>
  <c r="O107" i="222" s="1"/>
  <c r="S107" i="222" s="1"/>
  <c r="U107" i="222" s="1"/>
  <c r="W107" i="222" s="1"/>
  <c r="K190" i="222"/>
  <c r="L190" i="222" s="1"/>
  <c r="O190" i="222" s="1"/>
  <c r="S190" i="222" s="1"/>
  <c r="U190" i="222" s="1"/>
  <c r="W190" i="222" s="1"/>
  <c r="K188" i="222"/>
  <c r="O26" i="222" l="1"/>
  <c r="L25" i="222"/>
  <c r="L52" i="222"/>
  <c r="O53" i="222"/>
  <c r="O106" i="222"/>
  <c r="L105" i="222"/>
  <c r="O9" i="222"/>
  <c r="L54" i="222"/>
  <c r="O55" i="222"/>
  <c r="S17" i="222"/>
  <c r="S37" i="222"/>
  <c r="O36" i="222"/>
  <c r="O14" i="222"/>
  <c r="S15" i="222"/>
  <c r="O42" i="222"/>
  <c r="L41" i="222"/>
  <c r="S83" i="222"/>
  <c r="O81" i="222"/>
  <c r="B20" i="222"/>
  <c r="B21" i="222" s="1"/>
  <c r="F47" i="222"/>
  <c r="F45" i="222"/>
  <c r="F46" i="222"/>
  <c r="B22" i="222" l="1"/>
  <c r="B23" i="222" s="1"/>
  <c r="B24" i="222" s="1"/>
  <c r="B25" i="222" s="1"/>
  <c r="F32" i="222"/>
  <c r="U83" i="222"/>
  <c r="S81" i="222"/>
  <c r="S53" i="222"/>
  <c r="O52" i="222"/>
  <c r="U17" i="222"/>
  <c r="S55" i="222"/>
  <c r="O54" i="222"/>
  <c r="L24" i="222"/>
  <c r="L16" i="222" s="1"/>
  <c r="O41" i="222"/>
  <c r="S42" i="222"/>
  <c r="O25" i="222"/>
  <c r="O24" i="222" s="1"/>
  <c r="S26" i="222"/>
  <c r="U15" i="222"/>
  <c r="S14" i="222"/>
  <c r="S9" i="222"/>
  <c r="S36" i="222"/>
  <c r="U37" i="222"/>
  <c r="O105" i="222"/>
  <c r="S106" i="222"/>
  <c r="S41" i="222" l="1"/>
  <c r="U42" i="222"/>
  <c r="S105" i="222"/>
  <c r="U106" i="222"/>
  <c r="U26" i="222"/>
  <c r="S25" i="222"/>
  <c r="S24" i="222" s="1"/>
  <c r="W17" i="222"/>
  <c r="F33" i="222"/>
  <c r="B26" i="222"/>
  <c r="B27" i="222" s="1"/>
  <c r="B28" i="222" s="1"/>
  <c r="B29" i="222" s="1"/>
  <c r="B30" i="222" s="1"/>
  <c r="B31" i="222" s="1"/>
  <c r="B32" i="222" s="1"/>
  <c r="B33" i="222" s="1"/>
  <c r="B34" i="222" s="1"/>
  <c r="B35" i="222" s="1"/>
  <c r="B36" i="222" s="1"/>
  <c r="B37" i="222" s="1"/>
  <c r="B38" i="222" s="1"/>
  <c r="B39" i="222" s="1"/>
  <c r="B40" i="222" s="1"/>
  <c r="B41" i="222" s="1"/>
  <c r="B42" i="222" s="1"/>
  <c r="B43" i="222" s="1"/>
  <c r="B44" i="222" s="1"/>
  <c r="B45" i="222" s="1"/>
  <c r="B46" i="222" s="1"/>
  <c r="B47" i="222" s="1"/>
  <c r="B48" i="222" s="1"/>
  <c r="B49" i="222" s="1"/>
  <c r="B50" i="222" s="1"/>
  <c r="B51" i="222" s="1"/>
  <c r="B52" i="222" s="1"/>
  <c r="B53" i="222" s="1"/>
  <c r="B54" i="222" s="1"/>
  <c r="B55" i="222" s="1"/>
  <c r="B56" i="222" s="1"/>
  <c r="B57" i="222" s="1"/>
  <c r="B58" i="222" s="1"/>
  <c r="B59" i="222" s="1"/>
  <c r="B60" i="222" s="1"/>
  <c r="B61" i="222" s="1"/>
  <c r="B62" i="222" s="1"/>
  <c r="B63" i="222" s="1"/>
  <c r="B64" i="222" s="1"/>
  <c r="B65" i="222" s="1"/>
  <c r="U53" i="222"/>
  <c r="S52" i="222"/>
  <c r="W83" i="222"/>
  <c r="W81" i="222" s="1"/>
  <c r="U81" i="222"/>
  <c r="F30" i="222"/>
  <c r="U9" i="222"/>
  <c r="F31" i="222"/>
  <c r="F102" i="222"/>
  <c r="W37" i="222"/>
  <c r="W36" i="222" s="1"/>
  <c r="U36" i="222"/>
  <c r="F27" i="222"/>
  <c r="U55" i="222"/>
  <c r="S54" i="222"/>
  <c r="F104" i="222"/>
  <c r="O16" i="222"/>
  <c r="F187" i="222"/>
  <c r="U14" i="222"/>
  <c r="W15" i="222"/>
  <c r="W14" i="222" s="1"/>
  <c r="F29" i="222"/>
  <c r="F28" i="222"/>
  <c r="F100" i="222" l="1"/>
  <c r="F97" i="222"/>
  <c r="F86" i="222"/>
  <c r="W26" i="222"/>
  <c r="W25" i="222" s="1"/>
  <c r="W24" i="222" s="1"/>
  <c r="W16" i="222" s="1"/>
  <c r="U25" i="222"/>
  <c r="B66" i="222"/>
  <c r="B67" i="222" s="1"/>
  <c r="F66" i="222"/>
  <c r="F92" i="222"/>
  <c r="F82" i="222"/>
  <c r="U105" i="222"/>
  <c r="W106" i="222"/>
  <c r="W105" i="222" s="1"/>
  <c r="F101" i="222"/>
  <c r="W53" i="222"/>
  <c r="W52" i="222" s="1"/>
  <c r="S16" i="222"/>
  <c r="W9" i="222"/>
  <c r="F98" i="222"/>
  <c r="F88" i="222"/>
  <c r="W55" i="222"/>
  <c r="W54" i="222" s="1"/>
  <c r="U54" i="222"/>
  <c r="U52" i="222" s="1"/>
  <c r="F79" i="222"/>
  <c r="F99" i="222"/>
  <c r="W42" i="222"/>
  <c r="W41" i="222" s="1"/>
  <c r="U41" i="222"/>
  <c r="F89" i="222"/>
  <c r="F68" i="222" l="1"/>
  <c r="B68" i="222"/>
  <c r="B69" i="222" s="1"/>
  <c r="U24" i="222"/>
  <c r="U16" i="222" s="1"/>
  <c r="B70" i="222" l="1"/>
  <c r="B71" i="222" s="1"/>
  <c r="F70" i="222"/>
  <c r="F72" i="222" l="1"/>
  <c r="B72" i="222"/>
  <c r="B73" i="222" s="1"/>
  <c r="B74" i="222" l="1"/>
  <c r="B75" i="222" s="1"/>
  <c r="B76" i="222" s="1"/>
  <c r="F75" i="222"/>
  <c r="F74" i="222"/>
  <c r="F77" i="222" l="1"/>
  <c r="B77" i="222"/>
  <c r="B78" i="222" s="1"/>
  <c r="B79" i="222" s="1"/>
  <c r="B80" i="222" s="1"/>
  <c r="B81" i="222" s="1"/>
  <c r="B82" i="222" s="1"/>
  <c r="B83" i="222" s="1"/>
  <c r="F85" i="222" l="1"/>
  <c r="F84" i="222"/>
  <c r="B84" i="222"/>
  <c r="B85" i="222" s="1"/>
  <c r="B86" i="222" s="1"/>
  <c r="B87" i="222" s="1"/>
  <c r="B88" i="222" s="1"/>
  <c r="B89" i="222" s="1"/>
  <c r="B90" i="222" s="1"/>
  <c r="B91" i="222" s="1"/>
  <c r="B92" i="222" s="1"/>
  <c r="B93" i="222" s="1"/>
  <c r="B94" i="222" s="1"/>
  <c r="B95" i="222" s="1"/>
  <c r="B96" i="222" s="1"/>
  <c r="B97" i="222" s="1"/>
  <c r="B98" i="222" s="1"/>
  <c r="B99" i="222" s="1"/>
  <c r="B100" i="222" s="1"/>
  <c r="B101" i="222" s="1"/>
  <c r="B102" i="222" s="1"/>
  <c r="B103" i="222" s="1"/>
  <c r="B104" i="222" s="1"/>
  <c r="B105" i="222" s="1"/>
  <c r="B106" i="222" s="1"/>
  <c r="B107" i="222" s="1"/>
  <c r="B108" i="222" s="1"/>
  <c r="B109" i="222" s="1"/>
  <c r="E14" i="26" l="1"/>
  <c r="M19" i="220"/>
  <c r="M59" i="220" s="1"/>
  <c r="M60" i="220" s="1"/>
  <c r="M222" i="220" s="1"/>
  <c r="M223" i="220" s="1"/>
  <c r="F225" i="220" s="1"/>
  <c r="M23" i="220"/>
  <c r="M26" i="220"/>
  <c r="M29" i="220"/>
  <c r="M34" i="220"/>
  <c r="M37" i="220"/>
  <c r="M40" i="220"/>
  <c r="M44" i="220"/>
  <c r="M47" i="220"/>
  <c r="M50" i="220"/>
  <c r="M53" i="220"/>
  <c r="M56" i="220"/>
  <c r="M62" i="220"/>
  <c r="M167" i="220" s="1"/>
  <c r="M168" i="220" s="1"/>
  <c r="M65" i="220"/>
  <c r="M68" i="220"/>
  <c r="M71" i="220"/>
  <c r="M74" i="220"/>
  <c r="M77" i="220"/>
  <c r="M80" i="220"/>
  <c r="M83" i="220"/>
  <c r="M86" i="220"/>
  <c r="M89" i="220"/>
  <c r="M92" i="220"/>
  <c r="M95" i="220"/>
  <c r="M98" i="220"/>
  <c r="M101" i="220"/>
  <c r="M104" i="220"/>
  <c r="M107" i="220"/>
  <c r="M110" i="220"/>
  <c r="M113" i="220"/>
  <c r="M116" i="220"/>
  <c r="M119" i="220"/>
  <c r="M122" i="220"/>
  <c r="M125" i="220"/>
  <c r="M128" i="220"/>
  <c r="M131" i="220"/>
  <c r="M134" i="220"/>
  <c r="M137" i="220"/>
  <c r="M140" i="220"/>
  <c r="M143" i="220"/>
  <c r="M146" i="220"/>
  <c r="M149" i="220"/>
  <c r="M152" i="220"/>
  <c r="M155" i="220"/>
  <c r="M158" i="220"/>
  <c r="M161" i="220"/>
  <c r="M164" i="220"/>
  <c r="M170" i="220"/>
  <c r="M173" i="220"/>
  <c r="M176" i="220"/>
  <c r="M179" i="220"/>
  <c r="M183" i="220"/>
  <c r="M186" i="220"/>
  <c r="M189" i="220"/>
  <c r="M192" i="220"/>
  <c r="M195" i="220"/>
  <c r="M198" i="220"/>
  <c r="M201" i="220"/>
  <c r="M204" i="220"/>
  <c r="M205" i="220" s="1"/>
  <c r="M207" i="220"/>
  <c r="M220" i="220" s="1"/>
  <c r="M221" i="220" s="1"/>
  <c r="M210" i="220"/>
  <c r="M213" i="220"/>
  <c r="G6" i="219" l="1"/>
  <c r="G7" i="219" s="1"/>
  <c r="G8" i="219" s="1"/>
  <c r="G9" i="219" s="1"/>
  <c r="G11" i="219" s="1"/>
  <c r="G12" i="219" s="1"/>
  <c r="I12" i="219" s="1"/>
  <c r="B10" i="205" l="1"/>
  <c r="B11" i="205" l="1"/>
  <c r="B12" i="205" l="1"/>
  <c r="B9" i="34"/>
  <c r="F25" i="34"/>
  <c r="F28" i="34"/>
  <c r="C29" i="34" s="1"/>
  <c r="D28" i="34"/>
  <c r="F26" i="34"/>
  <c r="F29" i="34" l="1"/>
  <c r="B18" i="205" l="1"/>
  <c r="D129" i="211" l="1"/>
  <c r="E129" i="211" s="1"/>
  <c r="D126" i="211"/>
  <c r="E126" i="211" s="1"/>
  <c r="D123" i="211"/>
  <c r="E123" i="211" s="1"/>
  <c r="E130" i="211" s="1"/>
  <c r="E133" i="211" s="1"/>
  <c r="E99" i="211"/>
  <c r="D99" i="211"/>
  <c r="D96" i="211"/>
  <c r="E96" i="211" s="1"/>
  <c r="E93" i="211"/>
  <c r="D93" i="211"/>
  <c r="H75" i="211"/>
  <c r="G75" i="211"/>
  <c r="G74" i="211"/>
  <c r="H74" i="211" s="1"/>
  <c r="H73" i="211"/>
  <c r="G73" i="211"/>
  <c r="H72" i="211"/>
  <c r="G72" i="211"/>
  <c r="H71" i="211"/>
  <c r="G71" i="211"/>
  <c r="H69" i="211"/>
  <c r="G69" i="211"/>
  <c r="H65" i="211"/>
  <c r="G65" i="211"/>
  <c r="G58" i="211"/>
  <c r="H58" i="211" s="1"/>
  <c r="U57" i="211"/>
  <c r="H57" i="211"/>
  <c r="T56" i="211"/>
  <c r="H56" i="211"/>
  <c r="H55" i="211"/>
  <c r="S55" i="211" s="1"/>
  <c r="R54" i="211"/>
  <c r="H54" i="211"/>
  <c r="F52" i="211"/>
  <c r="E52" i="211"/>
  <c r="D52" i="211"/>
  <c r="F48" i="211"/>
  <c r="O47" i="211"/>
  <c r="H47" i="211"/>
  <c r="G46" i="211"/>
  <c r="H46" i="211" s="1"/>
  <c r="P46" i="211" s="1"/>
  <c r="G45" i="211"/>
  <c r="H45" i="211" s="1"/>
  <c r="P45" i="211" s="1"/>
  <c r="G44" i="211"/>
  <c r="H44" i="211" s="1"/>
  <c r="P44" i="211" s="1"/>
  <c r="G43" i="211"/>
  <c r="H43" i="211" s="1"/>
  <c r="P43" i="211" s="1"/>
  <c r="G42" i="211"/>
  <c r="H38" i="211"/>
  <c r="E35" i="211"/>
  <c r="H34" i="211"/>
  <c r="G34" i="211"/>
  <c r="F34" i="211"/>
  <c r="E34" i="211"/>
  <c r="D34" i="211"/>
  <c r="K33" i="211"/>
  <c r="AC33" i="211" s="1"/>
  <c r="J33" i="211"/>
  <c r="I33" i="211"/>
  <c r="H33" i="211"/>
  <c r="J32" i="211"/>
  <c r="I32" i="211"/>
  <c r="H32" i="211"/>
  <c r="K31" i="211"/>
  <c r="AC31" i="211" s="1"/>
  <c r="J31" i="211"/>
  <c r="I31" i="211"/>
  <c r="H31" i="211"/>
  <c r="J30" i="211"/>
  <c r="I30" i="211"/>
  <c r="K30" i="211" s="1"/>
  <c r="AC30" i="211" s="1"/>
  <c r="H30" i="211"/>
  <c r="O29" i="211"/>
  <c r="J29" i="211"/>
  <c r="I29" i="211"/>
  <c r="H29" i="211"/>
  <c r="J28" i="211"/>
  <c r="I28" i="211"/>
  <c r="H28" i="211"/>
  <c r="T27" i="211"/>
  <c r="J27" i="211"/>
  <c r="I27" i="211"/>
  <c r="H27" i="211"/>
  <c r="K26" i="211"/>
  <c r="AC26" i="211" s="1"/>
  <c r="J26" i="211"/>
  <c r="I26" i="211"/>
  <c r="H26" i="211"/>
  <c r="AI25" i="211"/>
  <c r="J25" i="211"/>
  <c r="I25" i="211"/>
  <c r="H25" i="211"/>
  <c r="K24" i="211"/>
  <c r="J24" i="211"/>
  <c r="I24" i="211"/>
  <c r="H24" i="211"/>
  <c r="J23" i="211"/>
  <c r="I23" i="211"/>
  <c r="K23" i="211" s="1"/>
  <c r="AC23" i="211" s="1"/>
  <c r="H23" i="211"/>
  <c r="AI22" i="211"/>
  <c r="J22" i="211"/>
  <c r="I22" i="211"/>
  <c r="H22" i="211"/>
  <c r="AC21" i="211"/>
  <c r="L21" i="211"/>
  <c r="K21" i="211"/>
  <c r="J21" i="211"/>
  <c r="I21" i="211"/>
  <c r="H21" i="211"/>
  <c r="AC20" i="211"/>
  <c r="J20" i="211"/>
  <c r="I20" i="211"/>
  <c r="K20" i="211" s="1"/>
  <c r="H20" i="211"/>
  <c r="J19" i="211"/>
  <c r="I19" i="211"/>
  <c r="H19" i="211"/>
  <c r="AC18" i="211"/>
  <c r="L18" i="211"/>
  <c r="K18" i="211"/>
  <c r="J18" i="211"/>
  <c r="I18" i="211"/>
  <c r="H18" i="211"/>
  <c r="J17" i="211"/>
  <c r="J63" i="211" s="1"/>
  <c r="J64" i="211" s="1"/>
  <c r="I17" i="211"/>
  <c r="O21" i="211" s="1"/>
  <c r="H17" i="211"/>
  <c r="F16" i="211"/>
  <c r="E16" i="211"/>
  <c r="D16" i="211"/>
  <c r="G14" i="211"/>
  <c r="G35" i="211" s="1"/>
  <c r="G39" i="211" s="1"/>
  <c r="F14" i="211"/>
  <c r="F35" i="211" s="1"/>
  <c r="F39" i="211" s="1"/>
  <c r="F49" i="211" s="1"/>
  <c r="F59" i="211" s="1"/>
  <c r="F61" i="211" s="1"/>
  <c r="F62" i="211" s="1"/>
  <c r="E14" i="211"/>
  <c r="D14" i="211"/>
  <c r="D35" i="211" s="1"/>
  <c r="I13" i="211"/>
  <c r="H13" i="211"/>
  <c r="AD12" i="211"/>
  <c r="Y12" i="211"/>
  <c r="AE12" i="211" s="1"/>
  <c r="N12" i="211"/>
  <c r="N32" i="211" s="1"/>
  <c r="H12" i="211"/>
  <c r="P20" i="211" l="1"/>
  <c r="AE44" i="211"/>
  <c r="Y44" i="211"/>
  <c r="O25" i="211"/>
  <c r="N18" i="211"/>
  <c r="I63" i="211"/>
  <c r="I64" i="211" s="1"/>
  <c r="K13" i="211"/>
  <c r="T25" i="211"/>
  <c r="N26" i="211"/>
  <c r="O28" i="211"/>
  <c r="AE43" i="211"/>
  <c r="Y43" i="211"/>
  <c r="T30" i="211"/>
  <c r="O20" i="211"/>
  <c r="L29" i="211"/>
  <c r="K29" i="211"/>
  <c r="AC29" i="211" s="1"/>
  <c r="AD43" i="211"/>
  <c r="P31" i="211"/>
  <c r="AE46" i="211"/>
  <c r="Y46" i="211"/>
  <c r="E102" i="211"/>
  <c r="E105" i="211" s="1"/>
  <c r="N27" i="211"/>
  <c r="K28" i="211"/>
  <c r="AC28" i="211" s="1"/>
  <c r="E39" i="211"/>
  <c r="E37" i="211"/>
  <c r="E80" i="211" s="1"/>
  <c r="AD46" i="211"/>
  <c r="D37" i="211"/>
  <c r="H35" i="211"/>
  <c r="T28" i="211"/>
  <c r="AD44" i="211"/>
  <c r="O23" i="211"/>
  <c r="AC24" i="211"/>
  <c r="L24" i="211"/>
  <c r="O30" i="211"/>
  <c r="L31" i="211"/>
  <c r="D39" i="211"/>
  <c r="O27" i="211"/>
  <c r="AE55" i="211"/>
  <c r="AD55" i="211"/>
  <c r="Y55" i="211"/>
  <c r="N17" i="211"/>
  <c r="K25" i="211"/>
  <c r="AC25" i="211" s="1"/>
  <c r="P27" i="211"/>
  <c r="AE45" i="211"/>
  <c r="Y45" i="211"/>
  <c r="F63" i="211"/>
  <c r="F68" i="211" s="1"/>
  <c r="H16" i="211"/>
  <c r="P19" i="211"/>
  <c r="T24" i="211"/>
  <c r="N33" i="211"/>
  <c r="H42" i="211"/>
  <c r="G48" i="211"/>
  <c r="G49" i="211" s="1"/>
  <c r="AD45" i="211"/>
  <c r="N19" i="211"/>
  <c r="H14" i="211"/>
  <c r="K17" i="211"/>
  <c r="T17" i="211"/>
  <c r="O19" i="211"/>
  <c r="L20" i="211"/>
  <c r="T20" i="211"/>
  <c r="O22" i="211"/>
  <c r="L23" i="211"/>
  <c r="K27" i="211"/>
  <c r="N29" i="211"/>
  <c r="L30" i="211"/>
  <c r="O32" i="211"/>
  <c r="T18" i="211"/>
  <c r="N20" i="211"/>
  <c r="T21" i="211"/>
  <c r="N23" i="211"/>
  <c r="O26" i="211"/>
  <c r="N30" i="211"/>
  <c r="T31" i="211"/>
  <c r="O33" i="211"/>
  <c r="D101" i="211"/>
  <c r="E101" i="211" s="1"/>
  <c r="O17" i="211"/>
  <c r="K19" i="211"/>
  <c r="K22" i="211"/>
  <c r="T22" i="211"/>
  <c r="N24" i="211"/>
  <c r="N31" i="211"/>
  <c r="K32" i="211"/>
  <c r="T32" i="211"/>
  <c r="N21" i="211"/>
  <c r="O24" i="211"/>
  <c r="T29" i="211"/>
  <c r="O31" i="211"/>
  <c r="O18" i="211"/>
  <c r="N25" i="211"/>
  <c r="T26" i="211"/>
  <c r="N28" i="211"/>
  <c r="T33" i="211"/>
  <c r="T19" i="211"/>
  <c r="N22" i="211"/>
  <c r="T23" i="211"/>
  <c r="L26" i="211"/>
  <c r="L33" i="211"/>
  <c r="P63" i="211" l="1"/>
  <c r="P64" i="211" s="1"/>
  <c r="AC22" i="211"/>
  <c r="L22" i="211"/>
  <c r="F76" i="211"/>
  <c r="H68" i="211"/>
  <c r="N63" i="211"/>
  <c r="N64" i="211" s="1"/>
  <c r="AC19" i="211"/>
  <c r="L19" i="211"/>
  <c r="O63" i="211"/>
  <c r="O64" i="211" s="1"/>
  <c r="T63" i="211"/>
  <c r="T64" i="211" s="1"/>
  <c r="K63" i="211"/>
  <c r="K64" i="211" s="1"/>
  <c r="AC13" i="211"/>
  <c r="L25" i="211"/>
  <c r="AC27" i="211"/>
  <c r="L27" i="211"/>
  <c r="L17" i="211"/>
  <c r="AC17" i="211"/>
  <c r="L28" i="211"/>
  <c r="L13" i="211"/>
  <c r="D80" i="211"/>
  <c r="H80" i="211" s="1"/>
  <c r="H37" i="211"/>
  <c r="M26" i="211"/>
  <c r="Q26" i="211" s="1"/>
  <c r="AC32" i="211"/>
  <c r="L32" i="211"/>
  <c r="H39" i="211"/>
  <c r="D41" i="211"/>
  <c r="E41" i="211"/>
  <c r="E48" i="211" s="1"/>
  <c r="E49" i="211" s="1"/>
  <c r="E59" i="211" s="1"/>
  <c r="M28" i="211"/>
  <c r="E61" i="211" l="1"/>
  <c r="E62" i="211" s="1"/>
  <c r="E63" i="211" s="1"/>
  <c r="E67" i="211" s="1"/>
  <c r="L63" i="211"/>
  <c r="L64" i="211" s="1"/>
  <c r="Y13" i="211"/>
  <c r="AE13" i="211" s="1"/>
  <c r="M31" i="211"/>
  <c r="Q31" i="211" s="1"/>
  <c r="M29" i="211"/>
  <c r="Q29" i="211" s="1"/>
  <c r="M20" i="211"/>
  <c r="Q20" i="211" s="1"/>
  <c r="AD13" i="211"/>
  <c r="M21" i="211"/>
  <c r="Q21" i="211" s="1"/>
  <c r="M23" i="211"/>
  <c r="Q23" i="211" s="1"/>
  <c r="M25" i="211"/>
  <c r="Q25" i="211" s="1"/>
  <c r="Q22" i="211"/>
  <c r="M19" i="211"/>
  <c r="Q19" i="211" s="1"/>
  <c r="M33" i="211"/>
  <c r="Q33" i="211" s="1"/>
  <c r="M24" i="211"/>
  <c r="Q24" i="211" s="1"/>
  <c r="M17" i="211"/>
  <c r="M32" i="211"/>
  <c r="M27" i="211"/>
  <c r="Q27" i="211" s="1"/>
  <c r="M18" i="211"/>
  <c r="Q18" i="211" s="1"/>
  <c r="M30" i="211"/>
  <c r="Q30" i="211" s="1"/>
  <c r="M22" i="211"/>
  <c r="Q28" i="211"/>
  <c r="AC63" i="211"/>
  <c r="Q32" i="211"/>
  <c r="D48" i="211"/>
  <c r="H41" i="211"/>
  <c r="F77" i="211"/>
  <c r="F78" i="211" s="1"/>
  <c r="E76" i="211" l="1"/>
  <c r="H67" i="211"/>
  <c r="M63" i="211"/>
  <c r="M64" i="211" s="1"/>
  <c r="Q17" i="211"/>
  <c r="H48" i="211"/>
  <c r="D49" i="211"/>
  <c r="S17" i="211" l="1"/>
  <c r="Q63" i="211"/>
  <c r="D59" i="211"/>
  <c r="H49" i="211"/>
  <c r="G51" i="211" s="1"/>
  <c r="E77" i="211"/>
  <c r="E78" i="211" s="1"/>
  <c r="AD17" i="211" l="1"/>
  <c r="G52" i="211"/>
  <c r="G70" i="211"/>
  <c r="W51" i="211"/>
  <c r="H51" i="211"/>
  <c r="D61" i="211"/>
  <c r="Q64" i="211"/>
  <c r="S26" i="211"/>
  <c r="R26" i="211"/>
  <c r="R32" i="211"/>
  <c r="R20" i="211"/>
  <c r="R18" i="211"/>
  <c r="R29" i="211"/>
  <c r="S25" i="211"/>
  <c r="R21" i="211"/>
  <c r="S28" i="211"/>
  <c r="R19" i="211"/>
  <c r="R25" i="211"/>
  <c r="S32" i="211"/>
  <c r="S21" i="211"/>
  <c r="R28" i="211"/>
  <c r="S18" i="211"/>
  <c r="S27" i="211"/>
  <c r="R24" i="211"/>
  <c r="R30" i="211"/>
  <c r="S31" i="211"/>
  <c r="R22" i="211"/>
  <c r="R23" i="211"/>
  <c r="S29" i="211"/>
  <c r="S22" i="211"/>
  <c r="S24" i="211"/>
  <c r="S19" i="211"/>
  <c r="S20" i="211"/>
  <c r="R27" i="211"/>
  <c r="S33" i="211"/>
  <c r="S30" i="211"/>
  <c r="S23" i="211"/>
  <c r="R31" i="211"/>
  <c r="R33" i="211"/>
  <c r="R17" i="211"/>
  <c r="AD33" i="211" l="1"/>
  <c r="U20" i="211"/>
  <c r="V20" i="211" s="1"/>
  <c r="U25" i="211"/>
  <c r="V25" i="211" s="1"/>
  <c r="U30" i="211"/>
  <c r="V30" i="211" s="1"/>
  <c r="U19" i="211"/>
  <c r="V19" i="211" s="1"/>
  <c r="U24" i="211"/>
  <c r="V24" i="211" s="1"/>
  <c r="AD27" i="211"/>
  <c r="V21" i="211"/>
  <c r="U21" i="211"/>
  <c r="AD30" i="211"/>
  <c r="U23" i="211"/>
  <c r="V23" i="211" s="1"/>
  <c r="AD21" i="211"/>
  <c r="V18" i="211"/>
  <c r="U18" i="211"/>
  <c r="AD32" i="211"/>
  <c r="R63" i="211"/>
  <c r="R64" i="211" s="1"/>
  <c r="U17" i="211"/>
  <c r="AD28" i="211"/>
  <c r="AD26" i="211"/>
  <c r="H52" i="211"/>
  <c r="G59" i="211"/>
  <c r="AD31" i="211"/>
  <c r="AD20" i="211"/>
  <c r="U26" i="211"/>
  <c r="V26" i="211" s="1"/>
  <c r="AD19" i="211"/>
  <c r="AD24" i="211"/>
  <c r="U31" i="211"/>
  <c r="V31" i="211" s="1"/>
  <c r="AD22" i="211"/>
  <c r="AD18" i="211"/>
  <c r="AD63" i="211" s="1"/>
  <c r="AD25" i="211"/>
  <c r="V22" i="211"/>
  <c r="U22" i="211"/>
  <c r="U27" i="211"/>
  <c r="V27" i="211" s="1"/>
  <c r="U32" i="211"/>
  <c r="V32" i="211" s="1"/>
  <c r="H70" i="211"/>
  <c r="G76" i="211"/>
  <c r="U33" i="211"/>
  <c r="V33" i="211" s="1"/>
  <c r="AD23" i="211"/>
  <c r="AD29" i="211"/>
  <c r="U28" i="211"/>
  <c r="V28" i="211" s="1"/>
  <c r="V29" i="211"/>
  <c r="U29" i="211"/>
  <c r="D62" i="211"/>
  <c r="S63" i="211"/>
  <c r="W24" i="211" l="1"/>
  <c r="X24" i="211" s="1"/>
  <c r="W19" i="211"/>
  <c r="X19" i="211" s="1"/>
  <c r="W31" i="211"/>
  <c r="X31" i="211" s="1"/>
  <c r="X23" i="211"/>
  <c r="W23" i="211"/>
  <c r="W32" i="211"/>
  <c r="X32" i="211" s="1"/>
  <c r="W20" i="211"/>
  <c r="X20" i="211" s="1"/>
  <c r="X27" i="211"/>
  <c r="W27" i="211"/>
  <c r="D63" i="211"/>
  <c r="W29" i="211"/>
  <c r="X29" i="211"/>
  <c r="W22" i="211"/>
  <c r="X22" i="211" s="1"/>
  <c r="W18" i="211"/>
  <c r="X18" i="211" s="1"/>
  <c r="W21" i="211"/>
  <c r="X21" i="211" s="1"/>
  <c r="U63" i="211"/>
  <c r="U64" i="211" s="1"/>
  <c r="S64" i="211"/>
  <c r="E104" i="211"/>
  <c r="V17" i="211"/>
  <c r="W26" i="211" s="1"/>
  <c r="X26" i="211" s="1"/>
  <c r="G78" i="211"/>
  <c r="G77" i="211"/>
  <c r="G61" i="211"/>
  <c r="H59" i="211"/>
  <c r="Y21" i="211" l="1"/>
  <c r="AE21" i="211" s="1"/>
  <c r="Z21" i="211"/>
  <c r="Y22" i="211"/>
  <c r="AE22" i="211" s="1"/>
  <c r="Y18" i="211"/>
  <c r="AE18" i="211" s="1"/>
  <c r="Z20" i="211"/>
  <c r="Y20" i="211"/>
  <c r="AE20" i="211" s="1"/>
  <c r="Y26" i="211"/>
  <c r="AE26" i="211" s="1"/>
  <c r="Y31" i="211"/>
  <c r="AE31" i="211" s="1"/>
  <c r="Z31" i="211"/>
  <c r="Y32" i="211"/>
  <c r="AE32" i="211" s="1"/>
  <c r="Y19" i="211"/>
  <c r="AE19" i="211" s="1"/>
  <c r="Y24" i="211"/>
  <c r="AE24" i="211" s="1"/>
  <c r="Y27" i="211"/>
  <c r="AE27" i="211" s="1"/>
  <c r="G62" i="211"/>
  <c r="H61" i="211"/>
  <c r="E106" i="211"/>
  <c r="E107" i="211" s="1"/>
  <c r="Y23" i="211"/>
  <c r="AE23" i="211" s="1"/>
  <c r="Y29" i="211"/>
  <c r="AE29" i="211" s="1"/>
  <c r="Z29" i="211"/>
  <c r="W30" i="211"/>
  <c r="X30" i="211" s="1"/>
  <c r="D66" i="211"/>
  <c r="V63" i="211"/>
  <c r="V64" i="211" s="1"/>
  <c r="W17" i="211"/>
  <c r="W25" i="211"/>
  <c r="X25" i="211" s="1"/>
  <c r="W33" i="211"/>
  <c r="X33" i="211" s="1"/>
  <c r="W28" i="211"/>
  <c r="X28" i="211" s="1"/>
  <c r="E108" i="211" l="1"/>
  <c r="F107" i="211"/>
  <c r="Z19" i="211"/>
  <c r="Y28" i="211"/>
  <c r="AE28" i="211" s="1"/>
  <c r="Y30" i="211"/>
  <c r="AE30" i="211" s="1"/>
  <c r="H62" i="211"/>
  <c r="G63" i="211"/>
  <c r="H63" i="211" s="1"/>
  <c r="Z32" i="211"/>
  <c r="Z18" i="211"/>
  <c r="Z33" i="211"/>
  <c r="Y33" i="211"/>
  <c r="AE33" i="211" s="1"/>
  <c r="AA29" i="211"/>
  <c r="AB29" i="211" s="1"/>
  <c r="AJ29" i="211" s="1"/>
  <c r="AA31" i="211"/>
  <c r="AB31" i="211" s="1"/>
  <c r="AJ31" i="211" s="1"/>
  <c r="H66" i="211"/>
  <c r="D76" i="211"/>
  <c r="Y25" i="211"/>
  <c r="AE25" i="211" s="1"/>
  <c r="Z25" i="211"/>
  <c r="Z27" i="211"/>
  <c r="Z22" i="211"/>
  <c r="AA20" i="211"/>
  <c r="AB20" i="211" s="1"/>
  <c r="AJ20" i="211" s="1"/>
  <c r="AA21" i="211"/>
  <c r="AB21" i="211" s="1"/>
  <c r="AJ21" i="211" s="1"/>
  <c r="W63" i="211"/>
  <c r="W64" i="211" s="1"/>
  <c r="X17" i="211"/>
  <c r="Z23" i="211"/>
  <c r="Z24" i="211"/>
  <c r="Z26" i="211"/>
  <c r="D77" i="211" l="1"/>
  <c r="H77" i="211" s="1"/>
  <c r="H76" i="211"/>
  <c r="D78" i="211"/>
  <c r="H78" i="211" s="1"/>
  <c r="Z28" i="211"/>
  <c r="AA22" i="211"/>
  <c r="AB22" i="211" s="1"/>
  <c r="AJ22" i="211" s="1"/>
  <c r="AB18" i="211"/>
  <c r="AJ18" i="211" s="1"/>
  <c r="AA18" i="211"/>
  <c r="Y17" i="211"/>
  <c r="X63" i="211"/>
  <c r="AA32" i="211"/>
  <c r="AB32" i="211" s="1"/>
  <c r="AJ32" i="211" s="1"/>
  <c r="AA27" i="211"/>
  <c r="AB27" i="211" s="1"/>
  <c r="AJ27" i="211" s="1"/>
  <c r="AA26" i="211"/>
  <c r="AB26" i="211" s="1"/>
  <c r="AJ26" i="211" s="1"/>
  <c r="AB19" i="211"/>
  <c r="AJ19" i="211" s="1"/>
  <c r="AA19" i="211"/>
  <c r="AA33" i="211"/>
  <c r="AB33" i="211" s="1"/>
  <c r="AJ33" i="211" s="1"/>
  <c r="AF55" i="211"/>
  <c r="AG55" i="211"/>
  <c r="AA24" i="211"/>
  <c r="AB24" i="211"/>
  <c r="AJ24" i="211" s="1"/>
  <c r="AA25" i="211"/>
  <c r="AB25" i="211"/>
  <c r="AJ25" i="211" s="1"/>
  <c r="AA23" i="211"/>
  <c r="AB23" i="211" s="1"/>
  <c r="AJ23" i="211" s="1"/>
  <c r="Z30" i="211"/>
  <c r="AA28" i="211" l="1"/>
  <c r="AB28" i="211"/>
  <c r="AJ28" i="211" s="1"/>
  <c r="Y63" i="211"/>
  <c r="AE17" i="211"/>
  <c r="AA30" i="211"/>
  <c r="AB30" i="211" s="1"/>
  <c r="AJ30" i="211" s="1"/>
  <c r="Z17" i="211"/>
  <c r="AA17" i="211" l="1"/>
  <c r="AA63" i="211" s="1"/>
  <c r="Z63" i="211"/>
  <c r="AB17" i="211"/>
  <c r="AE63" i="211"/>
  <c r="E132" i="211" s="1"/>
  <c r="AB63" i="211" l="1"/>
  <c r="AJ17" i="211"/>
  <c r="E134" i="211"/>
  <c r="E135" i="211" s="1"/>
  <c r="E136" i="211" l="1"/>
  <c r="F135" i="211"/>
  <c r="AF12" i="211" l="1"/>
  <c r="AG12" i="211"/>
  <c r="AG46" i="211"/>
  <c r="AG43" i="211"/>
  <c r="AF44" i="211"/>
  <c r="AF45" i="211"/>
  <c r="AF43" i="211"/>
  <c r="AG44" i="211"/>
  <c r="AG45" i="211"/>
  <c r="AF46" i="211"/>
  <c r="AG13" i="211"/>
  <c r="AF13" i="211"/>
  <c r="AF17" i="211"/>
  <c r="AF26" i="211"/>
  <c r="AF31" i="211"/>
  <c r="AF33" i="211"/>
  <c r="AF19" i="211"/>
  <c r="AF27" i="211"/>
  <c r="AF30" i="211"/>
  <c r="AF29" i="211"/>
  <c r="AF32" i="211"/>
  <c r="AF20" i="211"/>
  <c r="AF28" i="211"/>
  <c r="AF25" i="211"/>
  <c r="AF21" i="211"/>
  <c r="AF24" i="211"/>
  <c r="AF18" i="211"/>
  <c r="AF22" i="211"/>
  <c r="AF23" i="211"/>
  <c r="AG23" i="211"/>
  <c r="AG26" i="211"/>
  <c r="AG27" i="211"/>
  <c r="AG29" i="211"/>
  <c r="AG21" i="211"/>
  <c r="AG20" i="211"/>
  <c r="AG32" i="211"/>
  <c r="AG31" i="211"/>
  <c r="AG19" i="211"/>
  <c r="AG24" i="211"/>
  <c r="AG18" i="211"/>
  <c r="AG22" i="211"/>
  <c r="AG25" i="211"/>
  <c r="AG28" i="211"/>
  <c r="AG33" i="211"/>
  <c r="AG30" i="211"/>
  <c r="AG17" i="211"/>
  <c r="AG63" i="211" l="1"/>
  <c r="AF63" i="211"/>
  <c r="F24" i="26" l="1"/>
  <c r="E16" i="26" l="1"/>
  <c r="M48" i="207"/>
  <c r="M45" i="207"/>
  <c r="M42" i="207"/>
  <c r="M39" i="207"/>
  <c r="M36" i="207"/>
  <c r="M33" i="207"/>
  <c r="M30" i="207"/>
  <c r="M49" i="207" s="1"/>
  <c r="M50" i="207" s="1"/>
  <c r="M24" i="207"/>
  <c r="M21" i="207"/>
  <c r="M27" i="207" s="1"/>
  <c r="M28" i="207" s="1"/>
  <c r="M53" i="207" l="1"/>
  <c r="M55" i="207" s="1"/>
  <c r="M52" i="207"/>
  <c r="M54" i="207" l="1"/>
  <c r="M56" i="207" s="1"/>
  <c r="M57" i="207" s="1"/>
  <c r="M58" i="207" s="1"/>
  <c r="M59" i="207" s="1"/>
  <c r="M60" i="207" s="1"/>
  <c r="F62" i="207" s="1"/>
  <c r="B3" i="205" l="1"/>
  <c r="E17" i="26" l="1"/>
  <c r="G106" i="203"/>
  <c r="E106" i="203"/>
  <c r="G105" i="203"/>
  <c r="E105" i="203"/>
  <c r="G104" i="203"/>
  <c r="E104" i="203"/>
  <c r="G103" i="203"/>
  <c r="E103" i="203"/>
  <c r="G102" i="203"/>
  <c r="E102" i="203"/>
  <c r="G101" i="203"/>
  <c r="E101" i="203"/>
  <c r="E100" i="203"/>
  <c r="G97" i="203"/>
  <c r="G96" i="203"/>
  <c r="E96" i="203"/>
  <c r="G95" i="203"/>
  <c r="E95" i="203"/>
  <c r="G94" i="203"/>
  <c r="E94" i="203"/>
  <c r="G93" i="203"/>
  <c r="G98" i="203" s="1"/>
  <c r="E93" i="203"/>
  <c r="G92" i="203"/>
  <c r="E87" i="203"/>
  <c r="G81" i="203"/>
  <c r="F81" i="203"/>
  <c r="G78" i="203"/>
  <c r="E78" i="203"/>
  <c r="G77" i="203"/>
  <c r="E77" i="203"/>
  <c r="G76" i="203"/>
  <c r="F76" i="203"/>
  <c r="E76" i="203"/>
  <c r="G75" i="203"/>
  <c r="F75" i="203"/>
  <c r="E75" i="203"/>
  <c r="G72" i="203"/>
  <c r="E72" i="203"/>
  <c r="G70" i="203"/>
  <c r="G69" i="203"/>
  <c r="G68" i="203"/>
  <c r="G67" i="203"/>
  <c r="G66" i="203"/>
  <c r="G65" i="203"/>
  <c r="G64" i="203"/>
  <c r="G63" i="203"/>
  <c r="G62" i="203"/>
  <c r="G61" i="203"/>
  <c r="G60" i="203"/>
  <c r="G59" i="203"/>
  <c r="G58" i="203"/>
  <c r="G57" i="203"/>
  <c r="G56" i="203"/>
  <c r="G55" i="203"/>
  <c r="G54" i="203"/>
  <c r="G53" i="203"/>
  <c r="G52" i="203"/>
  <c r="G51" i="203"/>
  <c r="G50" i="203"/>
  <c r="G49" i="203"/>
  <c r="G48" i="203"/>
  <c r="G47" i="203"/>
  <c r="G46" i="203"/>
  <c r="G45" i="203"/>
  <c r="G44" i="203"/>
  <c r="G43" i="203"/>
  <c r="G42" i="203"/>
  <c r="G41" i="203"/>
  <c r="G39" i="203"/>
  <c r="E39" i="203"/>
  <c r="G38" i="203"/>
  <c r="E38" i="203"/>
  <c r="G37" i="203"/>
  <c r="E37" i="203"/>
  <c r="E36" i="203"/>
  <c r="G36" i="203" s="1"/>
  <c r="E35" i="203"/>
  <c r="G35" i="203" s="1"/>
  <c r="G34" i="203"/>
  <c r="E34" i="203"/>
  <c r="G32" i="203"/>
  <c r="E32" i="203"/>
  <c r="G31" i="203"/>
  <c r="E31" i="203"/>
  <c r="G30" i="203"/>
  <c r="E30" i="203"/>
  <c r="G29" i="203"/>
  <c r="E29" i="203"/>
  <c r="G25" i="203"/>
  <c r="G24" i="203"/>
  <c r="G23" i="203"/>
  <c r="G22" i="203"/>
  <c r="G21" i="203"/>
  <c r="G20" i="203"/>
  <c r="G19" i="203"/>
  <c r="F19" i="203"/>
  <c r="G18" i="203"/>
  <c r="G17" i="203"/>
  <c r="G16" i="203"/>
  <c r="G15" i="203"/>
  <c r="G14" i="203"/>
  <c r="G73" i="203" l="1"/>
  <c r="E79" i="203" s="1"/>
  <c r="G79" i="203" s="1"/>
  <c r="G80" i="203" s="1"/>
  <c r="F85" i="203"/>
  <c r="G85" i="203" s="1"/>
  <c r="F82" i="203" l="1"/>
  <c r="G82" i="203" s="1"/>
  <c r="G83" i="203" s="1"/>
  <c r="F86" i="203"/>
  <c r="F87" i="203" l="1"/>
  <c r="G87" i="203" s="1"/>
  <c r="G86" i="203"/>
  <c r="G88" i="203" l="1"/>
  <c r="G89" i="203" s="1"/>
  <c r="G90" i="203" s="1"/>
  <c r="G107" i="203" s="1"/>
  <c r="G108" i="203" s="1"/>
  <c r="E19" i="26" l="1"/>
  <c r="O27" i="202"/>
  <c r="O21" i="202"/>
  <c r="O25" i="202" s="1"/>
  <c r="O26" i="202" s="1"/>
  <c r="O32" i="202" l="1"/>
  <c r="O33" i="202" l="1"/>
  <c r="O35" i="202" l="1"/>
  <c r="O34" i="202"/>
  <c r="O36" i="202"/>
  <c r="O37" i="202" s="1"/>
  <c r="O38" i="202" s="1"/>
  <c r="O39" i="202" s="1"/>
  <c r="O40" i="202" s="1"/>
  <c r="F42" i="202" s="1"/>
  <c r="E13" i="26" l="1"/>
  <c r="M38" i="201"/>
  <c r="M37" i="201"/>
  <c r="M41" i="201" s="1"/>
  <c r="M42" i="201" s="1"/>
  <c r="M33" i="201"/>
  <c r="M32" i="201"/>
  <c r="M31" i="201"/>
  <c r="M30" i="201"/>
  <c r="M29" i="201"/>
  <c r="M34" i="201" s="1"/>
  <c r="M35" i="201" s="1"/>
  <c r="M25" i="201"/>
  <c r="M24" i="201"/>
  <c r="M23" i="201"/>
  <c r="M22" i="201"/>
  <c r="M19" i="201"/>
  <c r="M26" i="201" s="1"/>
  <c r="M27" i="201" s="1"/>
  <c r="M43" i="201" s="1"/>
  <c r="M44" i="201" s="1"/>
  <c r="F46" i="201" s="1"/>
  <c r="E18" i="26" l="1"/>
  <c r="G22" i="199"/>
  <c r="E21" i="199"/>
  <c r="G21" i="199" s="1"/>
  <c r="G20" i="199"/>
  <c r="G19" i="199"/>
  <c r="G16" i="199"/>
  <c r="G15" i="199"/>
  <c r="G14" i="199"/>
  <c r="G17" i="199" s="1"/>
  <c r="G23" i="199" l="1"/>
  <c r="G24" i="199" s="1"/>
  <c r="G25" i="199" s="1"/>
  <c r="G26" i="199" s="1"/>
  <c r="G27" i="199" s="1"/>
  <c r="G28" i="199" s="1"/>
  <c r="G29" i="199" s="1"/>
  <c r="G31" i="199" s="1"/>
  <c r="C5" i="26" l="1"/>
  <c r="B2" i="34"/>
  <c r="F39" i="34" l="1"/>
  <c r="F36" i="34"/>
  <c r="F33" i="34"/>
  <c r="A39" i="34"/>
  <c r="A36" i="34"/>
  <c r="A33" i="34"/>
  <c r="E27" i="33"/>
  <c r="E24" i="33"/>
  <c r="E21" i="33"/>
  <c r="A27" i="33"/>
  <c r="A24" i="33"/>
  <c r="A21" i="33"/>
  <c r="I33" i="37"/>
  <c r="I30" i="37"/>
  <c r="I27" i="37"/>
  <c r="A33" i="37"/>
  <c r="A30" i="37"/>
  <c r="A27" i="37"/>
  <c r="C16" i="34" l="1"/>
  <c r="C15" i="34"/>
  <c r="C14" i="34"/>
  <c r="D5" i="179" l="1"/>
  <c r="F5" i="179" s="1"/>
  <c r="F23" i="26" s="1"/>
  <c r="G19" i="26" l="1"/>
  <c r="G16" i="26" l="1"/>
  <c r="G15" i="26"/>
  <c r="G14" i="26"/>
  <c r="G13" i="26"/>
  <c r="G18" i="26" l="1"/>
  <c r="G17" i="26" l="1"/>
  <c r="G20" i="26" s="1"/>
  <c r="G10" i="205" s="1"/>
  <c r="D10" i="70" l="1"/>
  <c r="B14" i="34"/>
  <c r="E16" i="34" l="1"/>
  <c r="E15" i="34"/>
  <c r="E14" i="34"/>
  <c r="K10" i="205" l="1"/>
  <c r="G23" i="26"/>
  <c r="B16" i="34" l="1"/>
  <c r="D16" i="34" s="1"/>
  <c r="F16" i="34" s="1"/>
  <c r="H12" i="222"/>
  <c r="G24" i="26"/>
  <c r="G22" i="26"/>
  <c r="H10" i="222" s="1"/>
  <c r="I10" i="222" l="1"/>
  <c r="L10" i="222"/>
  <c r="I12" i="222"/>
  <c r="L12" i="222"/>
  <c r="O12" i="222" s="1"/>
  <c r="S12" i="222" s="1"/>
  <c r="U12" i="222" s="1"/>
  <c r="W12" i="222" s="1"/>
  <c r="G25" i="26"/>
  <c r="G11" i="205" s="1"/>
  <c r="B15" i="34"/>
  <c r="O10" i="222" l="1"/>
  <c r="L8" i="222"/>
  <c r="D15" i="34"/>
  <c r="F15" i="34" s="1"/>
  <c r="B17" i="34"/>
  <c r="B18" i="34" s="1"/>
  <c r="G26" i="26"/>
  <c r="D13" i="70"/>
  <c r="D15" i="70" s="1"/>
  <c r="D12" i="70"/>
  <c r="S10" i="222" l="1"/>
  <c r="O8" i="222"/>
  <c r="D16" i="70"/>
  <c r="D14" i="34"/>
  <c r="D17" i="34" s="1"/>
  <c r="D18" i="34" s="1"/>
  <c r="D19" i="34" s="1"/>
  <c r="U10" i="222" l="1"/>
  <c r="S8" i="222"/>
  <c r="S110" i="222" s="1"/>
  <c r="D17" i="70"/>
  <c r="H17" i="70" s="1"/>
  <c r="H18" i="70" s="1"/>
  <c r="H19" i="70" s="1"/>
  <c r="G16" i="70"/>
  <c r="F14" i="34"/>
  <c r="W10" i="222" l="1"/>
  <c r="W8" i="222" s="1"/>
  <c r="W110" i="222" s="1"/>
  <c r="W111" i="222" s="1"/>
  <c r="W112" i="222" s="1"/>
  <c r="U8" i="222"/>
  <c r="U110" i="222" s="1"/>
  <c r="S111" i="222"/>
  <c r="S112" i="222" s="1"/>
  <c r="D13" i="33"/>
  <c r="B19" i="34"/>
  <c r="F17" i="34"/>
  <c r="K11" i="205" l="1"/>
  <c r="C17" i="33" s="1"/>
  <c r="I12" i="205"/>
  <c r="I9" i="205" s="1"/>
  <c r="I13" i="205" s="1"/>
  <c r="U111" i="222"/>
  <c r="U112" i="222" s="1"/>
  <c r="F18" i="34"/>
  <c r="F19" i="34" s="1"/>
  <c r="E13" i="33"/>
  <c r="I14" i="205" l="1"/>
  <c r="I15" i="205" s="1"/>
  <c r="C15" i="33"/>
  <c r="D17" i="33" l="1"/>
  <c r="E17" i="33" s="1"/>
  <c r="K9" i="205"/>
  <c r="D14" i="33"/>
  <c r="D15" i="33" s="1"/>
  <c r="K13" i="205" l="1"/>
  <c r="E14" i="33"/>
  <c r="E15" i="33" s="1"/>
  <c r="K14" i="205" l="1"/>
  <c r="K15" i="205" s="1"/>
  <c r="C18" i="33"/>
  <c r="D18" i="33" s="1"/>
  <c r="E18" i="33" s="1"/>
  <c r="A4" i="37"/>
  <c r="A3" i="33"/>
  <c r="B22" i="36" l="1"/>
  <c r="G5" i="37"/>
  <c r="C3" i="70"/>
  <c r="A6" i="37"/>
</calcChain>
</file>

<file path=xl/sharedStrings.xml><?xml version="1.0" encoding="utf-8"?>
<sst xmlns="http://schemas.openxmlformats.org/spreadsheetml/2006/main" count="8943" uniqueCount="2996">
  <si>
    <t>Проектная документация</t>
  </si>
  <si>
    <t>№ п/п</t>
  </si>
  <si>
    <t>Наименование работ</t>
  </si>
  <si>
    <t>Ед. изм.</t>
  </si>
  <si>
    <t>Кол-во</t>
  </si>
  <si>
    <t>1</t>
  </si>
  <si>
    <t>1.1</t>
  </si>
  <si>
    <t>1.2</t>
  </si>
  <si>
    <t>Итого</t>
  </si>
  <si>
    <t>2.1</t>
  </si>
  <si>
    <t>2.2</t>
  </si>
  <si>
    <t>2.3</t>
  </si>
  <si>
    <t>4</t>
  </si>
  <si>
    <t>5</t>
  </si>
  <si>
    <t>4.1</t>
  </si>
  <si>
    <t>6</t>
  </si>
  <si>
    <t>Характеристика предприятия, здания, сооружения или виды работ</t>
  </si>
  <si>
    <t>3.1</t>
  </si>
  <si>
    <t>2.14</t>
  </si>
  <si>
    <t>2.15</t>
  </si>
  <si>
    <t>1.10</t>
  </si>
  <si>
    <t>1.11</t>
  </si>
  <si>
    <t xml:space="preserve">СВОДНАЯ  СМЕТА </t>
  </si>
  <si>
    <t>на проектные (изыскательские) работы</t>
  </si>
  <si>
    <t>Наименование строительства
и стадии проектирования</t>
  </si>
  <si>
    <t>Наименование проектной организации - генерального проектировщика</t>
  </si>
  <si>
    <t>Наименование организации-заказчика</t>
  </si>
  <si>
    <t>Руб.</t>
  </si>
  <si>
    <t>Перечень выполняемых работ</t>
  </si>
  <si>
    <t>Характеристика проектируемого объекта п. ЗП</t>
  </si>
  <si>
    <t>Ссылка на №№ смет по формам 2п и 3п</t>
  </si>
  <si>
    <t xml:space="preserve">          Стоимость работ, руб без НДС</t>
  </si>
  <si>
    <t>Изыскательские работы</t>
  </si>
  <si>
    <t>Проектные работы</t>
  </si>
  <si>
    <t>1. ИЗЫСКАТЕЛЬСКИЕ РАБОТЫ</t>
  </si>
  <si>
    <t>комплекс</t>
  </si>
  <si>
    <t>Смета № 1-из</t>
  </si>
  <si>
    <t>Смета № 2-из</t>
  </si>
  <si>
    <t>1.3</t>
  </si>
  <si>
    <t>Смета № 3-из</t>
  </si>
  <si>
    <t>1.4</t>
  </si>
  <si>
    <t>Смета № 4-из</t>
  </si>
  <si>
    <t>1.5</t>
  </si>
  <si>
    <t>2. ПРОЕКТНЫЕ РАБОТЫ СТАДИИ ПД</t>
  </si>
  <si>
    <t>ИТОГО по разделу 2:</t>
  </si>
  <si>
    <t>ВСЕГО:</t>
  </si>
  <si>
    <t>Наименование предприятия, здания, сооружения</t>
  </si>
  <si>
    <t>Стадия проектирования</t>
  </si>
  <si>
    <t>Вид проектных или
изыскательских работ</t>
  </si>
  <si>
    <t>Экспертиза проектно-изыскательских работ</t>
  </si>
  <si>
    <t>Наименование проектной (изыскательской) организации</t>
  </si>
  <si>
    <t>Наименование организации
заказчика</t>
  </si>
  <si>
    <t>Номер частей, глав, таблиц, процентов, параграфов и пунктов указаний к разделу Справочника базовых цен на проектные и изыскательские работы для строительства</t>
  </si>
  <si>
    <t>Единица измерения</t>
  </si>
  <si>
    <t>Расчет стоимости: (a+bx)*Kj или (объём строительно-монтажных работ)*проц./ 100 или количество * цена</t>
  </si>
  <si>
    <t>Стоимость работ, Руб.</t>
  </si>
  <si>
    <t>рублей</t>
  </si>
  <si>
    <t>Стоимость проектных работ в уровне цен 01.01.2001 г. без НДС</t>
  </si>
  <si>
    <t>Итого: ИЗ+ПД</t>
  </si>
  <si>
    <t>Постановление Правительства РФ от 05.03.2007 № 145</t>
  </si>
  <si>
    <t>% от суммы Спд и Сиж</t>
  </si>
  <si>
    <t>месяцев</t>
  </si>
  <si>
    <t>Сумма Спд и Сиж (млн.рублей,</t>
  </si>
  <si>
    <t>в ценах 2001 года)</t>
  </si>
  <si>
    <t>(П)</t>
  </si>
  <si>
    <t>0-0,15</t>
  </si>
  <si>
    <t>более 0,15</t>
  </si>
  <si>
    <t>более 0,25</t>
  </si>
  <si>
    <t>более 0,5</t>
  </si>
  <si>
    <t>более 0,75</t>
  </si>
  <si>
    <t>более 1</t>
  </si>
  <si>
    <t>более 1,5</t>
  </si>
  <si>
    <t>более 3</t>
  </si>
  <si>
    <t>более 4</t>
  </si>
  <si>
    <t>более 6</t>
  </si>
  <si>
    <t>более 8</t>
  </si>
  <si>
    <t>более 12</t>
  </si>
  <si>
    <t>более 18</t>
  </si>
  <si>
    <t>более 24</t>
  </si>
  <si>
    <t>более 30</t>
  </si>
  <si>
    <t>более 36</t>
  </si>
  <si>
    <t>более 45</t>
  </si>
  <si>
    <t>более 52,5</t>
  </si>
  <si>
    <t>более 60</t>
  </si>
  <si>
    <t>более 70</t>
  </si>
  <si>
    <t>более 80</t>
  </si>
  <si>
    <t>более 100</t>
  </si>
  <si>
    <t>более 120</t>
  </si>
  <si>
    <t>более 140</t>
  </si>
  <si>
    <t>более 160</t>
  </si>
  <si>
    <t>более 180</t>
  </si>
  <si>
    <t>более 200</t>
  </si>
  <si>
    <t>более 220</t>
  </si>
  <si>
    <t>3.2</t>
  </si>
  <si>
    <t>3.3</t>
  </si>
  <si>
    <t>3.4</t>
  </si>
  <si>
    <t>4.2</t>
  </si>
  <si>
    <t>№ пп</t>
  </si>
  <si>
    <t>Продолжительность работ в соответствие с Графиком</t>
  </si>
  <si>
    <t>№ п.п.</t>
  </si>
  <si>
    <t>Перечень видов работ</t>
  </si>
  <si>
    <t xml:space="preserve"> Стоимость проектирования  объекта в прогнозных ценах периода проектирования (руб.)</t>
  </si>
  <si>
    <t>без НДС</t>
  </si>
  <si>
    <t>с учетом НДС</t>
  </si>
  <si>
    <t>Инженерные изыскания</t>
  </si>
  <si>
    <t>Итого:</t>
  </si>
  <si>
    <t xml:space="preserve"> </t>
  </si>
  <si>
    <t>объект:</t>
  </si>
  <si>
    <t>по адресу:</t>
  </si>
  <si>
    <t>Основания для расчета:</t>
  </si>
  <si>
    <t>1. Задание на проектирование.</t>
  </si>
  <si>
    <t>Наименование работ и затрат</t>
  </si>
  <si>
    <t xml:space="preserve">Индекс фактической инфляции* </t>
  </si>
  <si>
    <t>Индекс прогнозной инфляции на период выполнения работ</t>
  </si>
  <si>
    <t>Начальная (максимальная) цена контракта с учетом индекса прогнозной инфляции на период выполнения работ</t>
  </si>
  <si>
    <t>Стоимость без учета НДС</t>
  </si>
  <si>
    <t>Стоимость с учетом НДС</t>
  </si>
  <si>
    <t>Начало работ</t>
  </si>
  <si>
    <t>Окончание работ</t>
  </si>
  <si>
    <t>3. Продолжительность проектирования:</t>
  </si>
  <si>
    <t>Стоимость работ в ценах на дату формирования начальной (максимальной) цены контракта</t>
  </si>
  <si>
    <t>Индекс прогнозной инфляции</t>
  </si>
  <si>
    <t>Описание метода расчета стоимости проектных работ</t>
  </si>
  <si>
    <t>рублей с учетом НДС</t>
  </si>
  <si>
    <t>начальной (максимальной) цены контракта</t>
  </si>
  <si>
    <t xml:space="preserve">Начальная (максимальная ) цена контракта составляет </t>
  </si>
  <si>
    <t>Начальная (максимальная ) цена контракта включает в себя расходы:</t>
  </si>
  <si>
    <t>Приложение:</t>
  </si>
  <si>
    <t>Расчет начальной (максимальной) цены контракта.</t>
  </si>
  <si>
    <t/>
  </si>
  <si>
    <t>АО "КАВКАЗ.РФ"</t>
  </si>
  <si>
    <t xml:space="preserve">Инженерно-геодезические изыскания </t>
  </si>
  <si>
    <t xml:space="preserve">Инженерно-экологические изыскания </t>
  </si>
  <si>
    <t>Процент от суммы Спд и Сиж</t>
  </si>
  <si>
    <t>Наименование проектной (изыскательской) организации:</t>
  </si>
  <si>
    <t xml:space="preserve">Проектная документация </t>
  </si>
  <si>
    <t>%</t>
  </si>
  <si>
    <t>2</t>
  </si>
  <si>
    <t>3</t>
  </si>
  <si>
    <t>7</t>
  </si>
  <si>
    <t>Расчет начальной максимальной цены договора</t>
  </si>
  <si>
    <t>Дата формирования НМЦК</t>
  </si>
  <si>
    <t>ПОЯСНИТЕЛЬНАЯ ЗАПИСКА</t>
  </si>
  <si>
    <t>Протокол</t>
  </si>
  <si>
    <t xml:space="preserve">Расчет начальной (максимальной) цены контракта при осуществлении закупок работ по инженерным изысканиям и по подготовке проектной документации </t>
  </si>
  <si>
    <t>Заказчик</t>
  </si>
  <si>
    <t>(наименование объекта капитального строительства)</t>
  </si>
  <si>
    <t>Проверил:</t>
  </si>
  <si>
    <t>*Индекс фактической инфляции по данным Росстата от цен  сметной документации до даты формирования НМЦК:</t>
  </si>
  <si>
    <t>-индекс фактической инфляции по данным Росстата от цен  сметной документации до даты формирования НМЦК;</t>
  </si>
  <si>
    <t>РАСЧЕТ ЗАТРАТ НА ГОСУДАРСТВЕННУЮ ЭКСПЕРТИЗУ</t>
  </si>
  <si>
    <t>Оценка воздействия на окружающую среду</t>
  </si>
  <si>
    <t>Расчет ОВОС</t>
  </si>
  <si>
    <t>№ п\п</t>
  </si>
  <si>
    <t>Наименование организации заказчика</t>
  </si>
  <si>
    <t>Обоснование стоимости</t>
  </si>
  <si>
    <t>Расчет стоимости</t>
  </si>
  <si>
    <t>Стоимость, руб.</t>
  </si>
  <si>
    <t>1.6</t>
  </si>
  <si>
    <t>2.4</t>
  </si>
  <si>
    <t>2.5</t>
  </si>
  <si>
    <t>2.6</t>
  </si>
  <si>
    <t>3.5</t>
  </si>
  <si>
    <t>3.6</t>
  </si>
  <si>
    <t>1 точка</t>
  </si>
  <si>
    <t>1 образец</t>
  </si>
  <si>
    <t>Описание метода расчета стоимости изыскательских работ</t>
  </si>
  <si>
    <t>- затраты на инженерные изыскания:</t>
  </si>
  <si>
    <t>инженерно-геодезические изыскания;</t>
  </si>
  <si>
    <t>инженерно-геологические изыскания ;</t>
  </si>
  <si>
    <t>инженерно-экологические изыскания;</t>
  </si>
  <si>
    <t>- оценку воздействия на водные биологические ресурсы (1 водный объект);</t>
  </si>
  <si>
    <t>Цена</t>
  </si>
  <si>
    <t>1.7</t>
  </si>
  <si>
    <t>1.8</t>
  </si>
  <si>
    <t>1.9</t>
  </si>
  <si>
    <t>1.12</t>
  </si>
  <si>
    <t>1.13</t>
  </si>
  <si>
    <t>Приготовление солянокислой вытяжки</t>
  </si>
  <si>
    <t>2.7</t>
  </si>
  <si>
    <t>2.8</t>
  </si>
  <si>
    <t>2.9</t>
  </si>
  <si>
    <t>2.10</t>
  </si>
  <si>
    <t>Приготовление водной вытяжки</t>
  </si>
  <si>
    <t>2.11</t>
  </si>
  <si>
    <t>2.12</t>
  </si>
  <si>
    <t>2.13</t>
  </si>
  <si>
    <t>Итого стоимость камеральных работ</t>
  </si>
  <si>
    <t>4.3</t>
  </si>
  <si>
    <t>4.4</t>
  </si>
  <si>
    <t>4.5</t>
  </si>
  <si>
    <t>Объект</t>
  </si>
  <si>
    <t>археологические исследования;</t>
  </si>
  <si>
    <t>Разработал:</t>
  </si>
  <si>
    <t>Согласовал:</t>
  </si>
  <si>
    <t>Директор Департамента развития инфраструктуры</t>
  </si>
  <si>
    <t>Начало работ:</t>
  </si>
  <si>
    <t>Окончание работ:</t>
  </si>
  <si>
    <t>Наименование, номера глав, таблиц, параграфов и пунктов МНЗ на проектные работы</t>
  </si>
  <si>
    <t>Российская Федерация, Республика Дагестан, Дербентский район</t>
  </si>
  <si>
    <t>2.16</t>
  </si>
  <si>
    <t>2.17</t>
  </si>
  <si>
    <t>2.18</t>
  </si>
  <si>
    <t>Марганец</t>
  </si>
  <si>
    <t>2.19</t>
  </si>
  <si>
    <t>2.20</t>
  </si>
  <si>
    <t>2.21</t>
  </si>
  <si>
    <t>Никель</t>
  </si>
  <si>
    <t>2.22</t>
  </si>
  <si>
    <t>Цинк</t>
  </si>
  <si>
    <t>2.23</t>
  </si>
  <si>
    <t>2.24</t>
  </si>
  <si>
    <t>2.25</t>
  </si>
  <si>
    <t>2.26</t>
  </si>
  <si>
    <t>Нефтепродукты</t>
  </si>
  <si>
    <t>2.27</t>
  </si>
  <si>
    <t>Фенолы</t>
  </si>
  <si>
    <t>2.28</t>
  </si>
  <si>
    <t>2.29</t>
  </si>
  <si>
    <t>2.30</t>
  </si>
  <si>
    <t>2.31</t>
  </si>
  <si>
    <t>2.32</t>
  </si>
  <si>
    <t>2.33</t>
  </si>
  <si>
    <t>2.34</t>
  </si>
  <si>
    <t>Мышьяк</t>
  </si>
  <si>
    <t>^(1/12)</t>
  </si>
  <si>
    <t>Оценка воздействия проектируемого объекта на водные биологические ресурсы и среду их обитания (1 водный объект высшей рыбохозяйственной категории)</t>
  </si>
  <si>
    <t>Стоимость инженерных изысканий в уровне цен 01.01.2001 г. без НДС</t>
  </si>
  <si>
    <t>коэффициент, отражающий инфляционные процессы по сравнению с 1 января 2001 г., который определяется как произведение публикуемых Федеральной службой государственной статистики индексов потребительских цен для каждого года, следующего за 2000 годом, до года, предшествующего тому, в котором определяется размер платы за проведение государственной экспертизы (включительно).</t>
  </si>
  <si>
    <t>Разработка проектной документации стадии "Проектная документация"</t>
  </si>
  <si>
    <t>к расчету начальной максимальной цены договора</t>
  </si>
  <si>
    <t>Начальная максимальная цена договора (далее - НМЦД) определена в соответствии с  Приказом Минстроя России от 23 декабря 2019 г. № 841/пр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требованием Положения о закупке товаров, работ, услуг акционерного общества "КАВКАЗ.РФ", утвержденного  Приказом акционерного общества "КАВКАЗ.РФ" от27.01.2026  № Пр-26-18.</t>
  </si>
  <si>
    <t xml:space="preserve">Для определения цены изыскательских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справочников базовых цен  на инженерные изыскания в строительстве, нормативных затрат на работы по инженерным изысканиям, Методического пособия по определению стоимости инженерных изысканий для строительства, введенного в действие письмом Госстроя России от 31.03.2004 № НЗ-2078/10, Методики определения стоимости работ по инженерным изысканиям, утвержденной приказом Минстрой РФ от 09.01.2024 № 1/пр. </t>
  </si>
  <si>
    <t>Индекс пересчета в текущие цены на II квартал 2026 года принят согласно письму Минстроя России от 08.04.2026 №20212-ИФ/09;</t>
  </si>
  <si>
    <t>В расчете приняты предполагаемые виды и объемы проектных работ в соответствии с заданием на проектирование, предполагаемые технические характеристики объектов проектирования.</t>
  </si>
  <si>
    <t xml:space="preserve">     инженерно-гидрометеорологические изыскания;</t>
  </si>
  <si>
    <t>- налог на добавленную стоимость в размере 22%.</t>
  </si>
  <si>
    <t>2. Предполагаемые виды и объемы изыскательских работ</t>
  </si>
  <si>
    <t>НДС-22%</t>
  </si>
  <si>
    <t>Стоимость работ в ценах  сметной документации
II квартала 2026 г.</t>
  </si>
  <si>
    <t>Индекс прогнозной инфляции:</t>
  </si>
  <si>
    <t>ежемесячный прогнозный индекс на 2026 год</t>
  </si>
  <si>
    <t>Начальник отдела ценообразования
управления проектов
департамента развития инфраструктуры</t>
  </si>
  <si>
    <t>дата формирования НМЦК принята следующим днем за периодом окончания действия цен сметной документации (2 кв. 2026 г.)</t>
  </si>
  <si>
    <t>проба</t>
  </si>
  <si>
    <t>20 точек</t>
  </si>
  <si>
    <t>Запах при 20 град.</t>
  </si>
  <si>
    <t>Гл. 18, табл. 72, § 81</t>
  </si>
  <si>
    <t>Гл. 18, табл. 72, § 90</t>
  </si>
  <si>
    <t>Гл. 18, табл. 72, § 84</t>
  </si>
  <si>
    <t>Концентрация водородных ионов - рН</t>
  </si>
  <si>
    <t>Гл. 18, табл. 72, § 24</t>
  </si>
  <si>
    <t>Гл. 18, табл. 72, § 78</t>
  </si>
  <si>
    <t>Аммонийный азот</t>
  </si>
  <si>
    <t xml:space="preserve">Гл. 18, табл. 72, § 2 </t>
  </si>
  <si>
    <t>Гл. 18, табл. 72, § 42</t>
  </si>
  <si>
    <t>Гл. 18, табл. 72, § 41</t>
  </si>
  <si>
    <t>Фосфатный фосфор</t>
  </si>
  <si>
    <t>Гл. 18, табл. 72, § 69</t>
  </si>
  <si>
    <t>Гл. 18, табл. 72, § 66</t>
  </si>
  <si>
    <t>Гл. 18, табл. 72, § 85</t>
  </si>
  <si>
    <t>Кадмий</t>
  </si>
  <si>
    <t>Гл. 18, табл. 72, § 15</t>
  </si>
  <si>
    <t xml:space="preserve">Медь </t>
  </si>
  <si>
    <t>Гл. 18, табл. 72, § 32</t>
  </si>
  <si>
    <t xml:space="preserve">Свинец </t>
  </si>
  <si>
    <t>Гл. 18, табл. 72, § 49</t>
  </si>
  <si>
    <t>Гл. 18, табл. 72, § 35</t>
  </si>
  <si>
    <t>Гл. 18, табл. 72, § 40</t>
  </si>
  <si>
    <t xml:space="preserve">Ртуть </t>
  </si>
  <si>
    <t>Гл. 18, табл. 72, § 48</t>
  </si>
  <si>
    <t>Гл. 18, табл. 72, § 75</t>
  </si>
  <si>
    <t>Гл. 18, табл. 72, § 59</t>
  </si>
  <si>
    <t>Пробоподготовка для выполнения физико-химических исследований солей тяжелых металлов</t>
  </si>
  <si>
    <t xml:space="preserve">Железо </t>
  </si>
  <si>
    <t>Сухой остаток (минерализация)</t>
  </si>
  <si>
    <t>Запах при 60 град. С</t>
  </si>
  <si>
    <t>Гл. 18, табл. 72, § 82</t>
  </si>
  <si>
    <t xml:space="preserve">Цветность </t>
  </si>
  <si>
    <t>Мутность</t>
  </si>
  <si>
    <t>Гл. 18, табл. 72, § 56</t>
  </si>
  <si>
    <t>Общая жесткость</t>
  </si>
  <si>
    <t>Гл. 18, табл. 72, § 12</t>
  </si>
  <si>
    <t>Химическое потребление кислорода ХПК</t>
  </si>
  <si>
    <t>Гл. 18, табл. 72, § 79</t>
  </si>
  <si>
    <t>Перманганатная окисляемость</t>
  </si>
  <si>
    <t>Гл. 18, табл. 72, § 43</t>
  </si>
  <si>
    <t>Нитраты</t>
  </si>
  <si>
    <t>Нитриты</t>
  </si>
  <si>
    <t>СПАВ</t>
  </si>
  <si>
    <t>Гл. 18, табл. 72, § 8</t>
  </si>
  <si>
    <t>Гл. 18, табл. 72, § 31</t>
  </si>
  <si>
    <t>Сероводород</t>
  </si>
  <si>
    <t>Гл. 18, табл. 72, § 51</t>
  </si>
  <si>
    <t>Сульфаты</t>
  </si>
  <si>
    <t>Гл. 18, табл. 72, § 55</t>
  </si>
  <si>
    <t>Хлориды</t>
  </si>
  <si>
    <t>Гл. 18, табл. 72, § 72</t>
  </si>
  <si>
    <t>Радионуклиды (Альфа- и Бета-активность)</t>
  </si>
  <si>
    <t>Гл. 18, табл. 72, § 46</t>
  </si>
  <si>
    <t>Камеральные работы</t>
  </si>
  <si>
    <t xml:space="preserve">Измерение потока радона на участке </t>
  </si>
  <si>
    <t>Прочие расходы</t>
  </si>
  <si>
    <t>Справка</t>
  </si>
  <si>
    <t>1 квадрат</t>
  </si>
  <si>
    <t>Полевые работы</t>
  </si>
  <si>
    <t>Коэффициенты</t>
  </si>
  <si>
    <t>K1 = 1.35
Прим. к табл.1 п.4 (Ценообразующий)</t>
  </si>
  <si>
    <t>Индекс на II квартал 2026 года на изыскательские работы к уровню цен на 01.01.2001</t>
  </si>
  <si>
    <t>Итого по разделу 1</t>
  </si>
  <si>
    <t xml:space="preserve">Поиск местоположения трассы подземной инженерной коммуникации. Съёмка оси трассы подземной инженерной коммуникации. Планово-высотная привязка выходов подземных инженерных коммуникаций на поверхность земли. Определение глубины залегания. Закрепление оси трасс в местах пересечения существующих инженерных сетей с проектируемой. </t>
  </si>
  <si>
    <t>Графическое изображение территории в виде карты, на которой указаны границы участков, объекты инфраструктуры, рельеф, коммуникации и другая информация: Рельеф местности; Границы участка и соседних земель; Естественные объекты; Инженерные коммуникации; Существующие здания, сооружения и инфраструктуру; Земельные участки; Планируемые объекты и строения</t>
  </si>
  <si>
    <t>Процесс поиска и обследования линейных сетей (трубопроводов, кабельных линий, коллекторов) с целью их отображения на плане</t>
  </si>
  <si>
    <t>Камеральное трассирование. Проектирование трассы по топографическим картам, планам, аэросъёмным материалам или цифровым моделям местности.</t>
  </si>
  <si>
    <t>Составление программы инженерно-геодезических изысканий при общей стоимости полевых и камеральных работ, определенной по показателям затрат, приведенным в НЗ, тысяч рублей:</t>
  </si>
  <si>
    <t>Составление технического отчета по результатам выполнения работ по ИГДИ при общей стоимости полевых и камеральных работ, определенной по показателям затрат, приведенным в НЗ, тысяч рублей:</t>
  </si>
  <si>
    <t xml:space="preserve">Результат работ </t>
  </si>
  <si>
    <t>Составил</t>
  </si>
  <si>
    <t>Проверил</t>
  </si>
  <si>
    <t>на инженерно-гидрометеорологические изыскания</t>
  </si>
  <si>
    <t>Адепт: Проект v 2026.3.0 © ООО"Адепт"</t>
  </si>
  <si>
    <t>По объекту:</t>
  </si>
  <si>
    <t>Наименование предприятия, здания, сооружения, стадии проектирования, этапа, вида проектных или изыскательских работ</t>
  </si>
  <si>
    <t>Сметный расчет составлен в ценах II кв. 2026 г.</t>
  </si>
  <si>
    <t>Наименование объекта проектирования или вида проектных работ</t>
  </si>
  <si>
    <t>Стадия: Проектная документация</t>
  </si>
  <si>
    <t>Кст = 0.4</t>
  </si>
  <si>
    <t xml:space="preserve">инд.2кв.2026г.к 01.01.2024 на пр.раб. </t>
  </si>
  <si>
    <t>Ктек = 1.27
Письмо Минстроя России от 08.04.2026 №20212-ИФ/09</t>
  </si>
  <si>
    <t xml:space="preserve">Коэффициент, учитывающий сейсмичность: 9 баллов и более. Коэффициент применяется к стоимости проектирования следующих разделов П+Р: ПЗУ (ППО в части вертикальной планировки и организации рельефа, транспорта); в полном объеме АР и КР (ТКР, ИЛО); в части монтажных элементов ИОС; доля СМ на выполняемый объем </t>
  </si>
  <si>
    <t xml:space="preserve">Разделы документации </t>
  </si>
  <si>
    <t xml:space="preserve">инд.2кв.2026г.к 01.01.2021 на пр.раб. </t>
  </si>
  <si>
    <t>Ктек = 1.68
Письмо Минстроя России от 08.04.2026 №20212-ИФ/09</t>
  </si>
  <si>
    <t>К'пон = Xзад / (0.5 * Xмин)</t>
  </si>
  <si>
    <t>K2 = 0.2
Методика, 707/пр. Глава IX, п.152 (Ценообразующий)</t>
  </si>
  <si>
    <t>КПП, площадью от 20 до 200 кв.м включительно</t>
  </si>
  <si>
    <t xml:space="preserve">инд.2кв.2026г.к 01.01.2022 на пр.раб. </t>
  </si>
  <si>
    <t>Ктек = 1.53
Письмо Минстроя России от 08.04.2026 №20212-ИФ/09</t>
  </si>
  <si>
    <t xml:space="preserve">K1 = 1.3 (РПД 2.1-2.3,3-4,5.1-5.6,6)
Методика, 707/пр. Приложение 5, табл.5.1, п.2.3 (Усложняющий) </t>
  </si>
  <si>
    <t>Раздел</t>
  </si>
  <si>
    <t xml:space="preserve">K2 = 1.3 (РПД 2-3)
Методика, 707/пр. Приложение 5, табл.5.1, п.2.3 (Усложняющий) </t>
  </si>
  <si>
    <t xml:space="preserve">K2 = 1.3 (РПД 2-4,5.1-5.3)
Методика, 707/пр. Приложение 5, табл.5.1, п.2.3 (Усложняющий) </t>
  </si>
  <si>
    <t xml:space="preserve">Сооружения кабельной электрической линии напряжением до 20 кВ. Протяженность от 100 до 500 п.м включительно. </t>
  </si>
  <si>
    <t xml:space="preserve">Проектирование сооружений кабельной электрической линии напряжением до 1 кВ определяется с корректирующим коэффициентом </t>
  </si>
  <si>
    <t xml:space="preserve">Система охранная телевизионная наружная (далее - СОТН). Количество видеокамер от 10 до 50 шт. включительно. </t>
  </si>
  <si>
    <t xml:space="preserve">K1 = 1.3 (РПД 2-4,5.1-5.2)
Методика, 707/пр. Приложение 5, табл.5.1, п.2.3 (Усложняющий) </t>
  </si>
  <si>
    <t>Интегрируемый комплекс приема, обработки и хранения информации со средств защиты ИТСО (сервер ИТСО), объектовые оконечные устройства СОТС, 1 сервер (устройство)</t>
  </si>
  <si>
    <t xml:space="preserve">K1 = 1.3 (РПД 2-3,4.1)
Методика, 707/пр. Приложение 5, табл.5.1, п.2.3 (Усложняющий) </t>
  </si>
  <si>
    <t>15.7% = 14 813 руб.</t>
  </si>
  <si>
    <t>13.1% * (1 + 0.3) = 16 068 руб.</t>
  </si>
  <si>
    <t>25.2% * (1 + 0.3) = 30 909 руб.</t>
  </si>
  <si>
    <t>7.28% = 6 869 руб.</t>
  </si>
  <si>
    <t>5.6% * (1 + 0.3) [из  7.28%] = 6 869 руб.</t>
  </si>
  <si>
    <t>23.6% = 22 266 руб.</t>
  </si>
  <si>
    <t xml:space="preserve">Сооружение канализации линейных сооружений слаботочной сети. Сооружение канализации линейных сооружений слаботочной сети из труб диаметром до 125 мм, емкостью трубопровода до 2 отверстий включительно. Протяженность от 100 до 500 п.м включительно. </t>
  </si>
  <si>
    <t xml:space="preserve">K2 = 1.3 (РПД 2-3,4.1-4.2)
Методика, 707/пр. Приложение 5, табл.5.1, п.2.3 (Усложняющий) </t>
  </si>
  <si>
    <t xml:space="preserve">Проектирование системы охраны входов (домофон, видеодомофон) и дистанционного открывания дверей без разводки по квартирам жилого дома применяется с корректирующим коэффициентом </t>
  </si>
  <si>
    <t>K1 = 0.7
Табл.3.2.1 (Ценообразующий)</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</si>
  <si>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t>
  </si>
  <si>
    <t>Кст = 0.42</t>
  </si>
  <si>
    <t xml:space="preserve">инд.2кв.2026г.к 01.01.2001 на пр.раб. </t>
  </si>
  <si>
    <t>Ктек = 7.1
Письмо Минстроя России от 08.04.2026 №20212-ИФ/09</t>
  </si>
  <si>
    <t>Итого по смете:</t>
  </si>
  <si>
    <t>Всего по смете:</t>
  </si>
  <si>
    <t>Всего по смете (руб.):</t>
  </si>
  <si>
    <t xml:space="preserve">Приложение №1 Прейскурант ГНЦ РФ ФГБНУ "ВНИРО" к приказу от 30.12.2025 № 206, п. 1.3.1.а </t>
  </si>
  <si>
    <t>на инженерно-геологические изыскания</t>
  </si>
  <si>
    <t>(наименование вида инженерных изысканий)</t>
  </si>
  <si>
    <t>Сметная стоимость в уровне цен, сложившемся на день составления сметной документации, руб.</t>
  </si>
  <si>
    <t>I. Полевые работы</t>
  </si>
  <si>
    <t xml:space="preserve">инд.2кв.2026г.к 01.01.2024 на инж.из. </t>
  </si>
  <si>
    <t>Ктек = 1.25
Письмо Минстроя России от 08.04.2026 №20212-ИФ/09</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</si>
  <si>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до 15 (пятнадцати) метров включительно. в грунтах категории I. </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</si>
  <si>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до 15 (пятнадцати) метров включительно. в грунтах категории II. </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</si>
  <si>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до 15 (пятнадцати) метров включительно. в грунтах категории III. </t>
  </si>
  <si>
    <t>Проведение гидрогеологических исследований первого от поверхности земли подземного водоносного горизонта в инженерно-геологических скважинах</t>
  </si>
  <si>
    <t>Крепление инженерно-геологических скважин обсадными трубами</t>
  </si>
  <si>
    <t>Итого по разделу I</t>
  </si>
  <si>
    <t>Всего по разделу I</t>
  </si>
  <si>
    <t>II. Лабораторные работы</t>
  </si>
  <si>
    <t>Приемка, регистрация, консервация образца грунта с отбором части для хранения в архиве</t>
  </si>
  <si>
    <t>Отбор проб из образца грунта для определения физических свойств</t>
  </si>
  <si>
    <t>Описание образца грунта при проведении лабораторных определений физических свойств</t>
  </si>
  <si>
    <t>Лабораторные определения физических свойств глинистых грунтов. Определение плотности глинистого грунта методом режущего кольца</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</si>
  <si>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влажности грунта методом высушивания до постоянной массы</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</si>
  <si>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частиц грунта пикнометрическим методом</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</si>
  <si>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(зернового) состава грунта ареометрическим методом с разделением грунта на фракции размерами: от 0,05 до 0,1 миллиметра, от 0,01 до 0,05 миллиметра, от 0,005 до 0,01 миллиметра, от 0,001 до 0,005 миллиметра и до 0,001 миллиметра</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</si>
  <si>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(зернового) состава грунта ситовым методом с промывкой водой с разделением грунта на фракции размерами: свыше 10 миллиметров, от 5 до 10 миллиметров, от 2 до 5 миллиметров, от 1 до 2 миллиметров, от 0,5 до 1 миллиметра, от 0,25 до 0,5 миллиметра, от 0,1 до 0,25 миллиметра и до 0,1 миллиметра</t>
  </si>
  <si>
    <t>Определение характеристик деформируемости глинистого грунта с показателем текучести менее 0,25 для образцов ненарушенного сложения методом компрессионного сжатия с предварительным водонасыщением образца грунта (при необходимости) и при нагружении одного образца грунта не менее чем пятью ступенями статической нагрузки</t>
  </si>
  <si>
    <t>A * Количество * Ктек
7357 руб. * 12 * 1.25</t>
  </si>
  <si>
    <t>Определение характеристик деформируемости глинистого грунта с показателем текучести более 0,25 для образцов ненарушенного сложения методом компрессионного сжатия с предварительным водонасыщением образца грунта (при необходимости) и при нагружении одного образца грунта не менее чем пятью ступенями статической нагрузки</t>
  </si>
  <si>
    <t>A * Количество * Ктек
7901 руб. * 6 * 1.25</t>
  </si>
  <si>
    <t>Определение характеристик прочности суглинка с числом пластичности до 12 (двенадцати) процентов консолидированно-дренированными испытаниями методом одноплоскостного среза при проведении не менее трех испытаний идентичных образцов при различных значениях нормального напряжения</t>
  </si>
  <si>
    <t>Определение характеристик прочности суглинка с числом пластичности от 12 (двенадцати) до 17 (семнадцати) процентов включительно консолидированно-дренированными испытаниями методом одноплоскостного среза при проведении не менее трех испытаний идентичных образцов при различных значениях нормального напряжения</t>
  </si>
  <si>
    <t>A * Количество * Ктек
9172 руб. * 12 * 1.25</t>
  </si>
  <si>
    <t>Лабораторные определения физических свойств глинистых грунтов. Определение верхнего предела пластичности глинистого грунта — влажности грунта на границе текучести и нижнего предела пластичности глинистого грунта - влажности грунта на границе раскатывания при проведении испытания с использованием образца грунта природной влажности</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</si>
  <si>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угла естественного откоса с проведением испытания для грунта в воздушно-сухом состоянии и под водой</t>
  </si>
  <si>
    <t>Лабораторные определения физических свойств песчаных и крупнообломочных грунтов. Определение плотности песчаного грунта в рыхлом и плотном состояниях</t>
  </si>
  <si>
    <t>Определение характеристик прочности методом трехосного сжатия песчаного грунта. Консолидированно-дренированным испытанием (КД)</t>
  </si>
  <si>
    <t>Определение характеристик деформируемости методом трехосного сжатия песчаного грунта. Консолидированно-дренированным испытанием (КД)</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</si>
  <si>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содержания органических веществ в грунте методом прокаливания до постоянной массы</t>
  </si>
  <si>
    <t>Определение удельного электрического сопротивления и средней плотности катодного тока грунта</t>
  </si>
  <si>
    <t>A * Количество * Ктек
2726 руб. * 12 * 1.25</t>
  </si>
  <si>
    <t>Итого по разделу II</t>
  </si>
  <si>
    <t>Всего по разделу II</t>
  </si>
  <si>
    <t>III. Камеральные работы</t>
  </si>
  <si>
    <t xml:space="preserve">Камеральная обработка результатов полевых работ по проходке следующих инженерно-геологических выработок инженерно-геологических скважин в условиях категории сложности инженерно-геологических условий: III. </t>
  </si>
  <si>
    <t xml:space="preserve">Камеральная обработка результатов лабораторных определений физических свойств грунтов: глинистых. </t>
  </si>
  <si>
    <t xml:space="preserve">Камеральная обработка результатов лабораторных исследований механических свойств грунтов (методом компрессионного сжатия, методом одноплоскостного среза, методом трехосного сжатия): глинистых. </t>
  </si>
  <si>
    <t xml:space="preserve">Камеральная обработка результатов лабораторных определений физических свойств грунтов: песчаных. </t>
  </si>
  <si>
    <t xml:space="preserve">Камеральная обработка результатов лабораторных исследований механических свойств грунтов (методом компрессионного сжатия, методом одноплоскостного среза, методом трехосного сжатия): песчаных. </t>
  </si>
  <si>
    <t>Камеральная обработка результатов лабораторных исследований физических свойств, химического состава и агрессивности водной вытяжки из грунтов и удельного электрического сопротивления и средней плотности катодного тока грунта</t>
  </si>
  <si>
    <t>A * Количество * Ктек
352 руб. * 12 * 1.25</t>
  </si>
  <si>
    <t>Итого по разделу III</t>
  </si>
  <si>
    <t>Всего по разделу III</t>
  </si>
  <si>
    <t>IV. Дополнительные и специальные работы</t>
  </si>
  <si>
    <t xml:space="preserve">(К22) Стоимость камеральных работ по составлению программы инженерно-геологических изысканий для инженерно-геологических условий категорий сложности III определяется по показателям затрат (ПЗдоп) с применением корректирующего коэффициента </t>
  </si>
  <si>
    <t>К22 = 1.4
Прим. к табл.66, п.2 (Ценообразующий)</t>
  </si>
  <si>
    <t>Составление технического отчета по результатам выполнения работ по ИГИ при общей стоимости камеральных работ в уровне цен по состоянию на 1 января 2024 г. (без учета дополнительных затрат), определенной по показателям затрат, приведенным в НЗ, в условиях инженерно-геологических условий категории сложности III, тысяч рублей:</t>
  </si>
  <si>
    <t>Итого по разделу IV</t>
  </si>
  <si>
    <t>Всего по разделу IV</t>
  </si>
  <si>
    <t>должность, подпись (инициалы, фамилия)</t>
  </si>
  <si>
    <t xml:space="preserve">Рекогносцировочное обследование: в условиях производства полевых работ категории II. площадь участка от 5 до 20 гектаров включительно. </t>
  </si>
  <si>
    <t xml:space="preserve">Монтаж и демонтаж водоподъемного оборудования и измерительных приборов для проведения опытной одиночной откачки из скважины глубиной, метров: до 15 метров включительно. </t>
  </si>
  <si>
    <t>A * Количество * Ктек
41785 руб. * 1 * 1.25</t>
  </si>
  <si>
    <t>Опытная одиночная откачка из скважины</t>
  </si>
  <si>
    <t>A * Количество * Ктек
5134 руб. * 12 * 1.25</t>
  </si>
  <si>
    <t>Лабораторные определения физических свойств глинистых грунтов. Определение характеристик набухания глинистого грунта методом свободного набухания</t>
  </si>
  <si>
    <t>A * Количество * Ктек
723 руб. * 10 * 1.25</t>
  </si>
  <si>
    <t>Определение характеристик прочности методом трехосного сжатия суглинка с числом пластичности до 12 (двенадцати) процентов и показателем текучести до 0,5 включительно. Консолидированно-дренированным испытанием (КД)</t>
  </si>
  <si>
    <t>Определение характеристик прочности методом трехосного сжатия суглинка с числом пластичности свыше 12 (двенадцати) процентов включительно и показателем текучести до 0,5 включительно. Консолидированно-дренированным испытанием (КД)</t>
  </si>
  <si>
    <t>Определение характеристик прочности методом трехосного сжатия суглинка числом пластичности свыше 12 (двенадцати) процентов включительно и показателем текучести свыше 0,5. Консолидированно-дренированным испытанием (КД)</t>
  </si>
  <si>
    <t>Определение характеристик деформируемости методом трехосного сжатия суглинка с числом пластичности до 12 (двенадцати) процентов и показателем текучести до 0,5 включительно. Консолидированно-дренированным испытанием (КД)</t>
  </si>
  <si>
    <t>Определение характеристик деформируемости методом трехосного сжатия суглинка с числом пластичности свыше 12 (двенадцати) процентов включительно и показателем текучести до 0,5 включительно. Консолидированно-дренированным испытанием (КД)</t>
  </si>
  <si>
    <t>Определение характеристик деформируемости методом трехосного сжатия суглинка с числом пластичности свыше 12 (двенадцати) процентов включительно и показателем текучести свыше 0,5. Консолидированно-дренированным испытанием (КД)</t>
  </si>
  <si>
    <t>Определение физических свойств, химического состава и агрессивности водной вытяжки из грунтов</t>
  </si>
  <si>
    <t>A * Количество * Ктек
9786 руб. * 12 * 1.25</t>
  </si>
  <si>
    <t>2.35</t>
  </si>
  <si>
    <t>Определение физических свойств, химического состава и агрессивности подземных вод</t>
  </si>
  <si>
    <t>A * Количество * Ктек
11731 руб. * 3 * 1.25</t>
  </si>
  <si>
    <t>Камеральная обработка результатов полевых испытаний грунтов методом статического зондирования непрерывным вдавливанием зонда</t>
  </si>
  <si>
    <t>Камеральная обработка результатов проведения полевых испытаний по опытной одиночной откачке из скважины</t>
  </si>
  <si>
    <t>A * Количество * Ктек
16696 руб. * 1 * 1.25</t>
  </si>
  <si>
    <t>3.7</t>
  </si>
  <si>
    <t>3.8</t>
  </si>
  <si>
    <t>3.9</t>
  </si>
  <si>
    <t>Камеральная обработка результатов лабораторных исследований физических свойств, химического состава и агрессивности подземных вод</t>
  </si>
  <si>
    <t>A * Количество * Ктек
385 руб. * 3 * 1.25</t>
  </si>
  <si>
    <t>3.10</t>
  </si>
  <si>
    <t>II. Камеральные работы</t>
  </si>
  <si>
    <t>III. Дополнительные и специальные работы</t>
  </si>
  <si>
    <t>Расчет оценки воздействия на окружающую среду</t>
  </si>
  <si>
    <t>Объект: Всесезонный туристско-рекреационный комплекс «Каспийский прибрежный кластер», Республика Дагестан. Водоотводной коллектор с глубоководным выпуском в Каспийское море.«Каспийский прибрежный кластер» в Каспийское море»</t>
  </si>
  <si>
    <t>Стоимость разработки ПД</t>
  </si>
  <si>
    <t>Стоимость разработки РД</t>
  </si>
  <si>
    <t>Итого стоимость ПД+РД</t>
  </si>
  <si>
    <t>Итого затраты на ОВОС, руб.</t>
  </si>
  <si>
    <t>Норма затрат на ОВОС-4% от (ПД+РД) согласно п. 10 Приложения № 4 к Методике № 707/пр</t>
  </si>
  <si>
    <t>Стоимость инженерных изысканий в ценах 2 кв. 2026 г.</t>
  </si>
  <si>
    <t>Индекс 2 кв. 2026 г.</t>
  </si>
  <si>
    <t>Стоимость проектных работ в ценах 2 кв. 2026 г.</t>
  </si>
  <si>
    <t xml:space="preserve">Индекс пересчета в текущие цены 2026 г. </t>
  </si>
  <si>
    <t>С учетом НДС-22%</t>
  </si>
  <si>
    <t>Распоряжение ФАУ "Главгосэкспертиза России"от 20.01.2026 № 6-р</t>
  </si>
  <si>
    <t xml:space="preserve">Ориентировочно </t>
  </si>
  <si>
    <t>руб. без НДС</t>
  </si>
  <si>
    <t>Стоимость проведения экологической экспертизы</t>
  </si>
  <si>
    <t xml:space="preserve"> Стоимость экологической экспертизы рассчитывается непосредственным Исполнителем  в соответствии с Приказом Министерства природных ресурсов и экологии РФ от 12 мая 2014 г. N 205</t>
  </si>
  <si>
    <t>НДС-22 %</t>
  </si>
  <si>
    <t>- прогнозный индекс инфляции для пересчета из уровня цен на дату определения НМЦК в уровень цен соответствующего периода исполнения договора;</t>
  </si>
  <si>
    <t>Прогнозный индекс инфляции для пересчета из уровня цен на дату определения НМЦК в уровень цен соответствующего периода реализации проекта определен  согласно Письму Минэкономразвития России от 30.09.2025 № 37099-ПК/Д03и "О применении показателей прогноза социально-экономического развития Российской Федерации в целях ценообразования на продукцию, поставляемую по государственному оборонному заказу".</t>
  </si>
  <si>
    <t xml:space="preserve">Показатель дополнительных затрат на организацию полевых работ (ДЗорг)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от 100 до 500 километров включительно. </t>
  </si>
  <si>
    <t xml:space="preserve">Значения показателя дополнительных затрат на проезд (ДЗпроезд1) при стоимости полевых работ, рассчитанной по показателям затрат НЗ в уровне цен по состоянию на 1 января 2024 г. (СПпз). Расстояние от места постоянной работы работников до участка проведения полевых работ до 200 километров включительно. </t>
  </si>
  <si>
    <t>форма №2П, МП 2004г.
от 14.05.2026г.</t>
  </si>
  <si>
    <t>Наименование объекта изысканий:</t>
  </si>
  <si>
    <t>Заказчик:</t>
  </si>
  <si>
    <t>Подрядчик:</t>
  </si>
  <si>
    <t>Итого Полевые работы</t>
  </si>
  <si>
    <t>Всего Полевые работы</t>
  </si>
  <si>
    <t>Итого Камеральные работы</t>
  </si>
  <si>
    <t>Всего Камеральные работы</t>
  </si>
  <si>
    <t>СБЦ на инж.из. для стр-ва "Инженерно-гидрографические работы. Инженерно-гидрометеорологические изыскания на реках" (ОУ п. 9 Таблица 4)</t>
  </si>
  <si>
    <t>Расходы по внешнему транспорту. Расстояние проезда и перевозки в одном направлении св. 100 до 300 км. Продолжительность экспедиции до 1 мес</t>
  </si>
  <si>
    <t>СБЦ на инж.из. для стр-ва "Инженерно-гидрографические работы. Инженерно-гидрометеорологические изыскания на реках" (ОУ п. 10 Таблица 5)</t>
  </si>
  <si>
    <t>Расходы по организации и ликвидации работ коэффициента для изысканий со сметной стоимостью до 2 тыс. руб</t>
  </si>
  <si>
    <t>СБЦ на инж.из. для стр-ва "Инженерно-гидрографические работы. Инженерно-гидрометеорологические изыскания на реках"(ОУ п. 13)</t>
  </si>
  <si>
    <t>Всего Прочие расходы</t>
  </si>
  <si>
    <t>Всего по смете в ценах на 01.01.1991 г.</t>
  </si>
  <si>
    <t>Индекс на II квартал 2026 года на изыскательские работы к уровню цен на 01.01.1991</t>
  </si>
  <si>
    <t>Письмо Минстроя России от 08.04.2026 №20212-ИФ/09</t>
  </si>
  <si>
    <t xml:space="preserve">Рекогносцировочное обследование бассейна реки. Категория сложности I. </t>
  </si>
  <si>
    <t xml:space="preserve">Фотоработы. Ширина реки, м: до 20. </t>
  </si>
  <si>
    <t xml:space="preserve">Составление таблицы гидрологической изученности бассейна реки при числе пунктов наблюдений: до 50. </t>
  </si>
  <si>
    <t xml:space="preserve">Составление схемы гидрометеорологической изученности бассейна реки при числе пунктов наблюдений: до 50. </t>
  </si>
  <si>
    <t>Систематизация собранных материалов и данных метеорологических наблюдений. Подбор станций или постов с оценкой качества материалов наблюдений и степени их репрезентативности</t>
  </si>
  <si>
    <t xml:space="preserve">Составление климатической характеристики района изысканий при числе метеорологических станций: 1. Число годостанций: до 50. </t>
  </si>
  <si>
    <t xml:space="preserve">Стоимость камеральных работ, тыс. руб.:. до 2. Обоснование проекта (ТЭО). </t>
  </si>
  <si>
    <t>A * Количество
450 руб. * 1</t>
  </si>
  <si>
    <t>Примечания</t>
  </si>
  <si>
    <t>A * Количество * Ктек * Кст
140 400 руб. * 1 * 1.68 * 0.4 * 1.15829</t>
  </si>
  <si>
    <t>19.459% = 18 359 руб.</t>
  </si>
  <si>
    <t>Руководитель проектной организации</t>
  </si>
  <si>
    <t>[подпись (инициалы, фамилия)]</t>
  </si>
  <si>
    <t>Главный инженер проекта</t>
  </si>
  <si>
    <t>Начальник</t>
  </si>
  <si>
    <t>отдела</t>
  </si>
  <si>
    <t>(наименование)</t>
  </si>
  <si>
    <t>Стадия: Рабочая документация</t>
  </si>
  <si>
    <t>Кст = 0.6</t>
  </si>
  <si>
    <t xml:space="preserve">K3 = 1.3 (РПД 1-2)
Методика, 707/пр. Приложение 5, табл.5.1, п.2.3 (Усложняющий) </t>
  </si>
  <si>
    <t xml:space="preserve">K1 = 1.3 (РПД 1-2)
Методика, 707/пр. Приложение 5, табл.5.1, п.2.3 (Усложняющий) </t>
  </si>
  <si>
    <t xml:space="preserve">K1 = 1.3 (РПД 1.1-1.3,2-3,4.1-4.6,5)
Методика, 707/пр. Приложение 5, табл.5.1, п.2.3 (Усложняющий) </t>
  </si>
  <si>
    <t xml:space="preserve">K1 = 1.3 (РПД 1-2,3.1-3.2)
Методика, 707/пр. Приложение 5, табл.5.1, п.2.3 (Усложняющий) </t>
  </si>
  <si>
    <t>A * Количество * Ктек * Кст
140 400 руб. * 1 * 1.68 * 0.6 * 1.3</t>
  </si>
  <si>
    <t xml:space="preserve">K1 = 1.3 (РПД 1-2,3.1)
Методика, 707/пр. Приложение 5, табл.5.1, п.2.3 (Усложняющий) </t>
  </si>
  <si>
    <t>28% * (1 + 0.3) = 51 514 руб.</t>
  </si>
  <si>
    <t>46% * (1 + 0.3) = 84 631 руб.</t>
  </si>
  <si>
    <t>15.6% = 22 078 руб.</t>
  </si>
  <si>
    <t>12% * (1 + 0.3) [из  15.6%] = 22 078 руб.</t>
  </si>
  <si>
    <t>18.2% = 25 757 руб.</t>
  </si>
  <si>
    <t xml:space="preserve">K2 = 1.3 (РПД 1-2,3.1-3.2)
Методика, 707/пр. Приложение 5, табл.5.1, п.2.3 (Усложняющий) </t>
  </si>
  <si>
    <t>Кст = 0.58</t>
  </si>
  <si>
    <t>форма №2П, 1/пр
от 12.05.2026г.</t>
  </si>
  <si>
    <t>на инженерно-геодезические изыскания</t>
  </si>
  <si>
    <t>Топографо-геодезические работы</t>
  </si>
  <si>
    <t xml:space="preserve">Создание пунктов плановой опорной геодезической сети без закладки центров методом спутниковых геодезических определений: 2-го разряда в условиях выполнения полевых работ . Категория II. </t>
  </si>
  <si>
    <t xml:space="preserve">(К3) Стоимость полевых работ по созданию пунктов плановой опорной геодезической сети без закладки центров методом спутниковых геодезических определений, совмещенных с пунктами высотной опорной сети IV класса, созданных без закладки центров методом спутниковых геодезических определений, рассчитывается суммированием соответствующих показателей затрат на работы по созданию пунктов плановой опорной геодезической сети, приведенных в таблице 7 НЗ, и показателей затрат, умноженных на корректирующий коэффициент </t>
  </si>
  <si>
    <t>К3 = 0.5
Прим. к табл.7, п.1 (Ценообразующий)</t>
  </si>
  <si>
    <t xml:space="preserve">Закладка центров (реперов) пунктов опорной геодезической сети с применением буровых установок: глубиной до 2 метров включительно. Категория II. </t>
  </si>
  <si>
    <t xml:space="preserve">Топографическая съемка тахеометрическим методом и сочетанием тахеометрического метода с методом спутниковых геодезических определений высотой сечения рельефа через 0.5 м метров. Незастроенная территория. в масштабе 1:500 в условиях выполнения полевых работ. Категория II. </t>
  </si>
  <si>
    <t xml:space="preserve">Поиск и съемка подземных инженерных коммуникаций при помощи трубокабелеискателя при количестве точек подземных инженерных коммуникаций на 1 гектар снимаемого участка: от 7 до 14 включительно. </t>
  </si>
  <si>
    <t xml:space="preserve">Привязка инженерно-геологических выработок, геофизических гидрогеологических точек наблюдения: при расстоянии между точками от 50 (пятидесяти) до 100 (ста) метров включительно, в условиях выполнения полевых работ . Категория II. </t>
  </si>
  <si>
    <t>Камеральная обработка результатов измерений, выполненных при создании пунктов плановой опорной геодезической сети 4-го класса, 1-го и 2-го разрядов</t>
  </si>
  <si>
    <t xml:space="preserve">Камеральная укладка вариантов прохождения трасс трубопроводов: в масштабах 1:10000 для условий выполнения полевых работ. Категория II. </t>
  </si>
  <si>
    <t xml:space="preserve">Согласование нанесения на инженерно-топографический план подземных инженерных коммуникаций и их технических характеристик с собственниками (эксплуатирующими организациями): известными. </t>
  </si>
  <si>
    <t>A * Количество * Ктек
21451 руб. * 4 * 1.25</t>
  </si>
  <si>
    <t xml:space="preserve">Значения показателя дополнительных затрат на внешний транспорт (ПДЗвнеш), применяемые при использовании для ежедневного проезда работников и перевозки технических средств для полевых работ от места базирования до участка проведения полевых работ до начала рабочего времени и обратно на место базирования после завершения рабочего времени транспортных средств автомобильного транспорта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</si>
  <si>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 xml:space="preserve">Показатель дополнительных затрат на организацию полевых работ (ПД3орг)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</si>
  <si>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Сметный расчет составлен по следующим документам: НЗ №812/пр. Работы по инженерно-геодезическим изысканиям (ИГДИ). 2024 г.</t>
  </si>
  <si>
    <t>Линейный объект, ширина коридора съёмки не менее 20 м от оси трассы</t>
  </si>
  <si>
    <t>НЗ 11.16_0-11-82-1 Таблица 82 п.1
A = 21451 руб.;
Количество = 4 (1 собственник (эксплуатирующая организация));</t>
  </si>
  <si>
    <t xml:space="preserve">Местоположение базы г.Махачкала.
Расстояние до места изысканий 130 км. </t>
  </si>
  <si>
    <t xml:space="preserve">Местоположение базы  г. Махачкала 
Расстояние до места изысканий 130 км. </t>
  </si>
  <si>
    <t>Составление и оформление программы инженерно-геодезических изысканий в соответствии с требованиями документов по стандартизации.</t>
  </si>
  <si>
    <t>Сметный расчет составлен по следующим документам: 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 2000 г.</t>
  </si>
  <si>
    <t>СБЦи5.3_0-10-48-15-1 Таблица 48 п.15
A = 7 руб.;
Количество = 20 (1 снимок);</t>
  </si>
  <si>
    <t>СБЦи5.3_0-11-51-1 Таблица 51 п.1
A = 105 руб.;
Количество = 1 (1 таблица);</t>
  </si>
  <si>
    <t>СБЦи5.3_0-11-51-3 Таблица 51 п.3
A = 61 руб.;
Количество = 1 (1 схема);</t>
  </si>
  <si>
    <t>СБЦи5.3_0-12-67-1 Таблица 67 п.1
A = 90 руб.;
Количество = 1 (1 годостанция);</t>
  </si>
  <si>
    <t>СБЦи5.3_0-12-69-1-1 Таблица 69 п.1
A = 201 руб.;
Количество = 1 (1 записка);</t>
  </si>
  <si>
    <t>СБЦи5.3_0-11-53-1-2 Таблица 53 п.
A = 450 руб.;
Количество = 1 (1 программа)</t>
  </si>
  <si>
    <t>Надбавки за выполнение работ на территориях со специальным режимом</t>
  </si>
  <si>
    <t>СБЦ на инж.из. для стр-ва "Инженерно-геодезические изыскания при строительстве и эксплуатации зданий и сооружений" (ОУ п. 8в)</t>
  </si>
  <si>
    <t>СБЦ на инж.из. для стр-ва "Инженерно-геодезические изыскания при строительстве и эксплуатации зданий и сооружений" (ОУ п. 9 Таблица 4)</t>
  </si>
  <si>
    <t>Расходы по внешнему транспорту. Расстояние проезда и перевозки в одном направлении св.100 до 300 км. Продолжительность экспедиции до 1 мес</t>
  </si>
  <si>
    <t>СБЦ на инж.из. для стр-ва "Инженерно-геодезические изыскания при строительстве и эксплуатации зданий и сооружений" (ОУ п. 10 Таблица 5)</t>
  </si>
  <si>
    <t>СБЦ на инж.из. для стр-ва "Инженерно-геодезические изыскания при строительстве и эксплуатации зданий и сооружений" (ОУ п. 13)</t>
  </si>
  <si>
    <t>Всего по смете в ценах на 01.01.2001 г.</t>
  </si>
  <si>
    <t>Сумма от п.6</t>
  </si>
  <si>
    <t>форма №2П, МП 2004г.
от 19.05.2026г.</t>
  </si>
  <si>
    <t>на изыскательские работы</t>
  </si>
  <si>
    <t>Сметный расчет составлен по следующим документам: Методика определения стоимости работ по очистке местности от взрывоопасных предметов в сфере градостроительной деятельности. 2010 г.</t>
  </si>
  <si>
    <t>Стоимость полевых работ при разведке территории и разминировании ручным способом (с применением металлодетекторов): Уровень минной опасности-Низкий; Уровень засоренности местности ферромагнитными предметами-Низкий</t>
  </si>
  <si>
    <t xml:space="preserve">При пересеченной местности применяется коэффициент </t>
  </si>
  <si>
    <t xml:space="preserve">K1 = 1.1
Прим. к табл.2 п.3.2 (Усложняющий) </t>
  </si>
  <si>
    <t xml:space="preserve">При глубине разведки до 2,0 м применяется коэффициент </t>
  </si>
  <si>
    <t xml:space="preserve">K2 = 2.5
Прим. к табл.2 п.3.1 (Усложняющий) </t>
  </si>
  <si>
    <t>Площадь участка местности, подлежащего очистке от взрывоопасных предметов свыше 3 до 10 га</t>
  </si>
  <si>
    <t xml:space="preserve">При регистрации результатов работы по очистке местности от взрывоопасных предметов в геоинформационных системах уполномоченных органов с привязкой к GPS-системам применяется коэффициент, учитывающий применение специализированного оборудования и программного обеспечения и увеличение трудоемкости работ </t>
  </si>
  <si>
    <t>Коэф-т 0.25 от п.1.3</t>
  </si>
  <si>
    <t>Расходы по внутреннему транспорту. Расстояние от базы до участка изысканий св. 5 до 10 км. Сметная стоимость полевых изыск.работ св.75 до 150 тыс.руб</t>
  </si>
  <si>
    <t>10.0% от п.1.3, 5.1</t>
  </si>
  <si>
    <t>19.6% от п.1.3, 5.1-5.2</t>
  </si>
  <si>
    <t>Расходы по организации и ликвидации работ коэффициента для изысканий со сметной стоимостью свыше 75 до 150 тыс. руб</t>
  </si>
  <si>
    <t>Коэф-т 1.5 и 6% от п.1.3, 5.1-5.2</t>
  </si>
  <si>
    <t>Коэф-т 7.07 от п.7</t>
  </si>
  <si>
    <t>Индекс Минэкономразвития РФ на 2026 г.  (Письмо Минэкономразвития России от 30.09.2025 г. N 37099-ПК/Д03и)</t>
  </si>
  <si>
    <t>А.Ю. Татаринов</t>
  </si>
  <si>
    <t>Е.А. Татаринова</t>
  </si>
  <si>
    <t>И.В. Евдокимов</t>
  </si>
  <si>
    <t>Заместитель директора департамента
по ценообразованию и сметному регулированию
Департамента развития инфраструктуры</t>
  </si>
  <si>
    <t>Обследование территории на наличие взрывоопасных предметов</t>
  </si>
  <si>
    <t xml:space="preserve">Стоимость камеральных работ определяется с коэффициентом </t>
  </si>
  <si>
    <t>K2 = 0.5
Раздел 3 п.3.1.2 (Ценообразующий)</t>
  </si>
  <si>
    <t>Всесезонный туристско-рекреационный комплекс «Каспийский прибрежный кластер», Республика Дагестан. Энергоцентр на базе газопоршневых агрегатов</t>
  </si>
  <si>
    <t>Наименование стадии проектирования, этапа, вида проектных или изыскательских работ:</t>
  </si>
  <si>
    <t>Проведение научно-исследовательских археологических  работ (разведки)</t>
  </si>
  <si>
    <t>Наименование организации заказчика:</t>
  </si>
  <si>
    <t>№№               п.п</t>
  </si>
  <si>
    <t xml:space="preserve"> Обоснование стоимости</t>
  </si>
  <si>
    <t>Стоимость</t>
  </si>
  <si>
    <t xml:space="preserve">Археологические исследования </t>
  </si>
  <si>
    <t>1.1. Обследование территории под  линейный объект</t>
  </si>
  <si>
    <t>СЦНПР-91, р. 6, т. 6-1, п. 2 3"в" прим1. п.10. 3)</t>
  </si>
  <si>
    <t>объект исследования земельный участок 7,5 Га</t>
  </si>
  <si>
    <t xml:space="preserve">1.2. Фотодокументирование археологических разведок </t>
  </si>
  <si>
    <t>СЦНПР-91. Раздел 8. Табл. 8-3</t>
  </si>
  <si>
    <t xml:space="preserve">Снимок </t>
  </si>
  <si>
    <t>1.3. Закладка разведочных шурфов размером (1х1) м. глубиной раскопа до 1,4 м. 1 шурф на 1 Га, 1 шурф на 1км для линейного объекта</t>
  </si>
  <si>
    <t>СЦНПР-91. Раздел 6. Гл. 2. Табл. 6-2. п.4 А</t>
  </si>
  <si>
    <t xml:space="preserve">Итого по п 1                                                                                                                                                                                                                      </t>
  </si>
  <si>
    <t>Отчет об археологических исследованиях.</t>
  </si>
  <si>
    <t xml:space="preserve">2.1. Составление сметы калькуляции по результатам археологической разведки на археологические работы </t>
  </si>
  <si>
    <t>СЦНПР-91. Раздел 1. Табл. 1-2. п.2</t>
  </si>
  <si>
    <t xml:space="preserve">памятник </t>
  </si>
  <si>
    <t>2.2. Написание текста отчета.</t>
  </si>
  <si>
    <t>СЦНПР-91. Раздел 6. Гл. 3. Табл. 6-3. п.а</t>
  </si>
  <si>
    <t xml:space="preserve">печатный лист </t>
  </si>
  <si>
    <t>2.3. Печать фотоснимков.</t>
  </si>
  <si>
    <t>СЦНПР-91. Раздел 8. Табл. 8-4</t>
  </si>
  <si>
    <t xml:space="preserve">негатив                              </t>
  </si>
  <si>
    <t>2.4. Альбом фотоиллюстраций с подбором, наклейкой, компоновкой и составлением кратких аннотаций, включающий в себя до 20 фотографий.</t>
  </si>
  <si>
    <t>СЦНПР-91. Раздел 1. Гл.3. Табл. 1-22. п.5</t>
  </si>
  <si>
    <t>20 фотографий</t>
  </si>
  <si>
    <t>альбом до 5-ти экземпляров</t>
  </si>
  <si>
    <t xml:space="preserve">78 руб. </t>
  </si>
  <si>
    <t xml:space="preserve">Итого по п 2                                                                                                                                                                                                                      </t>
  </si>
  <si>
    <t>Итого по пп. 1-2</t>
  </si>
  <si>
    <t>Коэффициент 14,6 по п.п. 1-2</t>
  </si>
  <si>
    <t xml:space="preserve">СЦНПР-91, Общая часть, Гл. 1. п.2, Письмо Министерства Культуры РФ от 13.10.98 г. № 01-211/14 для цен 1991 г. </t>
  </si>
  <si>
    <t>Коэффициент 4  по п.п. 1-2</t>
  </si>
  <si>
    <t>Письмо Министерства культуры РФ от 20.12.2011 Номер: 107-01-39/10-КЧ</t>
  </si>
  <si>
    <t>Всего без НДС</t>
  </si>
  <si>
    <t xml:space="preserve">Историко-культурная экспертиза земельного участка </t>
  </si>
  <si>
    <r>
      <rPr>
        <sz val="12"/>
        <rFont val="Arial"/>
        <family val="2"/>
        <charset val="204"/>
      </rPr>
      <t>Постановление правительства РФ от 15.07.2009г № 569
МИНИСТЕРСТВО КУЛЬТУРЫ РОССИЙСКОЙ ФЕДЕРАЦИИ
ПИСЬМО</t>
    </r>
    <r>
      <rPr>
        <b/>
        <sz val="12"/>
        <rFont val="Arial"/>
        <family val="2"/>
        <charset val="204"/>
      </rPr>
      <t xml:space="preserve">
</t>
    </r>
    <r>
      <rPr>
        <sz val="12"/>
        <rFont val="Arial"/>
        <family val="2"/>
        <charset val="204"/>
      </rPr>
      <t>от 18 июля 2017 г.  №210-01.1-39-ВА
Разъяснение о стоимости государственной историко-культурной экспертизы</t>
    </r>
  </si>
  <si>
    <t xml:space="preserve">Вспомогательные работы </t>
  </si>
  <si>
    <t>Всего  по смете пп.1,2.</t>
  </si>
  <si>
    <t>Археологические исследования</t>
  </si>
  <si>
    <t>Инженерно-геофизические исследования</t>
  </si>
  <si>
    <t>Инженерно-гидрометеорологические изыскания</t>
  </si>
  <si>
    <t>Инженерно-геологические изыскания</t>
  </si>
  <si>
    <t>Сметный расчет составлен по следующим документам: НЗ №281/пр. Работы по инженерно-геологическим изысканиям (ИГИ). 2025 г.</t>
  </si>
  <si>
    <t>НЗ 11.20_0-3-12-7 Таблица 12 п.7
ПЗ1п = 15 264 руб.;
ПЗ2п = 3 608 руб.;
Sреког = 7.5 (гектар);
Количество = 1;</t>
  </si>
  <si>
    <t>(ПЗ1п + ПЗ2п * Sреког) * Количество * Ктек
(15 264 руб. + 3 608 руб. * 7.5) * 1 * 1.25</t>
  </si>
  <si>
    <t>НЗ 11.20_0-5-35-1 Таблица 35 п.1
A = 41785 руб.;
Количество = 1 (одно испытание);</t>
  </si>
  <si>
    <t>НЗ 11.20_0-5-35-3 Таблица 35 п.3
A = 5134 руб.;
Количество = 12 (час);</t>
  </si>
  <si>
    <t>НЗ 11.20_0-7-56-1 Таблица 56 п.1
A = 459 руб.;
Количество = 40 (один образец грунта);</t>
  </si>
  <si>
    <t>A * Количество * Ктек
459 руб. * 40 * 1.25</t>
  </si>
  <si>
    <t>глинистые грунты</t>
  </si>
  <si>
    <t>песчаные грунты</t>
  </si>
  <si>
    <t>НЗ 11.20_0-7-56-2 Таблица 56 п.2
A = 335 руб.;
Количество = 40 (один образец грунта);</t>
  </si>
  <si>
    <t>A * Количество * Ктек
335 руб. * 40 * 1.25</t>
  </si>
  <si>
    <t>НЗ 11.20_0-7-56-3 Таблица 56 п.3
A = 141 руб.;
Количество = 40 (один образец грунта);</t>
  </si>
  <si>
    <t>A * Количество * Ктек
141 руб. * 40 * 1.25</t>
  </si>
  <si>
    <t>НЗ 11.20_0-7-57-4 Таблица 57 п.4
A = 600 руб.;
Количество = 40 (одно определение);</t>
  </si>
  <si>
    <t>A * Количество * Ктек
600 руб. * 40 * 1.25</t>
  </si>
  <si>
    <t>НЗ 11.20_0-7-57-20 Таблица 57 п.20
A = 723 руб.;
Количество = 10 (одно определение);</t>
  </si>
  <si>
    <t>НЗ 11.20_0-7-58-2 Таблица 58 п.2
A = 7357 руб.;
Количество = 12 (одно определение);</t>
  </si>
  <si>
    <t>НЗ 11.20_0-7-58-3 Таблица 58 п.3
A = 7901 руб.;
Количество = 6 (одно определение);</t>
  </si>
  <si>
    <t>НЗ 11.20_0-7-59-4 Таблица 59 п.4
A = 9172 руб.;
Количество = 12 (одно определение);</t>
  </si>
  <si>
    <t>для грунта в воздушно-сухом состоянии</t>
  </si>
  <si>
    <t>для грунта под водой</t>
  </si>
  <si>
    <t>в рыхлом состоянии</t>
  </si>
  <si>
    <t>в плотном состоянии</t>
  </si>
  <si>
    <t>НЗ 11.20_0-8-63-3 Таблица 63 п.3
A = 9786 руб.;
Количество = 12 (одно определение);</t>
  </si>
  <si>
    <t>НЗ 11.20_0-8-63-5 Таблица 63 п.5
A = 2726 руб.;
Количество = 12 (одно определение);</t>
  </si>
  <si>
    <t>НЗ 11.20_0-8-63-1 Таблица 63 п.1
A = 11731 руб.;
Количество = 3 (одно определение);</t>
  </si>
  <si>
    <t>НЗ 11.20_0-5-36-1 Таблица 36 п.1
A = 16696 руб.;
Количество = 1 (одно испытание);</t>
  </si>
  <si>
    <t>НЗ 11.20_0-8-64-2 Таблица 64 п.2
A = 352 руб.;
Количество = 12 (один образец);</t>
  </si>
  <si>
    <t>НЗ 11.20_0-8-64-1 Таблица 64 п.1
A = 385 руб.;
Количество = 3 (один образец);</t>
  </si>
  <si>
    <t xml:space="preserve">Составление программы инженерно-геологических изысканий для II категории сложности инженерно-геологических условий: при площади земельного участка (участка для строительства) от 1 (одного) до 10 (десяти) гектаров включительно. Максимальная глубина исследования от 10 до 15 метров включительно. </t>
  </si>
  <si>
    <t>НЗ 11.20_0-10-66-10 Таблица 66 п.10
A = 143559 руб.;
Количество = 1 (одна программа);</t>
  </si>
  <si>
    <t>A * Количество * Ктек * К22
143559 руб. * 1 * 1.25 * 1.4</t>
  </si>
  <si>
    <t>НЗ 11.16_0-3-7-8 Таблица 7 п.8
A = 35837 руб.;
Количество = 3 (1 пункт);</t>
  </si>
  <si>
    <t>A * Количество * Ктек * К3
35837 руб. * 3 * 1.25 * 0.5</t>
  </si>
  <si>
    <t>НЗ 11.16_0-3-12-4 Таблица 12 п.4
A = 26188 руб.;
Количество = 3 (1 пункт);</t>
  </si>
  <si>
    <t>A * Количество * Ктек
26188 руб. * 3 * 1.25</t>
  </si>
  <si>
    <t>НЗ 11.16_0-4-18-2 Таблица 18 п.2
A = 17656 руб.;
Количество = 7.5 (1 гектар);</t>
  </si>
  <si>
    <t>A * Количество * Ктек
17656 руб. * 7.5 * 1.25</t>
  </si>
  <si>
    <t>НЗ 11.16_0-5-46-2 Таблица 46 п.2
A = 24772 руб.;
Количество = 7.5 (1 гектар);</t>
  </si>
  <si>
    <t>A * Количество * Ктек
24772 руб. * 7.5 * 1.25</t>
  </si>
  <si>
    <t>НЗ 11.16_0-7-55-5 Таблица 55 п.5
A = 4882 руб.;
Количество = 46 (1 точка);</t>
  </si>
  <si>
    <t>A * Количество * Ктек
4882 руб. * 46 * 1.25</t>
  </si>
  <si>
    <t>НЗ 11.16_0-3-16-1 Таблица 16 п.1
A = 1714 руб.;
Количество = 3 (1 пункт);</t>
  </si>
  <si>
    <t>A * Количество * Ктек
1714 руб. * 3 * 1.25</t>
  </si>
  <si>
    <t xml:space="preserve">Создание инженерно-топографических планов в масштабе 1:500. Незастроенная территория. для условий выполнения полевых работ категории II. Площадь участка до 10 гектаров включительно. </t>
  </si>
  <si>
    <t>НЗ 11.16_0-6-47-5 Таблица 47 п.5
ПЗ1к = 1 392 руб.;
ПЗ2к = 2 331 руб.;
Sсъемки = 7.5 (1 гектар);
Количество = 1;</t>
  </si>
  <si>
    <t>(ПЗ1к + ПЗ2к * Sсъемки) * Количество * Ктек
(1 392 руб. + 2 331 руб. * 7.5) * 1 * 1.25</t>
  </si>
  <si>
    <t xml:space="preserve">Нанесение подземных инженерных коммуникаций с их техническими характеристиками на инженерно-топографический план в масштабе 1:500: при количестве подземных инженерных коммуникаций по назначению на участке, подлежащем топографической съемке от 3 (трех) до 8 восьми включительно. до 10 гектаров включительно. </t>
  </si>
  <si>
    <t>НЗ 11.16_0-6-51-7 Таблица 51 п.7
ПЗ1к = 643 руб.;
ПЗ2к = 1 018 руб.;
Sсъемки = 7.5 (1 гектар);
Количество = 1;</t>
  </si>
  <si>
    <t>(ПЗ1к + ПЗ2к * Sсъемки) * Количество * Ктек
(643 руб. + 1 018 руб. * 7.5) * 1 * 1.25</t>
  </si>
  <si>
    <t>НЗ 11.16_0-8-57-11 Таблица 57 п.11
A = 804 руб.;
Количество = 5.2 (1 километр);</t>
  </si>
  <si>
    <t>A * Количество * Ктек
804 руб. * 5.2 * 1.25</t>
  </si>
  <si>
    <t>НЗ 11.16_0-2-3(1) Таблица 3
Aпред = 10.4%;
Aслед = 8.0%;
Xпред = 500 тыс. руб.;
Xслед = 1000 тыс. руб.;
X = 675.1015 тыс. руб.;
Сп = 675101.5 руб. в базовом уровне цен</t>
  </si>
  <si>
    <t>X * ((Aпред + (Aслед - Aпред) / (Xслед - Xпред) * (X – Xпред)) / 100) * Количество * Ктек
675.1015 * ((10.4 + (8 - 10.4) / (1000 - 500) * (675.1015 - 500)) / 100) * 1 * 1.25</t>
  </si>
  <si>
    <t>НЗ 11.16_0-2-4(1) Таблица 4
Aпред = 15.3%;
Aслед = 7.7%;
Xпред = 500 тыс. руб.;
Xслед = 1000 тыс. руб.;
X = 675.1015 тыс. руб.;
Сп = 675101.5 руб. в базовом уровне цен</t>
  </si>
  <si>
    <t>X * ((Aпред + (Aслед - Aпред) / (Xслед - Xпред) * (X – Xпред)) / 100) * Количество * Ктек
675.1015 * ((15.3 + (7.7 - 15.3) / (1000 - 500) * (675.1015 - 500)) / 100) * 1 * 1.25</t>
  </si>
  <si>
    <t>НЗ 11.16_0-10-80(1) Таблица 80 п.2
Aпред = 21 549 руб.; Aслед = 36 839 руб.;
Xпред = 500 тыс. руб.; Xслед = 1 000 тыс. руб.; 
X = 711.5768 тыс. руб.;
Количество = 1;</t>
  </si>
  <si>
    <t>(Апред + (Аслед - Апред) / (Xслед - Xпред) * (X - Xпред)) * Количество * Ктек
(21 549 руб. + (36 839 руб. - 21 549 руб.) / (1 000 000 руб. - 500 000 руб.) * (711 576.8 руб. - 500 000 руб.)) * 1 * 1.25</t>
  </si>
  <si>
    <t>НЗ 11.16_0-10-81(1) Таблица 81 п. 2
Aпред = 50 000 руб.; Aслед = 76 000 руб.;
Xпред = 500 тыс. руб.; Xслед = 1 000 тыс. руб.; 
X = 711.5768 тыс. руб.;
Количество = 1;</t>
  </si>
  <si>
    <t>(Апред + (Аслед - Апред) / (Xслед - Xпред) * (X - Xпред)) * Количество * Ктек
(50 000 руб. + (76 000 руб. - 50 000 руб.) / (1 000 000 руб. - 500 000 руб.) * (711 576.8 руб. - 500 000 руб.)) * 1 * 1.25</t>
  </si>
  <si>
    <t>СМЕТА № 1-из</t>
  </si>
  <si>
    <t xml:space="preserve"> АО "КАВКАЗ.РФ"</t>
  </si>
  <si>
    <t>СЦ 7.59-02-01-01 Таблица 2. п.1
A = 3.270 тыс. руб.
Количество = 7.5 (га)</t>
  </si>
  <si>
    <t>A * Количество * (1 + дроб. ч. K1 + дроб. ч. K2)
3 270 руб. * 7.5 * (1 + 0.1 + 1.5)</t>
  </si>
  <si>
    <t>СЦ 7.59-01-003 Таблица 1. п.3
A = 1.911 тыс. руб.
Количество = 7.5 (га)</t>
  </si>
  <si>
    <t>A * Количество * K1 * K2
1 911 руб. * 7.5 * 1.35 * 0.5</t>
  </si>
  <si>
    <t>на выполнение инженерно-экологических изысканий</t>
  </si>
  <si>
    <t>Наименование объекта:</t>
  </si>
  <si>
    <t>Этап изыскательских работ:</t>
  </si>
  <si>
    <t>Проект</t>
  </si>
  <si>
    <t xml:space="preserve">СПРАВОЧНИК БАЗОВЫХ ЦЕН
на инженерно-геологические и инженерно-экологические
изыскания для строительства  СБЦ-99
</t>
  </si>
  <si>
    <t>Вид работ</t>
  </si>
  <si>
    <t>Таблица и параграф СБЦ</t>
  </si>
  <si>
    <t>Объем</t>
  </si>
  <si>
    <t>Стоимость, руб</t>
  </si>
  <si>
    <t>1.  Полевые работы</t>
  </si>
  <si>
    <t>Инженерно-экологическое рекогносцировочное обследование III категории сложности удовлетворительная  проходимость</t>
  </si>
  <si>
    <t>км</t>
  </si>
  <si>
    <r>
      <t xml:space="preserve"> Табл. 9, </t>
    </r>
    <r>
      <rPr>
        <sz val="10"/>
        <rFont val="Calibri"/>
        <family val="2"/>
        <charset val="204"/>
      </rPr>
      <t>§</t>
    </r>
    <r>
      <rPr>
        <sz val="10"/>
        <rFont val="Arial"/>
        <family val="2"/>
        <charset val="204"/>
      </rPr>
      <t xml:space="preserve">.2 
прим.1  (к-1.25)                  </t>
    </r>
  </si>
  <si>
    <t>Описание точек наблюдения для составления комплекса инженерно-экологических карт с нанесением данных радиометрических наблюдений.</t>
  </si>
  <si>
    <t>Табл.11, § 2Гл.2 п.5 (к - 0.6) прим.1  (к -1.3)</t>
  </si>
  <si>
    <t>Отбор проб почво-грунтов на химическое загрязнение: 4 объединенных проб в 4 точках (метод конверта) на глубине 0,0-0,2 м</t>
  </si>
  <si>
    <t>Табл.60, § 7, прим. 1 (к-0.9)</t>
  </si>
  <si>
    <t>Отбор  простых проб почво-грунтов на химическое загрязнение на глубине 0,2-1,0 м</t>
  </si>
  <si>
    <r>
      <t xml:space="preserve"> Табл.60 </t>
    </r>
    <r>
      <rPr>
        <sz val="10"/>
        <rFont val="Calibri"/>
        <family val="2"/>
        <charset val="204"/>
      </rPr>
      <t>§</t>
    </r>
    <r>
      <rPr>
        <sz val="10"/>
        <rFont val="Arial"/>
        <family val="2"/>
        <charset val="204"/>
      </rPr>
      <t xml:space="preserve">.7                         </t>
    </r>
  </si>
  <si>
    <t>Отбор проб почво-грунтов на агрохимический  анализ (1 почв разреза)</t>
  </si>
  <si>
    <t>Табл.60, § 10</t>
  </si>
  <si>
    <t>Отбор почв на санитарно-паразитологические показатели  4 точечных  проб  - на глубине 0,0-0,2 м;</t>
  </si>
  <si>
    <r>
      <t xml:space="preserve"> Табл.60 </t>
    </r>
    <r>
      <rPr>
        <sz val="10"/>
        <rFont val="Calibri"/>
        <family val="2"/>
        <charset val="204"/>
      </rPr>
      <t>§</t>
    </r>
    <r>
      <rPr>
        <sz val="10"/>
        <rFont val="Arial"/>
        <family val="2"/>
        <charset val="204"/>
      </rPr>
      <t>.10 прим.4 (К=0,9)</t>
    </r>
  </si>
  <si>
    <t xml:space="preserve">Отбор почв на санитарно-бактериологические показатели 4 точечных проб - на глубине 0,0-0,2 м; </t>
  </si>
  <si>
    <r>
      <t xml:space="preserve"> Табл.60 </t>
    </r>
    <r>
      <rPr>
        <sz val="10"/>
        <rFont val="Calibri"/>
        <family val="2"/>
        <charset val="204"/>
      </rPr>
      <t>§</t>
    </r>
    <r>
      <rPr>
        <sz val="10"/>
        <rFont val="Arial"/>
        <family val="2"/>
        <charset val="204"/>
      </rPr>
      <t>.10</t>
    </r>
  </si>
  <si>
    <t>Отбор проб грунтовых вод</t>
  </si>
  <si>
    <r>
      <t xml:space="preserve"> Табл.60 </t>
    </r>
    <r>
      <rPr>
        <sz val="10"/>
        <rFont val="Calibri"/>
        <family val="2"/>
        <charset val="204"/>
      </rPr>
      <t>§</t>
    </r>
    <r>
      <rPr>
        <sz val="10"/>
        <rFont val="Arial"/>
        <family val="2"/>
        <charset val="204"/>
      </rPr>
      <t xml:space="preserve">.2                   </t>
    </r>
  </si>
  <si>
    <t>Табл.91, § 2</t>
  </si>
  <si>
    <t>Отбор почв для определения радионуклидного состава и удельной эффективной активности естественных радионуклидов (радий (226Ra), торий (232Th), калий (40K) и цезий (137Cs)).</t>
  </si>
  <si>
    <t>Табл.60, § 7
К=1,2 прим.2</t>
  </si>
  <si>
    <t xml:space="preserve">Радиационное обследование участка площадью св. 1,0 га (измерение гамма-съемка 2.7 га, МАД) </t>
  </si>
  <si>
    <t>0,1 Га</t>
  </si>
  <si>
    <t>Табл.92, § 3</t>
  </si>
  <si>
    <t>ВСЕГО ПОЛЕВЫХ РАБОТ</t>
  </si>
  <si>
    <t>2. Лабораторные работы</t>
  </si>
  <si>
    <t>Обследование проб почво-грунтов на агрохимические показатели:</t>
  </si>
  <si>
    <t>Целесообразность снятия плодородного и потенциально плодородного слоев почвы</t>
  </si>
  <si>
    <t xml:space="preserve"> Табл.70, § 83</t>
  </si>
  <si>
    <t>Водородный показатель pH водяной вытяжки</t>
  </si>
  <si>
    <t xml:space="preserve"> Табл.70, § 14</t>
  </si>
  <si>
    <t xml:space="preserve">Органические вещества (гумус) </t>
  </si>
  <si>
    <t xml:space="preserve"> Табл.70, § 11</t>
  </si>
  <si>
    <t>Гранулометрический анализ фракций с разделением от 10 мм до 0.1 мм</t>
  </si>
  <si>
    <t xml:space="preserve"> Табл.64, § 11</t>
  </si>
  <si>
    <t>Определение химического состава почв</t>
  </si>
  <si>
    <t xml:space="preserve"> Табл.70, § 84</t>
  </si>
  <si>
    <t xml:space="preserve">Водородный показатель pH солевой вытяжки </t>
  </si>
  <si>
    <t xml:space="preserve"> Табл.70, § 85</t>
  </si>
  <si>
    <t>Определение солей тяжёлых металлов в почвах и грунтах  (медь, никель, цинк, кадмий, ртуть, свинец) и мышьяк- 7 элементов.</t>
  </si>
  <si>
    <t>Табл.70, § 57</t>
  </si>
  <si>
    <t>Определение нефтепродуктов</t>
  </si>
  <si>
    <t>Табл.70, § 63</t>
  </si>
  <si>
    <t>Определение 3,4-бенз(а)пирена</t>
  </si>
  <si>
    <t>Табл.70, § 66</t>
  </si>
  <si>
    <t xml:space="preserve"> Определение химического состава подземных вод</t>
  </si>
  <si>
    <t>Биологическое потребление кислорода БПК5</t>
  </si>
  <si>
    <t>2.36</t>
  </si>
  <si>
    <t>2.37</t>
  </si>
  <si>
    <t>2.38</t>
  </si>
  <si>
    <t>2.39</t>
  </si>
  <si>
    <t>2.40</t>
  </si>
  <si>
    <t>Определение удельной эффиктивности естественных радионуклидов в почве, радиационно-экологические исследования</t>
  </si>
  <si>
    <t>Удельная активность природных радионуклидов (радий-226, торий-232, калий-40 и цезий-137).</t>
  </si>
  <si>
    <t xml:space="preserve"> Табл.70, § 69</t>
  </si>
  <si>
    <t>ВСЕГО ЛАБОРАТОРНЫХ РАБОТ</t>
  </si>
  <si>
    <t>3. Камеральные работы</t>
  </si>
  <si>
    <t>Обработка результатов инженерно-экологического рекогносцировочного обследования III категории сложности удовлетворительная  проходимость</t>
  </si>
  <si>
    <t>1 км</t>
  </si>
  <si>
    <t>Табл.9, § 2  прим . 1 (к-1.25)</t>
  </si>
  <si>
    <t>Описание точек наблюдений при составлении комплекса инженерно-экологических карт узких полос вдоль трасс линейных сооружений. Категория сложности III</t>
  </si>
  <si>
    <t xml:space="preserve">20 точек </t>
  </si>
  <si>
    <t xml:space="preserve">Радиационное обследование участка площадью от св. 1 га (измерение гамма-съемка 2,7 га, МАД) </t>
  </si>
  <si>
    <t>Камеральная обработка химических и бактериологических анализов на загрязнен-ность  почво-грунтов при инженерно-экологических изысканиях</t>
  </si>
  <si>
    <t>Табл.86, § 6</t>
  </si>
  <si>
    <t xml:space="preserve">Составление программы производства работ. Средняя глубина исследования до 5 м. Исследуемая площадь до 1 км2. </t>
  </si>
  <si>
    <t>программа</t>
  </si>
  <si>
    <t xml:space="preserve">Табл.81, § 1, прим. 1 (к-1.4) </t>
  </si>
  <si>
    <t>Составление технического отчета (заключения) о результатах выполненных работ при стоимости камеральных работ: до 5 тыс. руб.</t>
  </si>
  <si>
    <t>отчет</t>
  </si>
  <si>
    <t xml:space="preserve"> Табл.87, § 1</t>
  </si>
  <si>
    <t>ВСЕГО КАМЕРАЛЬНЫХ РАБОТ</t>
  </si>
  <si>
    <t>4. Прочие расходы</t>
  </si>
  <si>
    <t>Расходы по внутреннему транспорту. Расстояние от базы до участка изысканий св. 5 до 10 км. Сметная стоимость полевых изыск.работ до 5 тыс.руб.</t>
  </si>
  <si>
    <t xml:space="preserve"> Табл. 4</t>
  </si>
  <si>
    <t>Расходы по внешнему транспорту при расстоянии от 100 до 300 км и продолжительности полевых работ до 1 месяца</t>
  </si>
  <si>
    <t xml:space="preserve"> Табл. 5, § 2</t>
  </si>
  <si>
    <t>Расходы по организации и ликвидации работ со сметной стоимостью свыше 2 до 5 тыс. руб</t>
  </si>
  <si>
    <t>О.У. П 13 К=2</t>
  </si>
  <si>
    <t>ВСЕГО ПРОЧИХ РАСХОДОВ</t>
  </si>
  <si>
    <t>ВСЕГО ПО СМЕТЕ в ценах 01.01.1991 без доп. работ гл. 5</t>
  </si>
  <si>
    <t>ВСЕГО ПО СМЕТЕ в ценах II квартала 2026 года  К = 80,58 (Письмо Минстроя России от 08.04.2026 №20212-ИФ/09)</t>
  </si>
  <si>
    <t xml:space="preserve">5. Дополнительные работы с оплатой услуг сторонних организаций, необходимых для производства изысканий </t>
  </si>
  <si>
    <t xml:space="preserve">Исследование почв на санитарно-паразитологические показатели и бактериологические показатели - на глубине 0,0-0,2 м:                       - Жизнеспособные цисты патогенных простейших;                             </t>
  </si>
  <si>
    <t>образец/услуга</t>
  </si>
  <si>
    <t>Прейскурант Аккредитованная в национальной системе аккредитации "Росаккредитация" Испытательная лаборатория Лаб24 адрес: 125371 г. Москва, Волоколамское шоссе, 89  
Телефон: +7 495 133-01-34
Mail:            zakaz@lab-24.ru
№ исследования по прейскуранту п.6.2.7</t>
  </si>
  <si>
    <t xml:space="preserve">Патогенные энтеробактерии рода Sahnonella;     </t>
  </si>
  <si>
    <t>п.6.2.5</t>
  </si>
  <si>
    <t xml:space="preserve">Энтерококки (Индекс\Фекальные) </t>
  </si>
  <si>
    <t>п.6.2.8</t>
  </si>
  <si>
    <t xml:space="preserve">  Яйца гельминтов, личинки гельминтов</t>
  </si>
  <si>
    <t>п.6.2.10</t>
  </si>
  <si>
    <t>БГПК</t>
  </si>
  <si>
    <t>п.6.2.1</t>
  </si>
  <si>
    <t>Сведения о климатических параметрах,
фоновых концентрациях загрязняющих веществ в
атмосферном воздухе (6 показателей).</t>
  </si>
  <si>
    <t>Сборник цен на гидрометеорологическую продукцию и информацию о состоянии окружающей среды, её загрязнении 2026. Северо-Кавказский. УГМС. РСО-А ЦГМС</t>
  </si>
  <si>
    <t>Итого стоимость дополнительных работ гл. 5 без НДС</t>
  </si>
  <si>
    <t xml:space="preserve">4. Дополнительные работы с оплатой услуг сторонних организаций, необходимых для производства изысканий </t>
  </si>
  <si>
    <t xml:space="preserve">Получение (приобретение) исходных данных и сведений о климате </t>
  </si>
  <si>
    <t>справка</t>
  </si>
  <si>
    <t>Определение эффективной удельной активности природных радионуклидов (ЕРН). Почва.</t>
  </si>
  <si>
    <t>образец</t>
  </si>
  <si>
    <t>Типовые нормы выработки и расценок на работы, выполняемые проектно-изыскательскими центрами и станциями агрохимической службы. Москва 1994 г.</t>
  </si>
  <si>
    <t>сборник отсутствует в фед.реестре сметных нормативов.</t>
  </si>
  <si>
    <t>Исследование на паразитарную чистоту: исследование на личинки гельминтов. Почва.</t>
  </si>
  <si>
    <t>Исследование на бактериологию. Почва.</t>
  </si>
  <si>
    <t>Исследование на паразитарную чистоту: исследование на яйца гельминтов. Вода.</t>
  </si>
  <si>
    <t>Исследование на паразитарную чистоту: исследование на цисты патогенных простейших. Вода.</t>
  </si>
  <si>
    <t>4.6</t>
  </si>
  <si>
    <t>Измерение уровня шума</t>
  </si>
  <si>
    <t>точка</t>
  </si>
  <si>
    <t>ВСЕГО с дополнительными работами гл.5</t>
  </si>
  <si>
    <t xml:space="preserve">Итого по смете с учетом НДС:   </t>
  </si>
  <si>
    <t xml:space="preserve">  </t>
  </si>
  <si>
    <t>Ур. (для нумерации позиций)</t>
  </si>
  <si>
    <t>Наименование объектов, видов работ</t>
  </si>
  <si>
    <t>Количество</t>
  </si>
  <si>
    <t>Обоснование</t>
  </si>
  <si>
    <t>Ценовой период объекта-аналога</t>
  </si>
  <si>
    <t>Итого общий усложняющий коэффициент</t>
  </si>
  <si>
    <t>Итого общий ценообразующий коэффициент</t>
  </si>
  <si>
    <t>Коэффициенты, учитывающие изменение стоимости строительства
на территориях субъектов Российской Федерации, связанные
с климатическими условиями (Kpег.1 )</t>
  </si>
  <si>
    <t>Коэффициент, характеризующий удорожание стоимости строительства в сейсмических районах (Кс)</t>
  </si>
  <si>
    <t>Примечание</t>
  </si>
  <si>
    <t>шт.</t>
  </si>
  <si>
    <t>100 м</t>
  </si>
  <si>
    <t>НДС 22%</t>
  </si>
  <si>
    <t>шт</t>
  </si>
  <si>
    <r>
      <t xml:space="preserve">Коэффициент перехода от цен базового района (Московская область)
к уровню цен субъектов Российской Федерации: </t>
    </r>
    <r>
      <rPr>
        <b/>
        <u/>
        <sz val="12"/>
        <color theme="1"/>
        <rFont val="Times New Roman"/>
        <family val="1"/>
        <charset val="204"/>
      </rPr>
      <t>Республика Дагестан</t>
    </r>
    <r>
      <rPr>
        <sz val="12"/>
        <color theme="1"/>
        <rFont val="Times New Roman"/>
        <family val="1"/>
        <charset val="204"/>
      </rPr>
      <t xml:space="preserve"> (Kпер)</t>
    </r>
  </si>
  <si>
    <t>Участок 1 перехватывающего коллектора: трубы Корсис DN530 мм SN8, в том числе:</t>
  </si>
  <si>
    <t>НЦС 81-02-14-2024
14-07-001-12 
Наружные инженерные сети канализации из полиэтиленовых труб, диаметром 500 мм глубиной 3 м, разработка сухого грунта в отвал, без креплений (группа грунтов 1-3)
К=1,07  (ОУ п.17 табл.1) - коэффициент на транспортировку разработанного грунта с погрузкой в автомобиль-самосвал на расстояние 1 км, при устройстве траншей с откосами без креплений, при диаметре трубопровода 500 мм и глубине заложения трубопровода 3 м</t>
  </si>
  <si>
    <t>Колодцы железобетонные сборные, с обмазочной гидроизоляцией (14 шт на 1 км)</t>
  </si>
  <si>
    <t>Участок 2 перехватывающего коллектора: трубы Корсис DN630 мм SN8, в том числе:</t>
  </si>
  <si>
    <t xml:space="preserve">НЦС 81-02-14-2024
14-07-001-13 
Наружные инженерные сети канализации из полиэтиленовых труб, диаметром 630 мм глубиной 3 м, разработка сухого грунта в отвал, без креплений (группа грунтов 1-3)
К=1,04 (ОУ п.17 табл.1)- коэффициент на транспортировку разработанного грунта с погрузкой в автомобиль-самосвал на расстояние 1 км, при устройстве траншей с откосами без креплений, при диаметре трубопровода 600-1000 мм и глубине заложения трубопровода 3 м
</t>
  </si>
  <si>
    <t>Участок 4 перехватывающего коллектора: трубы Корсис DN 1690 мм SN8</t>
  </si>
  <si>
    <t>ВСЕГО с НДС, тыс. руб.</t>
  </si>
  <si>
    <t>Участок 3 перехватывающего коллектора: трубы Корсис DN1200 мм SN8, в том числе:</t>
  </si>
  <si>
    <t xml:space="preserve">НЦС 81-02-14-2024
14-07-001-15 
Наружные инженерные сети канализации из полиэтиленовых труб, диаметром 1000 мм глубиной 3 м, разработка сухого грунта в отвал, без креплений (группа грунтов 1-3)
К=1,04  (ОУ п.17 табл.1) - коэффициент на транспортировку разработанного грунта с погрузкой в автомобиль-самосвал на расстояние 1 км, при устройстве траншей с откосами без креплений, при диаметре трубопровода 600-1000 мм и глубине заложения трубопровода 3 м
</t>
  </si>
  <si>
    <t>ДИАМЕТР НЕ СООТВЕТСТВУЕТ (ПРИМЕНЕНО КРАЙНЕЕ ЗНАЧЕНИЕ ДИАМЕТРА ИЗ ТАБЛИЦЫ НЦС!!!!!</t>
  </si>
  <si>
    <t>Колодцы железобетонные сборные, с обмазочной гидроизоляцией (10 шт на 1 км)</t>
  </si>
  <si>
    <t>100 пог.м.</t>
  </si>
  <si>
    <t>НЦС 81-02-08-2024
08-10-001-01 (применительно)
Водопропускные трубы: гофрированные из металла, диаметром до 1,5 м</t>
  </si>
  <si>
    <t xml:space="preserve">Автомобильные мост №1: Однопролетное, балочное ж/б сооружение с ограждением. 
Длина 15 м. Ширина 9 м
</t>
  </si>
  <si>
    <t>1 м2</t>
  </si>
  <si>
    <t>НЦС 81-02-09-2024
09-01-001-01
Мосты со сборными железобетонными пролетными строениями с длиной приведенного пролета до 22 м: средняя высота опор до 8 м</t>
  </si>
  <si>
    <t xml:space="preserve">Автомобильные мост №2: Однопролетное, балочное ж/б сооружение с ограждением. 
Длина 15 м. Ширина 9 м
</t>
  </si>
  <si>
    <t xml:space="preserve">Автомобильные мост №3: Однопролетное, балочное ж/б сооружение с ограждением. 
Длина 18 м. Ширина 9 м
</t>
  </si>
  <si>
    <t>Надземная эстакада трубопроводов №1: Ферма металлическая, однопролетная. Длина 16м. Ширина 9м.</t>
  </si>
  <si>
    <t>НЦС 81-02-09-2024
09-03-004-01 (применительно)
Эстакады съездов с металлическими пролетными строениями с длиной приведенного пролета до 55 м: средняя высота опор до 8 м</t>
  </si>
  <si>
    <t>Надземная эстакада трубопроводов №2: Ферма металлическая, однопролетная. Длина 16 м. Ширина 6 м.</t>
  </si>
  <si>
    <t>Перехватывающий коллектор. 4-й участок (Трубы Корсис, DN 1690 мм, Д.вн.1500 мм, SN8)</t>
  </si>
  <si>
    <r>
      <t xml:space="preserve">НЦС 81-02-14-2024
14-07-003-28 (применительно) Наружные инженерные сети канализации из полиэтиленовых труб, диаметром </t>
    </r>
    <r>
      <rPr>
        <sz val="12"/>
        <color rgb="FFFF0000"/>
        <rFont val="Times New Roman"/>
        <family val="1"/>
        <charset val="204"/>
      </rPr>
      <t>1000</t>
    </r>
    <r>
      <rPr>
        <sz val="12"/>
        <color theme="1"/>
        <rFont val="Times New Roman"/>
        <family val="1"/>
        <charset val="204"/>
      </rPr>
      <t xml:space="preserve"> мм глубиной 4 м, разработка сухого грунта в отвал , с креплением (группа грунтов 1-3)
</t>
    </r>
  </si>
  <si>
    <t>Оптимизация:</t>
  </si>
  <si>
    <t>Переустройство инженерных сетей:</t>
  </si>
  <si>
    <t>Кабельные линии 10 кВ (300х2 пог.м.) ААлКШп 3х240: Исполнение линий, способ прокладки – кабельный, надземный по эстакаде</t>
  </si>
  <si>
    <r>
      <t>НЦС 81-02-12-2024
12-01-013-08
Подземная прокладка в траншее 2-х кабелей с алюминиевыми жилами на напряжение 10 кВ, с бумажной изоляцией в алюминиевой оболочке, с броней из двух стальных лент:
с числом жил - 3 и сечением 240 мм</t>
    </r>
    <r>
      <rPr>
        <vertAlign val="superscript"/>
        <sz val="12"/>
        <rFont val="Times New Roman"/>
        <family val="1"/>
        <charset val="204"/>
      </rPr>
      <t>2</t>
    </r>
  </si>
  <si>
    <t>Сети хозяйственно-питьевого водоснабжения в две нитки 300х2 пог.м.: Труба полиэтиленовая ПЭ32 SDR11 Ø32х3,0</t>
  </si>
  <si>
    <t>НЦС 81-02-14-2024
14-06-001-01 (применительно)
Наружные инженерные сети водоснабжения из полиэтиленовых труб, разработка сухого грунта в отвал, без креплений (группа грунтов 1-3): диаметром 110 мм глубиной 1 м
К=1,88 - при одновременной прокладке в траншее труб в 2 ряда (нити) (таблица 3 ТЧ)</t>
  </si>
  <si>
    <t>Сети хозяйственно-питьевого водоснабжения в две нитки 2х150 пог.м.: Труба стальная Ø325х8,0,  подземная прокладка</t>
  </si>
  <si>
    <t>НЦС 81-02-14-2024
14-03-001-07
Наружные инженерные сети водоснабжения из стальных труб, разработка сухого грунта в отвал, без креплений (группа грунтов 1-3): диаметром 300 мм глубиной 3 м
К=1,65 - при одновременной прокладке в траншее труб в 2 ряда (нити) (таблица 3 ТЧ)</t>
  </si>
  <si>
    <t>Сети технического водоснабжения в одну нитку: Труба полиэтиленовая ПЭ280 SDR21 Ø280х13,4</t>
  </si>
  <si>
    <t>НЦС 81-02-14-2024
14-06-001-16 (применительно)
Наружные инженерные сети водоснабжения из полиэтиленовых труб, разработка сухого грунта в отвал, без креплений (группа грунтов 1-3): диаметром 315 мм глубиной 2 м</t>
  </si>
  <si>
    <t>Сети хозяйственно-бытовой канализации (напорные) в две нитки 300х2 пог.м.: Труба полиэтиленовая ПЭ100 SDR21 Ø315х15</t>
  </si>
  <si>
    <t>НЦС 81-02-14-2024
14-06-001-16 (применительно)
Наружные инженерные сети водоснабжения из полиэтиленовых труб, разработка сухого грунта в отвал, без креплений (группа грунтов 1-3): диаметром 315 мм глубиной 2 м
К=1,84 - при одновременной прокладке в траншее труб в 2 ряда (нити) (таблица 3 ТЧ)</t>
  </si>
  <si>
    <t>Сети ливневой канализации (самотечные) в одну нитку К2 (ЛОС): Труба полипропиленовая DN/OD 800P SN16</t>
  </si>
  <si>
    <t>НЦС 81-02-14-2024
14-07-003-24
Наружные инженерные сети канализации из полиэтиленовых труб, разработка сухого грунта в отвал, без креплений (группа грунтов 1-3): диаметром 800 мм глубиной 3 м</t>
  </si>
  <si>
    <t>Сети ливневой канализации (самотечные) в одну нитку К2: Труба полипропиленовая DN/OD 400P SN16</t>
  </si>
  <si>
    <t>НЦС 81-02-14-2024
14-07-003-13
Наружные инженерные сети канализации из полиэтиленовых труб, разработка сухого грунта в отвал, без креплений (группа грунтов 1-3): диаметром 400 мм глубиной 2 м</t>
  </si>
  <si>
    <t>Сети газоснабжения (среднего давления): Труба полиэтиленовая ПЭ100 SDR11 Ø90х8,2, подземная прокладка</t>
  </si>
  <si>
    <t>НЦС 81-02-15-2024
15-03-003-05 (применительно)
Наружные инженерные сети газоснабжения протяженностью до 400 м из полиэтиленовых труб, при укладке в
траншею со стационарно установленного барабана с установкой отключающего устройства в подземном исполнении, без учета врезки в существующий газопровод, разработка сухого грунта в отвал, без креплений: диаметром 110 мм и глубиной 1,5 м</t>
  </si>
  <si>
    <t>Сети газоснабжения (высокого давления): Труба стальная Ø273х8,0, подземная прокладка</t>
  </si>
  <si>
    <t>НЦС 81-02-15-2024
15-01-001-24
Наружные инженерные сети газоснабжения из стальных изолированных труб, подземная прокладка, разработка сухого грунта в отвал, без креплений: диаметром 250 мм и глубиной 2,5 м</t>
  </si>
  <si>
    <t>Сети связи. Прокладка кабеля в кабельной канализации: подземная прокладка</t>
  </si>
  <si>
    <t>НЦС 81-02-11-2024
11-01-009-03 (применительно)
Прокладка в траншее сетей связи с устройством 2-х трубной кабельной канализации кабелями волоконно-оптическими с центральной модульной трубкой, с броней 
из стальных оцинкованных проволок, в полиэтиленовой оболочке:
с количеством волокон в кабеле - 16, оптических волокон в модуле - 4, количество модулей - 4</t>
  </si>
  <si>
    <t> 2800,00</t>
  </si>
  <si>
    <t> Площадка слива из автоцистерн</t>
  </si>
  <si>
    <t> м2</t>
  </si>
  <si>
    <t> Площадное сооружение, в монолитном железобетонном исполнении, с приямком для аварийного слива топлива. Уточняется проектом в ОТР</t>
  </si>
  <si>
    <t> Емкость для сбора аварийного пролива топлива (1 шт, V=18м3)</t>
  </si>
  <si>
    <t> м3</t>
  </si>
  <si>
    <t> Стальная, одностенная, емкость (1 шт, заводского изготовления, объемом V=18м3), с подземным размещением на монолитном железобетонном фундаменте. Уточняется проектом в ОТР</t>
  </si>
  <si>
    <t xml:space="preserve"> Комплект технологической обвязки места приема топлива,   емкостей хранения и аварийного пролива топлива </t>
  </si>
  <si>
    <t> комплект</t>
  </si>
  <si>
    <t> 1</t>
  </si>
  <si>
    <t> шт.</t>
  </si>
  <si>
    <t> Стальные, двустенные, емкости (2 шт, рабочая/резервная, заводского изготовления, объемом V=40м3 каждая), устанавливаемые в подземных монолитных железобетонных приямках. Уточняется проектом в ОТР</t>
  </si>
  <si>
    <t> Площадное сооружение, в монолитном железобетонном исполнении, предназначенное для размещения одноэтажных сооружений контейнерного типа полной заводской комплектации. Суммарная мощность ДГЭУ – 3,5 МВт.</t>
  </si>
  <si>
    <t> Контрольно-пропускной пункт</t>
  </si>
  <si>
    <t> Одноэтажное здание, со стальным каркасом. Уточняется проектом в ОТР</t>
  </si>
  <si>
    <t> Открытое площадное сооружение в составе благоустройства участка для размещения автотранспорта персонала, в количестве 7 машино/мест.</t>
  </si>
  <si>
    <t> Ограждение территории</t>
  </si>
  <si>
    <t> 540</t>
  </si>
  <si>
    <t> Периметральное ограждение панельного типа из металлических прутьев с полимерным покрытием (с технологическими калитками и воротами в необходимых местах). Уточняется проектом в ОТР</t>
  </si>
  <si>
    <t xml:space="preserve"> Трубопровод системы технического водоснабжения (полив твердых покрытий и озеленения) </t>
  </si>
  <si>
    <t> - узел присоединения к сущ. сети В3</t>
  </si>
  <si>
    <t> узел</t>
  </si>
  <si>
    <t> - узел присоединения к сущ. сети В1</t>
  </si>
  <si>
    <t> - узел присоединения к сущ. сети К1</t>
  </si>
  <si>
    <t> - узел присоединения к сущ. сети К2</t>
  </si>
  <si>
    <t> Наружные сети связи кабель 16 ОВ, бронированный, ТОС16, в одну нитку</t>
  </si>
  <si>
    <t> Кросс оптический на 16 волокон.</t>
  </si>
  <si>
    <t> Муфта оптическая на 16 волокон</t>
  </si>
  <si>
    <t> Шт.</t>
  </si>
  <si>
    <t> 2</t>
  </si>
  <si>
    <t> 8</t>
  </si>
  <si>
    <t> Кабелем в канализации связи, бронированный, одномодовый, 16 волокон.</t>
  </si>
  <si>
    <t> Система охранной и тревожной сигнализации (СОТС)</t>
  </si>
  <si>
    <t> Сигнализация периметра</t>
  </si>
  <si>
    <t> объектов защиты</t>
  </si>
  <si>
    <t> м.п.</t>
  </si>
  <si>
    <t> 2814</t>
  </si>
  <si>
    <t> Сервер</t>
  </si>
  <si>
    <t> АРМ</t>
  </si>
  <si>
    <t> камера (шт)</t>
  </si>
  <si>
    <t> Система пожарной сигнализации (СПС)</t>
  </si>
  <si>
    <t> Уточняется проектом</t>
  </si>
  <si>
    <t> Система охранного освещения (СОО)</t>
  </si>
  <si>
    <t> Система контроля и управления доступом (СКУД)</t>
  </si>
  <si>
    <t> точек прохода</t>
  </si>
  <si>
    <t> 12</t>
  </si>
  <si>
    <t> Система передачи данных систем связи (СПД-СС)</t>
  </si>
  <si>
    <t> Точка Wi-Fi</t>
  </si>
  <si>
    <t> Система передачи данных КСБ (СПД-СБ)</t>
  </si>
  <si>
    <t> Канал</t>
  </si>
  <si>
    <t> 64</t>
  </si>
  <si>
    <t> 4</t>
  </si>
  <si>
    <t> Система телефонной связи (СТС)</t>
  </si>
  <si>
    <t> точка</t>
  </si>
  <si>
    <t> 6</t>
  </si>
  <si>
    <t> Для обеспечения телефонной связи в зданиях Главного корпуса и Контрольно-пропускном пункте. Уточняется проектом, в соответствии с ТУ</t>
  </si>
  <si>
    <t> шлагбаум</t>
  </si>
  <si>
    <t> Шт</t>
  </si>
  <si>
    <t> Система оповещения и управления эвакуацией СОУЭ</t>
  </si>
  <si>
    <t> Система пожаротушения</t>
  </si>
  <si>
    <t> 2800</t>
  </si>
  <si>
    <t xml:space="preserve">шт </t>
  </si>
  <si>
    <t> Уточняется проектом </t>
  </si>
  <si>
    <t> Для обеспечения защиты  здания Главного корпуса Энергоцентра и Контрольно-пропускного пункта от несанкционированного проникновения. Уточняется проектом </t>
  </si>
  <si>
    <t>1 м2 общей площади</t>
  </si>
  <si>
    <t>НЦС 81-02-19-2026
19-07-022-01
Контрольно-пропускные пункты блочно-модульного исполнения общей площадью 32 м2</t>
  </si>
  <si>
    <t>м2</t>
  </si>
  <si>
    <t>НЦС 81-02-08-2026
08-07-001-01
Площадки отдыха с устройством ограждения и искусственного освещения: до 20 машино-мест</t>
  </si>
  <si>
    <t>100 пог.м</t>
  </si>
  <si>
    <t>НЦС 81-02-11-2026
11-01-011-03
Кабельные линии сетей связи, при прокладке в существующей кабельной
канализации или в коллекторе по свободному каналу кабелем волоконно-оптическим
с центральной модульной трубкой, с броней из стальных оцинкованных проволок,
в полиэтиленовой оболочке: с количеством волокон в кабеле - 16, оптических волокон
в модуле - 4, количество модулей - 4</t>
  </si>
  <si>
    <t>НЦС 81-02-11-2026
11-01-009-03
Кабельные линии сетей связи, при прокладке в траншее с устройством двухтрубной
кабельной канализации, кабелем волоконно-оптическим с центральной модульной
трубкой, с броней из стальных оцинкованных проволок, в полиэтиленовой оболочке:
с количеством волокон в кабеле - 16, оптических волокон
в модуле - 4, количество модулей - 4</t>
  </si>
  <si>
    <t>НЦС 81-02-11-2026
ОУ п.19 таб.1
Устройство кабельных колодцев (смотровых устройств) тип ККС-2</t>
  </si>
  <si>
    <t>100 м2 покрытия</t>
  </si>
  <si>
    <t>НЦС 81-02-16-2026
16-06-003-07
Площадки с покрытием: из армированного цементобетона</t>
  </si>
  <si>
    <t xml:space="preserve"> мощность ГПА 25,6  мВт   
протяженность трубопроводов технологической обвязки ГПА.-400 м д 80мм
 пропускная способность 6512 куб.м./сут.
</t>
  </si>
  <si>
    <t>100 м2 покрытия</t>
  </si>
  <si>
    <t> Сети газоснабжения Высокого давления: 0,6 МПа, ПЭ100 SDR11 d400</t>
  </si>
  <si>
    <t>НЦС 81-02-15-2026
15-02-001-28
Наружные инженерные сети газоснабжения из полиэтиленовых труб, при укладке
одиночных труб в траншею, разработка сухого грунта в отвал, без креплений: диаметром 400 мм и глубиной 1,5 м</t>
  </si>
  <si>
    <t>Электроснабжение потребителей КПК.</t>
  </si>
  <si>
    <t xml:space="preserve">Сети 0,4 кВ: АПвКШвнг(А) 4х185.
Кабель 0,4 кВ в грунте. </t>
  </si>
  <si>
    <r>
      <t>НЦС 81-02-12-2026
12-01-001-09 (применительно)
Кабельные линии электропередачи напряжением 1 кВ, при прокладке в траншее
кабелем с алюминиевыми жилами, с бумажной изоляцией в алюминиевой оболочке, с
броней из двух стальных лент с защитой кабеля кирпичом керамическим: с числом жил - 3 и сечением 240 мм²
К</t>
    </r>
    <r>
      <rPr>
        <vertAlign val="subscript"/>
        <sz val="12"/>
        <rFont val="Times New Roman"/>
        <family val="1"/>
        <charset val="204"/>
      </rPr>
      <t>ц</t>
    </r>
    <r>
      <rPr>
        <sz val="12"/>
        <rFont val="Times New Roman"/>
        <family val="1"/>
        <charset val="204"/>
      </rPr>
      <t>=1,02 - при укладке плит ПЗК 24х48 см вместо кирпича для защиты кабеля (ОУ п.20)</t>
    </r>
  </si>
  <si>
    <t xml:space="preserve"> Газорегуляторный пункт блочный (ГРПБ): 7500 м3/час </t>
  </si>
  <si>
    <t>НЦС 81-02-19-2026
Газорегуляторные пункты блочные давлением свыше 0,6 МПа, с одной линией
редуцирования пропускной способностью:
7500 м3/час
19-01-001-14: 4500 м3/час
19-01-001-15: 13000 м3/час
Интерполяция:
Пв=Пс-(с-в)*(Пс-Па)/(с-а), где
Па= 732,21 тыс. руб.;
Пс= 947,07 тыс. руб.;
а= 4500 м3/час;
в= 7500 м3/час;
с= 13000 м3/час.
Пв=947,07-(13000-7500)*(947,07-732,21)/(13000-4500)=808,04  тыс. руб.</t>
  </si>
  <si>
    <t> Подземная прокладка в грунте ПНД D65 от точки подключения до здания Главного корпуса. Уточняется проектом в ОТР, в соответствии с ТУ</t>
  </si>
  <si>
    <t>НЦС 81-02-14-2026
14-06-001-01 (применительно)
Наружные инженерные сети водоснабжения из полиэтиленовых труб, разработка
сухого грунта в отвал, без креплений (группа грунтов 1-3): диаметром 110 мм и глубиной 1 м</t>
  </si>
  <si>
    <t> Подземная прокладка в грунте ПНД D150 от точки подключения до здания Главного корпуса. Уточняется проектом в ОТР, в соответствии с ТУ</t>
  </si>
  <si>
    <t>НЦС 81-02-14-2026
14-06-001-08 (применительно)
Наружные инженерные сети водоснабжения из полиэтиленовых труб, разработка
сухого грунта в отвал, без креплений (группа грунтов 1-3): диаметром 160 мм и глубиной 2 м</t>
  </si>
  <si>
    <t> Подземная прокладка в грунте, ПНД D160 от точки подключения до здания Главного корпуса. Уточняется проектом в ОТР, в соответствии с ТУ</t>
  </si>
  <si>
    <t> Трубопровод системы хозяйственно-бытовой канализации ПНД d160</t>
  </si>
  <si>
    <t> Трубопровод системы объединенного хозяйственно-питьевого и пожарного водоснабжения ПНД D150</t>
  </si>
  <si>
    <t>НЦС 81-02-14-2026
14-07-001-02
Наружные инженерные сети канализации из полиэтиленовых труб, разработка сухого
грунта в отвал, без креплений (группа грунтов 1-3): диаметром 160 мм и глубиной 2 м</t>
  </si>
  <si>
    <t>Подземная прокладка в грунте ПНД D300 от точки подключения до здания Главного корпуса и дождеприемных колодцев на территории.Уточняется проектом в ОТР, в соответствии с ТУ </t>
  </si>
  <si>
    <t> Трубопровод системы ливневой канализации ПНД D300</t>
  </si>
  <si>
    <t>НЦС 81-02-14-2026
14-07-001-07
Наружные инженерные сети канализации из полиэтиленовых труб, разработка сухого
грунта в отвал, без креплений (группа грунтов 1-3): диаметром 315 мм и глубиной 2 м</t>
  </si>
  <si>
    <t>Внеплощадочные вспомогательные сооружения, инженерные сети, благоустройство</t>
  </si>
  <si>
    <t> 1 км</t>
  </si>
  <si>
    <t>НЦС 81-02-15-2026
15-02-001-13
Наружные инженерные сети газоснабжения из полиэтиленовых труб, при укладке
одиночных труб в траншею, разработка сухого грунта в отвал, без креплений: диаметром 200 мм и глубиной 1,5 м</t>
  </si>
  <si>
    <t>НЦС 81-02-12-2026
21-02-001-03
РП 10(6) кВ блочного типа (бетонное здание), количество ячеек, шт.: 12</t>
  </si>
  <si>
    <t>Распределительный пункт РП-1 10 кВ закрытого типа, 12 ячеек, мощность 18.8 мВт</t>
  </si>
  <si>
    <t>Распределительный пункт РП-2 10 кВ закрытого типа, 12 ячеек, мощность 17.0 мВт</t>
  </si>
  <si>
    <r>
      <t>НЦС 81-02-12-2026
12-07-002-03
Линии уличного освещения напряжением 0,66 кВ по металлическим опорам, при
прокладке в траншее кабеля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25 мм²
К</t>
    </r>
    <r>
      <rPr>
        <vertAlign val="subscript"/>
        <sz val="12"/>
        <color theme="1"/>
        <rFont val="Times New Roman"/>
        <family val="1"/>
        <charset val="204"/>
      </rPr>
      <t>ц</t>
    </r>
    <r>
      <rPr>
        <sz val="12"/>
        <color theme="1"/>
        <rFont val="Times New Roman"/>
        <family val="1"/>
        <charset val="204"/>
      </rPr>
      <t>=1,02 - при укладке плит ПЗК 24х48 см вместо кирпича для защиты кабеля (ОУ п.20)</t>
    </r>
  </si>
  <si>
    <t>1 объект</t>
  </si>
  <si>
    <t>СБЦи5.3_0-8-43-2-1-1 Таблица 43 п.2
A = 18 руб.;
Количество = 10 (1 км маршрута);</t>
  </si>
  <si>
    <t>A * Количество * K1
18 руб. * 10 * 1.2</t>
  </si>
  <si>
    <t xml:space="preserve">При выполнении инженерно-гидрометеорологических изысканий в объеме, не превышающем общей стоимости по объекту 2 тыс. рублей </t>
  </si>
  <si>
    <t>K1 = 1.2
Часть II п.3 (Ценообразующий)</t>
  </si>
  <si>
    <t>A * Количество * K1
7 руб. * 20 * 1.2</t>
  </si>
  <si>
    <t>СБЦи5.3_0-8-43-2-1-2 Таблица 43 п.2
A = 6 руб.;
Количество = 10 (1 км маршрута);</t>
  </si>
  <si>
    <t>A * Количество * K1
6 руб. * 10 * 1.2</t>
  </si>
  <si>
    <t>A * Количество * K1
105 руб. * 1 * 1.2</t>
  </si>
  <si>
    <t>A * Количество * K1
61 руб. * 1 * 1.2</t>
  </si>
  <si>
    <t>A * Количество * K1
90 руб. * 1 * 1.2</t>
  </si>
  <si>
    <t>A * Количество * K1
201 руб. * 1 * 1.2</t>
  </si>
  <si>
    <t xml:space="preserve">Составление технического отчета. Стоимость камеральных работ св. 500 до 1000 руб. Недостаточно изученная. </t>
  </si>
  <si>
    <t>СБЦи5.3_0-11-62-2-2 Таблица 62</t>
  </si>
  <si>
    <t>65% от п.2.1-2.5 * K1
620 руб. * 65 / 100 * 1.2</t>
  </si>
  <si>
    <t xml:space="preserve">При выполнении изысканий для обоснования проектирования экологически опасных сооружений применяется коэффициент </t>
  </si>
  <si>
    <t>K1 = 1.2
Прим. к табл.62, п.6 (Ценообразующий)</t>
  </si>
  <si>
    <t>Надбавки за выполнение полевых работ и выполняемых в условиях полевого лагеря камеральных работ в неблагоприятный период года. Продолжительность неблагоприятного периода года 4-5.5 мес</t>
  </si>
  <si>
    <t>СБЦ на инж.из. для стр-ва "Инженерно-гидрографические работы. Инженерно-гидрометеорологические изыскания на реках" (ОУ п. 8г Таблица 2)</t>
  </si>
  <si>
    <t>Коэф-т 0.2 от п.1.4</t>
  </si>
  <si>
    <t>Расходы по внутреннему транспорту. Расстояние от базы до участка изысканий св. 5 до 10 км. Сметная стоимость полевых изыск.работ до 5 тыс.руб</t>
  </si>
  <si>
    <t>11.25% от п.1.4, 3.1</t>
  </si>
  <si>
    <t>19.6% от п.1.4, 3.1-3.2</t>
  </si>
  <si>
    <t>Коэф-т 2.5 и 6% от п.1.4, 3.1-3.2</t>
  </si>
  <si>
    <t>Сумма от п.4</t>
  </si>
  <si>
    <t>Коэф-т 80.58 от п.5</t>
  </si>
  <si>
    <t>стоимость ГПА в 2025 году 55 - 85 тыс.руб./1 квт</t>
  </si>
  <si>
    <t>Административно-бытовой корпус (АБК): 2 этажа</t>
  </si>
  <si>
    <t>НЦС 81-02-19-2026
19-07-005-01
Административно-бытовые комплексы общей площадью: 725 м2</t>
  </si>
  <si>
    <t>Система приема телевидения</t>
  </si>
  <si>
    <t> Система охранная телевизионная внутренняя (СОТВ)</t>
  </si>
  <si>
    <t> Система охранная телевизионная наружная (СОТН)</t>
  </si>
  <si>
    <t> Система радиофикации:  радиоприемник Лира 248</t>
  </si>
  <si>
    <t> Система речевого оповещения:  громкоговоритель с усилителем</t>
  </si>
  <si>
    <t> 1 м2 общей площади</t>
  </si>
  <si>
    <t>Основные здания и сооружения (объекты капитального строительства)</t>
  </si>
  <si>
    <t> Здание газопоршневой электростанции (Энергоцентра)</t>
  </si>
  <si>
    <t>Здание-цех для размещения газопоршневых агрегатов (ГПА)</t>
  </si>
  <si>
    <t>Смета № 5-арх</t>
  </si>
  <si>
    <t>Смета № 6-воп</t>
  </si>
  <si>
    <t>Смета №3-из</t>
  </si>
  <si>
    <t>СМЕТА № 4-из</t>
  </si>
  <si>
    <t>СМЕТА № 5-арх</t>
  </si>
  <si>
    <t>Смета № 6-ВОП</t>
  </si>
  <si>
    <t xml:space="preserve">Производственно-энергетический блок (ПЭБ). Объем от 400 кв.м до 600 кв.м включительно. </t>
  </si>
  <si>
    <t>НЗ 11.08_0-3-3.8-5-2 НЗ №849/пр Объекты газовой промышленности. 2023 г. Таблица 3.8. Объекты общетехнического назначения, п.5
A = 741.7 тыс.руб; B = 6.188 тыс.руб;
Xмакс = 600;
Xзад = 2200(кв.м);
Количество = 1</t>
  </si>
  <si>
    <t>Здание-цех для размещения газопоршневых агрегатов</t>
  </si>
  <si>
    <t>1. Пояснительная записка</t>
  </si>
  <si>
    <t>2. Схема планировочной организации земельного участка</t>
  </si>
  <si>
    <t>3. Архитектурные решения, конструктивные и объемно-планировочные решения</t>
  </si>
  <si>
    <t>4. Технологические решения</t>
  </si>
  <si>
    <t>5. Сведения об инженерном оборудовании, о сетях и системах инженерно-технического обеспечения</t>
  </si>
  <si>
    <t>5.1. Система электроснабжения</t>
  </si>
  <si>
    <t>5.2. Система отопления, вентиляция и кондиционирование воздуха, тепловые сети</t>
  </si>
  <si>
    <t>5.3. Система водоотведения, система водоснабжения</t>
  </si>
  <si>
    <t>5.4. Сети и системы связи</t>
  </si>
  <si>
    <t>5.5. Локальная автоматика, КИП и А</t>
  </si>
  <si>
    <t>6. Проект организации строительства</t>
  </si>
  <si>
    <t>7. Мероприятия по охране окружающей среды</t>
  </si>
  <si>
    <t>8. Мероприятия по обеспечению пожарной безопасности</t>
  </si>
  <si>
    <t>9. Требования к обеспечению безопасной эксплуатации объекта капитального строительства</t>
  </si>
  <si>
    <t>10. Смета на строительство, реконструкцию, капитальный ремонт, снос объекта капитального строительства</t>
  </si>
  <si>
    <t xml:space="preserve">Трубопроводы технологической обвязки газовых агрегатов установок компримирования газа КС. Протяженность от 500 м до 1000 м включительно. </t>
  </si>
  <si>
    <t>НЗ 11.08_0-3-3.3-4-1 НЗ №849/пр Объекты газовой промышленности. 2023 г. Таблица 3.3. Компрессорные станции на магистральных газопроводах (КС), п.4
A = 72.7 тыс.руб; B = 0.016 тыс.руб;
Xмин = 500;
Xзад = 400(м);
Количество = 1</t>
  </si>
  <si>
    <t>технологическая обвязка трубопроводов ГПА д.80 мм</t>
  </si>
  <si>
    <t>2. Технологические и конструктивные решения линейного объекта. Искусственные сооружения</t>
  </si>
  <si>
    <t>2.1. Технологические решения</t>
  </si>
  <si>
    <t>2.2. Архитектурные решения, конструктивные и объемно-планировочные решения</t>
  </si>
  <si>
    <t>2.3. Сети связи</t>
  </si>
  <si>
    <t>2.4. Система электроснабжения</t>
  </si>
  <si>
    <t>2.5. Система электрохимической защиты</t>
  </si>
  <si>
    <t>2.6. Локальная автоматика, КИП и А</t>
  </si>
  <si>
    <t>3. Проект организации строительства</t>
  </si>
  <si>
    <t>4. Мероприятия по охране окружающей среды</t>
  </si>
  <si>
    <t>5. Мероприятия по обеспечению пожарной безопасности</t>
  </si>
  <si>
    <t>6. Смета на строительство, реконструкцию, капитальный ремонт, снос объекта капитального строительства</t>
  </si>
  <si>
    <t xml:space="preserve">Административно-бытовой корпус (АБК) объектов городской среды. Площадь от 350 до 1500 кв.м включительно. </t>
  </si>
  <si>
    <t>НЗ 11.11_0-3-3.3-2-1 НЗ №911/пр Объекты городской среды. 2023 г. Таблица 3.3. Строительство отдельных зданий подсобного и обслуживающего назначения, п.2
A = 437.5 тыс.руб; B = 2.393 тыс.руб;
Xзад = 600(кв.м);
Количество = 1</t>
  </si>
  <si>
    <t xml:space="preserve">Стоимость подготовки проектной и рабочей документации зданий (сооружений) сблокированных с основным определяется по ценам МНЗ на проектные работы исходя из натурального показателя, установленного для сблокированного объекта, с корректирующим коэффициентом </t>
  </si>
  <si>
    <t>K1 = 0.8
Методика, 707/пр. Глава IX, п.170 (Ценообразующий)</t>
  </si>
  <si>
    <t>2.1. Генеральный план</t>
  </si>
  <si>
    <t>2.2. Организация рельефа вертикальной планировкой</t>
  </si>
  <si>
    <t xml:space="preserve">2.3. Благоустройство </t>
  </si>
  <si>
    <t>3. Объемно-планировочные и архитектурные решения</t>
  </si>
  <si>
    <t>4. Конструктивные решения</t>
  </si>
  <si>
    <t>5. Сведения об инженерном оборудовании, о сетях и системах ИТО</t>
  </si>
  <si>
    <t>5.2. Отопление, вентиляция и кондиционирование воздуха, тепловые сети</t>
  </si>
  <si>
    <t>5.3. Система водоснабжения</t>
  </si>
  <si>
    <t>5.4. Система водоотведения</t>
  </si>
  <si>
    <t>5.5. Сети связи</t>
  </si>
  <si>
    <t>5.6. Автоматизация</t>
  </si>
  <si>
    <t>6. Технологические решения</t>
  </si>
  <si>
    <t>7. Проект организации строительства</t>
  </si>
  <si>
    <t>8. Перечень мероприятий по охране окружающей среды</t>
  </si>
  <si>
    <t>9. Мероприятия по обеспечению пожарной безопасности</t>
  </si>
  <si>
    <t>10. Требования к обеспечению безопасной эксплуатации объекта капитального строительства</t>
  </si>
  <si>
    <t>11. Смета на строительство, реконструкцию, капитальный ремонт объекта капитального строительства</t>
  </si>
  <si>
    <t xml:space="preserve">Дизельная электростанция. Мощность от 900 до 1800 кВт включительно. </t>
  </si>
  <si>
    <t>НЗ 11.03_0-3-3.15-1-3 НЗ №847/пр Строительство, реконструкция сетей инженерно-технического обеспечения и объектов инфраструктуры. 2023 г. Таблица 3.15. Дизельные электростанции, п.1
A = 463.7 тыс.руб; B = 1.299 тыс.руб;
Xмакс = 1800;
Xзад = 3500(кВт);
Количество = 1</t>
  </si>
  <si>
    <t xml:space="preserve">Стоимость проектных работ для строительства дизельной электростанции со складом дизельного топлива определяется по параметрам цен проектных работ с применением корректирующего коэффициента </t>
  </si>
  <si>
    <t xml:space="preserve">Стоимость работ по подготовке решений и мероприятий, обеспечивающих промышленную безопасность на опасных производственных объектах - объектах инфраструктуры, предусмотренных пунктом 3 Положения № 87, определяется в пределах 6 (шести) процентов от суммы стоимостей работ по подготовке разделов проектной документации «Сведения об инженерном оборудовании, о сетях и системах инженерно-технического обеспечения» и «Проект организации строительства» </t>
  </si>
  <si>
    <t>2. Схемы планировочной организации земельного участка</t>
  </si>
  <si>
    <t>3. Архитектурные решения</t>
  </si>
  <si>
    <t>4. Конструктивные и объемно-планировочные решения</t>
  </si>
  <si>
    <t>5.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</si>
  <si>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5.1. Технологические решения</t>
  </si>
  <si>
    <t>5.2. Отопление и вентиляция</t>
  </si>
  <si>
    <t>5.3. Система водоснабжения и водоотведения</t>
  </si>
  <si>
    <t>5.4. Система электроснабжения</t>
  </si>
  <si>
    <t>9. Требования к обеспечению безопасной эксплуатации объектов капитального строительства</t>
  </si>
  <si>
    <t>10. Мероприятия по обеспечению соблюдения требований энергетической эффективности и требований оснащенности зданий, строений и сооружений приборами учета используемых энергетических ресурсов</t>
  </si>
  <si>
    <t>11. Смета на строительство</t>
  </si>
  <si>
    <t xml:space="preserve">Открытые плоскостные площадки, детские игровые площадки, площадки для отдыха и занятий физкультурой (спортивные площадки), площадки для хозяйственных целей (контейнерные площадки для сбора ТКО и крупногабаритного мусора), площадки для выгула собак. Площадь до 100 кв.м включительно. </t>
  </si>
  <si>
    <t>НЗ 11.11_0-3-3.2-3-1 НЗ №911/пр Объекты городской среды. 2023 г. Таблица 3.2. Строительство отдельных элементов благоустройства и МАФ, п.3
A = 33.4 тыс.руб; 
Количество = 1 (объект, до 100 кв.м)</t>
  </si>
  <si>
    <t>A * Количество * Ктек * Кст
33 400 руб. * 1 * 1.53 * 0.4 * 1.26809</t>
  </si>
  <si>
    <t>Площадка слива из автоцистерн 62 м2</t>
  </si>
  <si>
    <t xml:space="preserve">K1 = 1.3 (РПД 2.1-2.3,3-4)
Методика, 707/пр. Приложение 5, табл.5.1, п.2.3 (Усложняющий) </t>
  </si>
  <si>
    <t>1% = 204 руб.</t>
  </si>
  <si>
    <t>37.7% = 7 706 руб.</t>
  </si>
  <si>
    <t>9% * (1 + 0.3) [из  37.7%] = 2 392 руб.</t>
  </si>
  <si>
    <t>10% * (1 + 0.3) [из  37.7%] = 2 657 руб.</t>
  </si>
  <si>
    <t>23% * (1 + 0.3) = 6 112 руб.</t>
  </si>
  <si>
    <t>32% * (1 + 0.3) = 8 503 руб.</t>
  </si>
  <si>
    <t>5. Проект организации строительства</t>
  </si>
  <si>
    <t>5% = 1 022 руб.</t>
  </si>
  <si>
    <t>6. Перечень мероприятий по охране окружающей среды</t>
  </si>
  <si>
    <t>2% = 409 руб.</t>
  </si>
  <si>
    <t>7. Требования к обеспечению безопасной эксплуатации объекта капитального строительства</t>
  </si>
  <si>
    <t>8. Смета на строительство, реконструкцию, капитальный ремонт объекта капитального строительства</t>
  </si>
  <si>
    <t>7.609% = 1 555 руб.</t>
  </si>
  <si>
    <t>Установка аварийной емкости объемом от 10 куб.м до 50 куб.м включительно</t>
  </si>
  <si>
    <t>НЗ 11.08_0-3-3.7-38 НЗ №849/пр Объекты газовой промышленности. 2023 г. Таблица 3.7. Объекты подготовки газа, газового конденсата (УКПГ, УППГ, УПТГ, ГС), п.38
A = 757.9 тыс. руб.B = 0.026 тыс. руб.;
Хзад = 18 (куб.м);
Количество = 1</t>
  </si>
  <si>
    <t xml:space="preserve"> Емкость для сбора аварийного пролива топлива (1 шт, V=18м3)</t>
  </si>
  <si>
    <t>5.3. Сети и системы связи</t>
  </si>
  <si>
    <t>5.4. Локальная автоматика, КИП и А</t>
  </si>
  <si>
    <t xml:space="preserve">Сооружение доочистки сточных вод на фильтрах. Производительность от 0.5 до 5 тысяч кубических метров/сутки включительно. </t>
  </si>
  <si>
    <t xml:space="preserve">ЛОС - бензо-масло-уловитель перед сбросом в систему К2. Q~5 л/с </t>
  </si>
  <si>
    <t>5.2. Система водоснабжения</t>
  </si>
  <si>
    <t>5.3. Система водоотведения</t>
  </si>
  <si>
    <t>5.4. Отопление, вентиляция и кондиционирование воздуха, тепловые сети</t>
  </si>
  <si>
    <t>5.6. Контрольно-измерительные приборы и автоматизация</t>
  </si>
  <si>
    <t>8. Мероприятия по охране окружающей среды</t>
  </si>
  <si>
    <t>10. Требования к обеспечению безопасной эксплуатации объектов капитального строительства, требования к обеспечению безопасной эксплуатации линейных объектов</t>
  </si>
  <si>
    <t>11. Смета на строительство, реконструкцию, капитальный ремонт, снос объекта капитального строительства</t>
  </si>
  <si>
    <t>НЗ 11.11_0-3-3.3-1 НЗ №911/пр Объекты городской среды. 2023 г. Таблица 3.3. Строительство отдельных зданий подсобного и обслуживающего назначения, п.1
A = 62.2 тыс. руб.B = 4.139 тыс. руб.;
Xмин = 20;
Хзад = 14 (кв.м);
Количество = 1</t>
  </si>
  <si>
    <t>(A + B * (0.4 * Xмин + 0.6 * Xзад)) * Количество * Ктек * Кст
(62 200 руб. + 4 139 руб. * (0.4 * 20 + 0.6 * 14)) * 1 * 1.53 * 0.4 * 1.25851</t>
  </si>
  <si>
    <t xml:space="preserve"> Одноэтажное здание, со стальным каркасом</t>
  </si>
  <si>
    <t>1% = 796 руб.</t>
  </si>
  <si>
    <t>28.6% = 22 768 руб.</t>
  </si>
  <si>
    <t>5% * (1 + 0.3) [из  28.6%] = 5 175 руб.</t>
  </si>
  <si>
    <t>9% * (1 + 0.3) [из  28.6%] = 9 314 руб.</t>
  </si>
  <si>
    <t>8% * (1 + 0.3) [из  28.6%] = 8 279 руб.</t>
  </si>
  <si>
    <t>13% * (1 + 0.3) = 13 454 руб.</t>
  </si>
  <si>
    <t>21% * (1 + 0.3) = 21 733 руб.</t>
  </si>
  <si>
    <t>26% = 20 698 руб.</t>
  </si>
  <si>
    <t>3% * (1 + 0.3) [из  26%] = 3 105 руб.</t>
  </si>
  <si>
    <t>2% * (1 + 0.3) [из  26%] = 2 070 руб.</t>
  </si>
  <si>
    <t>7% * (1 + 0.3) [из  26%] = 7 244 руб.</t>
  </si>
  <si>
    <t>5% * (1 + 0.3) = 5 175 руб.</t>
  </si>
  <si>
    <t>5% = 3 980 руб.</t>
  </si>
  <si>
    <t>2% = 1 592 руб.</t>
  </si>
  <si>
    <t>3% = 2 388 руб.</t>
  </si>
  <si>
    <t>7.551% = 6 011 руб.</t>
  </si>
  <si>
    <t>9. Смета на строительство</t>
  </si>
  <si>
    <t>Итого Основные здания и сооружения (объекты капитального строительства):</t>
  </si>
  <si>
    <t>Всего Основные здания и сооружения (объекты капитального строительства):</t>
  </si>
  <si>
    <t>Внутриплощадочные вспомогательные сооружения, инженерные сети, благоустройство</t>
  </si>
  <si>
    <t xml:space="preserve">Площадки для отдыха, парковки, досмотра пассажиров и грузов, размещения трансформаторных подстанций, локальных очистных сооружений, хранения снега и систем снеготаяния, смотровые площадки, как площадные сооружения без учета их функционального оснащения. Площадь от 1000 до 5000 квадратных метров включительно. </t>
  </si>
  <si>
    <t>НЗ 11.18_0-3-3.8-1.1 НЗ №51/пр Строительство, реконструкция и капитальный ремонт автомобильных дорог, их конструктивных элементов и сооружений на них. 2025 г. Таблица 3.8. Прочие объекты, п.1.1
A = 126.4 тыс.руб; B = 0.235 тыс.руб;
Xмин = 1000;
Xзад = 100(квадратный метр);
Количество = 1</t>
  </si>
  <si>
    <t>(A + B * (0.4 * Xмин + 0.6 * (Xмин / 2))) * Количество * Кпон * Ктек * Кст
(126 400 руб. + 235 руб. * (0.4 * 1000 + 0.6 * (1000 / 2))) * 1 * 0.2 * 1.38 * 0.4 * 1.2427</t>
  </si>
  <si>
    <t xml:space="preserve">инд.2кв.2026г.к 01.01.2023 на пр.раб. </t>
  </si>
  <si>
    <t>Ктек = 1.38
Письмо Минстроя России от 08.04.2026 №20212-ИФ/09</t>
  </si>
  <si>
    <t>К'пон = 0.2
понижающий коэффициент, учитывающий разницу в трудоемкости работ по проектируемому объекту и объекту аналогу. (Методика 707/пр п.131(3)) (Ценообразующий)</t>
  </si>
  <si>
    <t xml:space="preserve">K1 = 1.3 (РПД 2-3)
Методика, 707/пр. Приложение 5, табл.5.1, п.2.3 (Усложняющий) </t>
  </si>
  <si>
    <t>2% = 642 руб.</t>
  </si>
  <si>
    <t>2. Проект полосы отвода</t>
  </si>
  <si>
    <t>14% * (1 + 0.3) = 5 845 руб.</t>
  </si>
  <si>
    <t>3. Технологические и конструктивные решения линейного объекта</t>
  </si>
  <si>
    <t>58% * (1 + 0.3) = 24 215 руб.</t>
  </si>
  <si>
    <t>4. Проект организации строительства</t>
  </si>
  <si>
    <t>9% = 2 890 руб.</t>
  </si>
  <si>
    <t>5. Мероприятия по охране окружающей среды</t>
  </si>
  <si>
    <t>5% = 1 606 руб.</t>
  </si>
  <si>
    <t>6. Мероприятия по обеспечению пожарной безопасности</t>
  </si>
  <si>
    <t>1% = 321 руб.</t>
  </si>
  <si>
    <t>7. Смета на строительство, реконструкцию, капитальный ремонт, снос объекта капитального строительства</t>
  </si>
  <si>
    <t>13.67% = 4 390 руб.</t>
  </si>
  <si>
    <t xml:space="preserve">Подземные газопроводы высокого давления номинальным диаметром до 500 (пятисот) миллиметров включительно, прокладываемые открытым способом. от 100 до 500 погонных метров включительно. </t>
  </si>
  <si>
    <t>3. Технологические и конструктивные решения линейного объекта. Искусственные сооружения</t>
  </si>
  <si>
    <t>7. Смета на строительство</t>
  </si>
  <si>
    <t>НЗ 11.03_0-3-3.11-1-1 НЗ №847/пр Строительство, реконструкция сетей инженерно-технического обеспечения и объектов инфраструктуры. 2023 г. Таблица 3.11. Сооружения кабельных линий электропередачи, п.1
A = 17.7 тыс.руб; B = 0.234 тыс.руб;
Xзад = 300(п.м);
Количество = 1</t>
  </si>
  <si>
    <t>Кабель 0,4 кВ в грунте. Электроснабжение потребителей КПК. Уточняется проектом в ОТР, в соответствии с ТУ</t>
  </si>
  <si>
    <t xml:space="preserve">Газорегуляторный пункт блочный с основной и резервной линиями редуцирования. Пропускная способность от 5000 до 10000 кубических метров/час включительно. </t>
  </si>
  <si>
    <t>НЗ 11.19_0-3-3.14-2-5 НЗ №52/пр Строительство, реконструкция и капитальный ремонт объектов газораспределительных систем. 2025 г. Таблица 3.14. Пункты ￼редуцирования газа, п.2
A = 626.3 тыс.руб; B = 0.025 тыс.руб;
Xзад = 7500(кубических метров/час);
Количество = 1</t>
  </si>
  <si>
    <t>10. Требования к обеспечению безопасной эксплуатации объектов капитального строительства</t>
  </si>
  <si>
    <t>11. Смета на строительство реконструкцию, капитальный ремонт объекта капитального строительства</t>
  </si>
  <si>
    <t xml:space="preserve">Охранное ограждение территории. Протяженность от 500 до 1000 м. </t>
  </si>
  <si>
    <t>НЗ 11.04_0-3-3.6-1-3 НЗ №828/пр Инженерно-техническая система антитеррористической защищенности объектов жилищно-гражданского назначения. 2023 г. Таблица 3.6. Средства инженерно-технической укрепленности (СИТУ), п.1
A = 195.9 тыс.руб; B = 0.36 тыс.руб;
Xзад = 540(м);
Количество = 1</t>
  </si>
  <si>
    <t>(A + B * Xзад) * Количество * Ктек * Кст * K1 * K2
(195 900 руб. + 360 руб. * 540) * 1 * 1.68 * 0.4 * 0.82 * 0.74 * 1.21733</t>
  </si>
  <si>
    <t>Периметральное ограждение панельного типа из металлических прутьев с полимерным покрытием (с технологическими калитками и воротами в необходимых местах)</t>
  </si>
  <si>
    <t xml:space="preserve">Проектирование охранного ограждения без верхнего дополнительного ограждения применяется с корректирующим коэффициентом </t>
  </si>
  <si>
    <t>K1 = 0.82
Табл.3.6.1, п.1.1 (Ценообразующий)</t>
  </si>
  <si>
    <t xml:space="preserve">Проектирование охранного ограждения без нижнего дополнительного ограждения (противоподкопного устройства) применяется с корректирующим коэффициентом </t>
  </si>
  <si>
    <t>K2 = 0.74
Табл.3.6.1, п.1.2 (Ценообразующий)</t>
  </si>
  <si>
    <t xml:space="preserve">K3 = 1.3 (РПД 2-4)
Методика, 707/пр. Приложение 5, табл.5.1, п.2.3 (Усложняющий) </t>
  </si>
  <si>
    <t>9.2% = 14 642 руб.</t>
  </si>
  <si>
    <t>7.9% * (1 + 0.3) = 16 345 руб.</t>
  </si>
  <si>
    <t>3. Конструктивные и объемно-планировочные решения</t>
  </si>
  <si>
    <t>31.9% * (1 + 0.3) = 66 001 руб.</t>
  </si>
  <si>
    <t>20.4% * (1 + 0.3) = 42 207 руб.</t>
  </si>
  <si>
    <t>13.7% = 21 804 руб.</t>
  </si>
  <si>
    <t>6. Смета на строительство</t>
  </si>
  <si>
    <t>20.573% = 32 742 руб.</t>
  </si>
  <si>
    <t xml:space="preserve">Линейные сооружения сети водоснабжения диаметром до 150 мм включительно, открытым способом. Протяженность от 100 до 500 п.м включительно. </t>
  </si>
  <si>
    <t>НЗ 11.03_0-3-3.4-1-1 НЗ №847/пр Строительство, реконструкция сетей инженерно-технического обеспечения и объектов инфраструктуры. 2023 г. Таблица 3.4. Городские и внутриквартальные линейные сооружения сети водоснабжения, п.1
A = 30.8 тыс.руб; B = 0.608 тыс.руб;
Xзад = 250(п.м);
Количество = 1</t>
  </si>
  <si>
    <t>Трубопровод системы технического водоснабжения (полив твердых покрытий и озеленения): Подземная прокладка в грунте ПНД D65 от точки подключения до здания Главного корпуса. Уточняется проектом в ОТР, в соответствии с ТУ</t>
  </si>
  <si>
    <t xml:space="preserve">Проектирование линейных сооружений сети водоснабжения из полимерных труб, требующих проверки на статическую устойчивость в период длительной эксплуатации определяется с корректирующим коэффициентом </t>
  </si>
  <si>
    <t>Узел врезки и распределительные сети на линейном сооружении сети водоснабжения</t>
  </si>
  <si>
    <t>НЗ 11.03_0-3-3.4-7 НЗ №847/пр Строительство, реконструкция сетей инженерно-технического обеспечения и объектов инфраструктуры. 2023 г. Таблица 3.4. Городские и внутриквартальные линейные сооружения сети водоснабжения, п.7
A = 52.8 тыс. руб.
Количество = 1 (узел)</t>
  </si>
  <si>
    <t>узел присоединения к сущ. сети В3</t>
  </si>
  <si>
    <t>НЗ 11.03_0-3-3.4-1-1 НЗ №847/пр Строительство, реконструкция сетей инженерно-технического обеспечения и объектов инфраструктуры. 2023 г. Таблица 3.4. Городские и внутриквартальные линейные сооружения сети водоснабжения, п.1
A = 30.8 тыс.руб; B = 0.608 тыс.руб;
Xзад = 350(п.м);
Количество = 1</t>
  </si>
  <si>
    <t>Трубопровод системы объединенного хозяйственно-питьевого и пожарного водоснабжения: Подземная прокладка в грунте ПНД D150 от точки подключения до здания Главного корпуса. Уточняется проектом в ОТР, в соответствии с ТУ</t>
  </si>
  <si>
    <t>узел присоединения к сущ. сети В1</t>
  </si>
  <si>
    <t xml:space="preserve">Линейное сооружение сети водоотведения диаметром до 300 мм, открытым способом. Протяженность от 100 до 500 п.м включительно. </t>
  </si>
  <si>
    <t>НЗ 11.03_0-3-3.5-1-1 НЗ №847/пр Строительство, реконструкция сетей инженерно-технического обеспечения и объектов инфраструктуры. 2023 г. Таблица 3.5. Городские и внутриквартальные линейные сооружения сети водоотведения, п.1
A = 122.6 тыс.руб; B = 0.641 тыс.руб;
Xзад = 250(п.м);
Количество = 1</t>
  </si>
  <si>
    <t>Трубопровод системы хозяйственно-бытовой канализации: Подземная прокладка в грунте, ПНД D160 от точки подключения до здания Главного корпуса. Уточняется проектом в ОТР, в соответствии с ТУ</t>
  </si>
  <si>
    <t xml:space="preserve">Проектирование линейных сооружений сети водоотведения из полимерных труб, требующих проверки на статическую устойчивость в период длительной эксплуатации определяется с корректирующим коэффициентом </t>
  </si>
  <si>
    <t xml:space="preserve">Камера индивидуальная (перепадная, поворотная, магистральная, распределительная и другие) на линейном сооружении сети водоотведения. Диаметр до 600 мм включительно. </t>
  </si>
  <si>
    <t>НЗ 11.03_0-3-3.5-6.1 НЗ №847/пр Строительство, реконструкция сетей инженерно-технического обеспечения и объектов инфраструктуры. 2023 г. Таблица 3.5. Городские и внутриквартальные линейные сооружения сети водоотведения, п.6.1
A = 20.3 тыс.руб; 
Количество = 1 (камера)</t>
  </si>
  <si>
    <t>узел присоединения к сущ. сети К1</t>
  </si>
  <si>
    <t>НЗ 11.03_0-3-3.5-1-1 НЗ №847/пр Строительство, реконструкция сетей инженерно-технического обеспечения и объектов инфраструктуры. 2023 г. Таблица 3.5. Городские и внутриквартальные линейные сооружения сети водоотведения, п.1
A = 122.6 тыс.руб; B = 0.641 тыс.руб;
Xзад = 450(п.м);
Количество = 1</t>
  </si>
  <si>
    <t>Трубопровод системы ливневой канализации: Подземная прокладка в грунте ПНД D300 от точки подключения до здания Главного корпуса и дождеприемных колодцев на территории. Уточняется проектом в ОТР, в соответствии с ТУ</t>
  </si>
  <si>
    <t>узел присоединения к сущ. сети К2</t>
  </si>
  <si>
    <t xml:space="preserve">Линейные сооружения слаботочной сети. Первый кабель линейного сооружения слаботочной сети в проектируемой канализации линейного сооружения слаботочной сети. Длина участка прокладки от 3000 до 5000 п.м включительно. </t>
  </si>
  <si>
    <t>НЗ 11.03_0-3-3.1-2.1-4 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п.2.1
A = 103.7 тыс.руб; B = 0.062 тыс.руб;
Xмакс = 5000;
Xзад = 5300(п.м);
Количество = 1</t>
  </si>
  <si>
    <t>НЗ 11.03_0-3-3.1-1.1-1 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п.1.1
A = 13.4 тыс.руб; B = 0.399 тыс.руб;
Xзад = 150(п.м);
Количество = 1</t>
  </si>
  <si>
    <t xml:space="preserve">СОТС внутри здания. Защищаемая площадь от 1000 до 10000 кв.м. включительно. </t>
  </si>
  <si>
    <t>НЗ 11.04_0-3-3.1-1-3 НЗ №828/пр Инженерно-техническая система антитеррористической защищенности объектов жилищно-гражданского назначения. 2023 г. Таблица 3.1. Система охранной и тревожной сигнализации (СОТС), п.1
A = 72.3 тыс.руб; B = 0.024 тыс.руб;
Xзад = 2814(кв.м.);
Количество = 1</t>
  </si>
  <si>
    <t>(A + B * Xзад) * Количество * Ктек * Кст
(72 300 руб. + 24 руб. * 2814) * 1 * 1.68 * 0.4 * 1.21671</t>
  </si>
  <si>
    <t xml:space="preserve">K1 = 1.3 (РПД 2-3,4.1-4.2)
Методика, 707/пр. Приложение 5, табл.5.1, п.2.3 (Усложняющий) </t>
  </si>
  <si>
    <t>9.5% = 8 927 руб.</t>
  </si>
  <si>
    <t>2. Конструктивные и объемно-планировочные решения</t>
  </si>
  <si>
    <t>8.4% * (1 + 0.3) = 10 262 руб.</t>
  </si>
  <si>
    <t>3. Технологические решения</t>
  </si>
  <si>
    <t>45% * (1 + 0.3) = 54 972 руб.</t>
  </si>
  <si>
    <t>4.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</si>
  <si>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10.4% = 9 773 руб.</t>
  </si>
  <si>
    <t>4.1. Система электроснабжения</t>
  </si>
  <si>
    <t>4.1% * (1 + 0.3) [из  10.4%] = 5 009 руб.</t>
  </si>
  <si>
    <t>4.2. Автоматизация</t>
  </si>
  <si>
    <t>3.9% * (1 + 0.3) [из  10.4%] = 4 764 руб.</t>
  </si>
  <si>
    <t>14.1% = 13 250 руб.</t>
  </si>
  <si>
    <t>18.251% = 17 150 руб.</t>
  </si>
  <si>
    <t xml:space="preserve">Периметральная СОТС. Протяженность от 500 до 1000 п.м. включительно. </t>
  </si>
  <si>
    <t>НЗ 11.04_0-3-3.1-2-3 НЗ №828/пр Инженерно-техническая система антитеррористической защищенности объектов жилищно-гражданского назначения. 2023 г. Таблица 3.1. Система охранной и тревожной сигнализации (СОТС), п.2
A = 33.3 тыс.руб; B = 0.1 тыс.руб;
Xзад = 540(п.м.);
Количество = 1</t>
  </si>
  <si>
    <t>(A + B * Xзад) * Количество * Ктек * Кст
(33 300 руб. + 100 руб. * 540) * 1 * 1.68 * 0.4 * 1.22696</t>
  </si>
  <si>
    <t>16% = 9 386 руб.</t>
  </si>
  <si>
    <t>11.2% * (1 + 0.3) = 8 542 руб.</t>
  </si>
  <si>
    <t>6.5% * (1 + 0.3) = 4 957 руб.</t>
  </si>
  <si>
    <t>41.4% * (1 + 0.3) = 31 574 руб.</t>
  </si>
  <si>
    <t>9.62% = 5 644 руб.</t>
  </si>
  <si>
    <t>4.7% * (1 + 0.3) [из  9.62%] = 3 584 руб.</t>
  </si>
  <si>
    <t>5.2. Автоматизация</t>
  </si>
  <si>
    <t>2.7% * (1 + 0.3) [из  9.62%] = 2 059 руб.</t>
  </si>
  <si>
    <t>5.4% = 3 168 руб.</t>
  </si>
  <si>
    <t>14.846% = 8 709 руб.</t>
  </si>
  <si>
    <t>НЗ 11.04_0-3-3.7-2 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п.2
A = 140.4 тыс. руб.
Количество = 1 (объект)</t>
  </si>
  <si>
    <t>Автоматизированное рабочее место оператора ИТСО (далее - АРМ ИТСО), 1 место</t>
  </si>
  <si>
    <t>НЗ 11.04_0-3-3.7-1 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п.1
A = 21.1 тыс. руб.
Количество = 1 (объект)</t>
  </si>
  <si>
    <t>A * Количество * Ктек * Кст * K1
21 100 руб. * 1 * 1.68 * 0.4 * 0.5 * 1.19286</t>
  </si>
  <si>
    <t xml:space="preserve">Проектирование в составе зданий (сооружений) 2 и более аналогичных АРМ и (или) серверов ИТСО применяется с корректирующим коэффициентом для последующих АРМ и (или) серверов ИТСО </t>
  </si>
  <si>
    <t>K1 = 0.5
Табл.3.7.1, п.2 (Ценообразующий)</t>
  </si>
  <si>
    <t xml:space="preserve">K2 = 1.3 (РПД 2-3,4.1)
Методика, 707/пр. Приложение 5, табл.5.1, п.2.3 (Усложняющий) </t>
  </si>
  <si>
    <t>12% = 851 руб.</t>
  </si>
  <si>
    <t>10% * (1 + 0.3) = 922 руб.</t>
  </si>
  <si>
    <t>38% * (1 + 0.3) = 3 502 руб.</t>
  </si>
  <si>
    <t>7.8% = 553 руб.</t>
  </si>
  <si>
    <t>6% * (1 + 0.3) [из  7.8%] = 553 руб.</t>
  </si>
  <si>
    <t>18% = 1 276 руб.</t>
  </si>
  <si>
    <t>19.086% = 1 353 руб.</t>
  </si>
  <si>
    <t xml:space="preserve">Технические средства охранного освещения. Протяженность кабельной линии от 100 до 500 погонных метров. </t>
  </si>
  <si>
    <t>НЗ 11.23_0-3-8-1-2 НЗ №837/пр Проектирование систем транспортной безопасности на автомобильных дорогах и сооружений, обеспечивающих их функционирование. 2025 г. Таблица 8. Технические средства охранного освещения, п.1
A = 35.9 тыс.руб; B = 0.281 тыс.руб;
Xзад = 390(погонный метр);
Количество = 1</t>
  </si>
  <si>
    <t>(A + B * Xзад) * Количество * Ктек * Кст
(35 900 руб. + 281 руб. * 390) * 1 * 1.15 * 0.4 * 1.23721</t>
  </si>
  <si>
    <t>Система охранного освещения (СОО)</t>
  </si>
  <si>
    <t xml:space="preserve">инд.2кв.2026г.к 01.01.2025 на пр.раб. </t>
  </si>
  <si>
    <t>Ктек = 1.15
Письмо Минстроя России от 08.04.2026 №20212-ИФ/09</t>
  </si>
  <si>
    <t>14% = 9 370 руб.</t>
  </si>
  <si>
    <t>2. Конструктивные, объемно-планировочные и архитектурные решения</t>
  </si>
  <si>
    <t>4% * (1 + 0.3) = 3 480 руб.</t>
  </si>
  <si>
    <t>57% * (1 + 0.3) = 49 592 руб.</t>
  </si>
  <si>
    <t>4. Сведения об инженерном оборудовании, о сетях инженерно- технического обеспечения, перечень инженерно-технических мероприятий, содержание технологических решений</t>
  </si>
  <si>
    <t>9.1% = 6 090 руб.</t>
  </si>
  <si>
    <t>7% * (1 + 0.3) [из  9.1%] = 6 090 руб.</t>
  </si>
  <si>
    <t>4% = 2 677 руб.</t>
  </si>
  <si>
    <t>17.321% = 11 592 руб.</t>
  </si>
  <si>
    <t xml:space="preserve">Система контроля и управления доступом (СКУД). Количество мест, где непосредственно осуществляется контроль доступа: от 5 до 15 шт. включительно. </t>
  </si>
  <si>
    <t>НЗ 11.04_0-3-3.2-1-2 НЗ №828/пр Инженерно-техническая система антитеррористической защищенности объектов жилищно-гражданского назначения. 2023 г. Таблица 3.2. Система контроля и управления доступом (СКУД), п.1
A = 104.5 тыс.руб; B = 15.48 тыс.руб;
Xзад = 12(шт.);
Количество = 1</t>
  </si>
  <si>
    <t>(A + B * Xзад) * Количество * Ктек * Кст * K1
(104 500 руб. + 15 480 руб. * 12) * 1 * 1.68 * 0.4 * 0.7 * 1.19321</t>
  </si>
  <si>
    <t>10.3% = 14 063 руб.</t>
  </si>
  <si>
    <t>9.3% * (1 + 0.3) = 16 507 руб.</t>
  </si>
  <si>
    <t>36.1% * (1 + 0.3) = 64 077 руб.</t>
  </si>
  <si>
    <t>12.48% = 17 040 руб.</t>
  </si>
  <si>
    <t>4.8% * (1 + 0.3) [из  12.48%] = 8 520 руб.</t>
  </si>
  <si>
    <t>15.3% = 20 890 руб.</t>
  </si>
  <si>
    <t>4.8% = 6 554 руб.</t>
  </si>
  <si>
    <t>17.421% = 23 786 руб.</t>
  </si>
  <si>
    <t>СБЦП 81-02-02-2001_0-4-2-2 Объекты связи. 2010 г. Раздел 4. Таблица 2. Документальная электросвязь п.2
A = 25.98 тыс. руб.B = 4.623 тыс. руб.;
Хзад = 64 (1 канал);
Количество = 1</t>
  </si>
  <si>
    <t>Система передачи данных систем связи (СПД-СС)</t>
  </si>
  <si>
    <t>5. Инженерное оборудование, сети, инженерно-технические мероприятия, технологические решения</t>
  </si>
  <si>
    <t>5.1. Электроснабжение</t>
  </si>
  <si>
    <t>5.2. Водоснабжение</t>
  </si>
  <si>
    <t>5.3. Водоотведение</t>
  </si>
  <si>
    <t>5.4. Отопление, вентиляция, кондиционирование воздуха</t>
  </si>
  <si>
    <t>5.5. Связь</t>
  </si>
  <si>
    <t>5.6. Газоснабжение</t>
  </si>
  <si>
    <t>5.7. Технологические решения</t>
  </si>
  <si>
    <t>7. Охрана окружающей среды (ООС)</t>
  </si>
  <si>
    <t>9. Мероприятия по обеспечению доступа инвалидов</t>
  </si>
  <si>
    <t>10. Смета на строительство</t>
  </si>
  <si>
    <t xml:space="preserve">Беспроводная вычислительная сеть. от 20 до 50 точек доступа включительно. </t>
  </si>
  <si>
    <t>НЗ 11.09_0-3-3.18-1-1 НЗ №907/пр Системы связи и технологические системы объектов капитального строительства непроизводственного назначения. 2023 г. Таблица 3.18. Беспроводная вычислительная сеть, п.1
A = 52.5 тыс.руб; B = 3.004 тыс.руб;
Xмин = 20;
Xзад = 4(1 точка доступа);
Количество = 1</t>
  </si>
  <si>
    <t>Точка Wi-Fi</t>
  </si>
  <si>
    <t>К'пон = 0.4
понижающий коэффициент, учитывающий разницу в трудоемкости работ по проектируемому объекту и объекту аналогу. (Методика 707/пр п.131(3)) (Ценообразующий)</t>
  </si>
  <si>
    <t>1. Полный комплекс работ</t>
  </si>
  <si>
    <t>СБЦП 81-02-02-2001_0-4-2-2 Объекты связи. 2010 г. Раздел 4. Таблица 2. Документальная электросвязь п.2
A = 25.98 тыс. руб.B = 4.623 тыс. руб.;
Хзад = 48 (1 канал);
Количество = 1</t>
  </si>
  <si>
    <t>Система передачи данных КСБ (СПД-СБ)</t>
  </si>
  <si>
    <t>Автоматический шлагбаум</t>
  </si>
  <si>
    <t>НЗ 11.04_0-3-3.6-4 НЗ №828/пр Инженерно-техническая система антитеррористической защищенности объектов жилищно-гражданского назначения. 2023 г. Таблица 3.6. Средства инженерно-технической укрепленности (СИТУ), п.4
A = 41.1 тыс. руб.
Количество = 1 (объект)</t>
  </si>
  <si>
    <t>A * Количество * Ктек * Кст
41 100 руб. * 1 * 1.68 * 0.4 * 1.23241</t>
  </si>
  <si>
    <t xml:space="preserve">K1 = 1.3 (РПД 2-4,5.1)
Методика, 707/пр. Приложение 5, табл.5.1, п.2.3 (Усложняющий) </t>
  </si>
  <si>
    <t>10.9% = 3 010 руб.</t>
  </si>
  <si>
    <t>13% * (1 + 0.3) = 4 668 руб.</t>
  </si>
  <si>
    <t>26.1% * (1 + 0.3) = 9 371 руб.</t>
  </si>
  <si>
    <t>15.3% * (1 + 0.3) = 5 493 руб.</t>
  </si>
  <si>
    <t>16.9% = 4 668 руб.</t>
  </si>
  <si>
    <t>5.1. Автоматизация</t>
  </si>
  <si>
    <t>13% * (1 + 0.3) [из  16.9%] = 4 668 руб.</t>
  </si>
  <si>
    <t>8.7% = 2 403 руб.</t>
  </si>
  <si>
    <t>16.021% = 4 425 руб.</t>
  </si>
  <si>
    <t>A * Количество * Ктек * Кст * K1
140 400 руб. * 1 * 1.68 * 0.4 * 0.5 * 1.15829</t>
  </si>
  <si>
    <t>15.7% = 7 406 руб.</t>
  </si>
  <si>
    <t>13.1% * (1 + 0.3) = 8 034 руб.</t>
  </si>
  <si>
    <t>25.2% * (1 + 0.3) = 15 454 руб.</t>
  </si>
  <si>
    <t>7.28% = 3 434 руб.</t>
  </si>
  <si>
    <t>5.6% * (1 + 0.3) [из  7.28%] = 3 434 руб.</t>
  </si>
  <si>
    <t>23.6% = 11 133 руб.</t>
  </si>
  <si>
    <t>19.459% = 9 180 руб.</t>
  </si>
  <si>
    <t xml:space="preserve">Внутриобъектовая сеть местной телефонной связи, телефонная сеть с использованием протокола IP. от 25 до 50 абонентов включительно. </t>
  </si>
  <si>
    <t>НЗ 11.09_0-3-3.6-1-1 НЗ №907/пр Системы связи и технологические системы объектов капитального строительства непроизводственного назначения. 2023 г. Таблица 3.6. Внутриобъектовая сеть местной телефонной связи, телефонной сети с использованием протокола IP, п.1
A = 14 тыс.руб; B = 2 тыс.руб;
Xмин = 25;
Xзад = 1(1 абонент);
Количество = 1</t>
  </si>
  <si>
    <t>IP-cистема оперативной диспетчерской связи</t>
  </si>
  <si>
    <t>К'пон = 0.1
понижающий коэффициент, учитывающий разницу в трудоемкости работ по проектируемому объекту и объекту аналогу. (Методика 707/пр п.131(3)) (Ценообразующий)</t>
  </si>
  <si>
    <t xml:space="preserve">Система цифрового эфирного телевидения. от 20 до 50 абонентских розеток включительно. </t>
  </si>
  <si>
    <t>НЗ 11.09_0-3-3.20-1-1 НЗ №907/пр Системы связи и технологические системы объектов капитального строительства непроизводственного назначения. 2023 г. Таблица 3.20. Система цифрового эфирного телевидения, п.1
A = 11.9 тыс.руб; B = 1.283 тыс.руб;
Xмин = 20;
Xзад = 2(1 абонентская розетка);
Количество = 1</t>
  </si>
  <si>
    <t xml:space="preserve">Система селекторной связи, система громкоговорящей связи. до 30 абонентов включительно. </t>
  </si>
  <si>
    <t>НЗ 11.09_0-3-3.8-1-1 НЗ №907/пр Системы связи и технологические системы объектов капитального строительства непроизводственного назначения. 2023 г. Таблица 3.8. Система селекторной связи, система громкоговорящей связи, п.1
A = 73 тыс.руб; 
Количество = 1 (1 система)</t>
  </si>
  <si>
    <t>Система речевого оповещения</t>
  </si>
  <si>
    <t xml:space="preserve">Автоматические установки пожаротушения газовые, модульные и импульсного действия (порошковые, аэрозольные и др.). с электрическим пуском. Количество на объекте защищаемых помещений (направлений) до 2. </t>
  </si>
  <si>
    <t>СБЦ-4.3_0-3-2-1-1 Системы противопожарной и охранной защиты. 1999 г. Таблица  2. Автоматические установки пожаротушения газовые, модульные и импульсного действия (порошковые, аэрозольные и др.), п.1
A = 2.56 тыс.руб; 
Количество = 1 (объект)</t>
  </si>
  <si>
    <t>A * Количество * Ктек * Кст
2 560 руб. * 1 * 54.34 * 0.25 * 1.3</t>
  </si>
  <si>
    <t>Система пожаротушения в здании энергоустановок ГПА</t>
  </si>
  <si>
    <t>Кст = 0.25</t>
  </si>
  <si>
    <t xml:space="preserve">инд.2кв.2026г.к 01.01.1995 на пр.раб. </t>
  </si>
  <si>
    <t>Ктек = 54.34
Письмо Минстроя России от 08.04.2026 №20212-ИФ/09</t>
  </si>
  <si>
    <t xml:space="preserve">K1 = 1.3 (РПД 1-3)
Методика, 707/пр. Приложение 5, табл.5.1, п.2.3 (Усложняющий) </t>
  </si>
  <si>
    <t>1. Принципиальные технические решения, технико-экономический анализ</t>
  </si>
  <si>
    <t>20% * (1 + 0.3) = 9 042 руб.</t>
  </si>
  <si>
    <t>2. Технологическая часть</t>
  </si>
  <si>
    <t>38% * (1 + 0.3) = 17 180 руб.</t>
  </si>
  <si>
    <t>3. Автоматика и сигнализация</t>
  </si>
  <si>
    <t>39% * (1 + 0.3) = 17 632 руб.</t>
  </si>
  <si>
    <t>4. Сметная документация</t>
  </si>
  <si>
    <t>3.9% = 1 356 руб.</t>
  </si>
  <si>
    <t xml:space="preserve">Линия наружного освещения кабельная. Протяженность от 100 до 500 п.м включительно. </t>
  </si>
  <si>
    <t>НЗ 11.03_0-3-3.2-2-1 НЗ №847/пр Строительство, реконструкция сетей инженерно-технического обеспечения и объектов инфраструктуры. 2023 г. Таблица 3.2. Линии наружного освещения, п.2
A = 32.3 тыс.руб; B = 0.428 тыс.руб;
Xзад = 300(п.м);
Количество = 1</t>
  </si>
  <si>
    <t>Итого Внутриплощадочные вспомогательные сооружения, инженерные сети, благоустройство:</t>
  </si>
  <si>
    <t>Всего Внутриплощадочные вспомогательные сооружения, инженерные сети, благоустройство:</t>
  </si>
  <si>
    <t xml:space="preserve">Подземные газопроводы высокого давления номинальным диаметром до 500 (пятисот) миллиметров включительно, прокладываемые открытым способом. от 1000 до 5000 погонных метров включительно. </t>
  </si>
  <si>
    <t>НЗ 11.19_0-3-3.3-1-4 НЗ №52/пр Строительство, реконструкция и капитальный ремонт объектов газораспределительных систем. 2025 г. Таблица 3.3. Подземные газопроводы высокого давления, прокладываемые открытым способом, п.1
A = 165.5 тыс.руб; B = 0.378 тыс.руб;
Xзад = 1400(погонный метр);
Количество = 1</t>
  </si>
  <si>
    <t>(A + B * Xзад) * Количество * Ктек * Кст
(165 500 руб. + 378 руб. * 1400) * 1 * 1.27 * 0.4 * 1.23621</t>
  </si>
  <si>
    <t>0.5% = 1 765 руб.</t>
  </si>
  <si>
    <t>3% * (1 + 0.3) = 13 763 руб.</t>
  </si>
  <si>
    <t>68.1% * (1 + 0.3) = 312 429 руб.</t>
  </si>
  <si>
    <t>9.7% = 34 232 руб.</t>
  </si>
  <si>
    <t>7% = 24 704 руб.</t>
  </si>
  <si>
    <t>2% = 7 058 руб.</t>
  </si>
  <si>
    <t>11.991% = 42 317 руб.</t>
  </si>
  <si>
    <t xml:space="preserve">Сооружения кабельной электрической линии напряжением до 20 кВ. Протяженность от 3000 до 6000 п.м включительно. </t>
  </si>
  <si>
    <t>НЗ 11.03_0-3-3.11-1-4 НЗ №847/пр Строительство, реконструкция сетей инженерно-технического обеспечения и объектов инфраструктуры. 2023 г. Таблица 3.11. Сооружения кабельных линий электропередачи, п.1
A = 93.3 тыс.руб; B = 0.172 тыс.руб;
Xзад = 5600(п.м);
Количество = 1</t>
  </si>
  <si>
    <t>Закрытый распределительный пункт 6-20 кВ двухсекционный с устройством автоматического ввода резерва с количеством ячеек до 16</t>
  </si>
  <si>
    <t>НЗ 11.03_0-3-3.13-6 НЗ №847/пр Строительство, реконструкция сетей инженерно-технического обеспечения и объектов инфраструктуры. 2023 г. Таблица 3.13. Сооружения электрических трансформаторных подстанций класса напряжения 6 - 10 кВ на номинальное напряжение на стороне низкого напряжения 0.23 - 0.69 кВ, распределительных и секционирующих пунктов напряжением 6-20 кВ, п.6
A = 1 094 тыс. руб.
Количество = 1 (1 пункт)</t>
  </si>
  <si>
    <t xml:space="preserve">При привязке повторно применяемой проектной документации с внесением изменений в подземную и надземную часть либо только надземную часть здания (сооружения), размер корректирующего коэффициента устанавливается в зависимости от трудоемкости работ </t>
  </si>
  <si>
    <t>Итого Внеплощадочные вспомогательные сооружения, инженерные сети, благоустройство:</t>
  </si>
  <si>
    <t>Всего Внеплощадочные вспомогательные сооружения, инженерные сети, благоустройство:</t>
  </si>
  <si>
    <t>Общие задачи</t>
  </si>
  <si>
    <t xml:space="preserve">Технические мероприятия рекультивации земель, участок. Площадь от 0.4 до 4.0 га включительно. </t>
  </si>
  <si>
    <t>НЗ 11.11_0-3-3.10-1-2 НЗ №911/пр Объекты городской среды. 2023 г. Таблица 3.10. Создание городской среды, п.1
A = 25.5 тыс.руб; B = 7.25 тыс.руб;
Xзад = 1(га);
Количество = 1</t>
  </si>
  <si>
    <t>(A + B * Xзад) * Количество * Ктек * Кст
(25 500 руб. + 7 250 руб. * 1) * 1 * 1.53 * 1</t>
  </si>
  <si>
    <t>Кст = 1</t>
  </si>
  <si>
    <t>2% = 1 002 руб.</t>
  </si>
  <si>
    <t>2. Эколого-экономическое обоснование рекультивации земель</t>
  </si>
  <si>
    <t>35% = 17 538 руб.</t>
  </si>
  <si>
    <t>3. Содержание, объемы и график работ по рекультивации земель</t>
  </si>
  <si>
    <t>52% = 26 056 руб.</t>
  </si>
  <si>
    <t>4. Сметные расчеты (локальные и сводные) затрат на проведение работ по рекультивации земель</t>
  </si>
  <si>
    <t>11% = 5 512 руб.</t>
  </si>
  <si>
    <t>Проект СЗЗ площадочных объектов, площадью</t>
  </si>
  <si>
    <t>НЗ 11.11_0-3-3.10(2) НЗ №911/пр Объекты городской среды. 2023 г. Таблица 3.10. Создание городской среды, п. п.2
A = 660.1 тыс.руб;
Х = 1 (га);
Количество = 1;</t>
  </si>
  <si>
    <t>A * Количество * Ктек * Кст
660 100 руб. * 1 * 1.53 * 1</t>
  </si>
  <si>
    <t>1. Сведения о размерах санитарно-защитной зоны</t>
  </si>
  <si>
    <t>15.2% = 153 513 руб.</t>
  </si>
  <si>
    <t>2. Сведения о границах санитарно-защитной зоны</t>
  </si>
  <si>
    <t>12.34% = 124 628 руб.</t>
  </si>
  <si>
    <t>3. Обоснование размеров и границ санитарно-защитной зоны</t>
  </si>
  <si>
    <t>30.33% = 306 319 руб.</t>
  </si>
  <si>
    <t>4. Перечень ограничений использования земельных участков, расположенных в границах санитарно-защитной зоны</t>
  </si>
  <si>
    <t>15.7% = 158 563 руб.</t>
  </si>
  <si>
    <t>5. Обоснование возможности использования земельных участков</t>
  </si>
  <si>
    <t>26.43% = 266 931 руб.</t>
  </si>
  <si>
    <t>Итого Общие задачи:</t>
  </si>
  <si>
    <t>Всего Общие задачи:</t>
  </si>
  <si>
    <t>Смета №1-РД</t>
  </si>
  <si>
    <t>1. Архитектурные решения, конструктивные и объемно-планировочные решения</t>
  </si>
  <si>
    <t>2. Технологические решения</t>
  </si>
  <si>
    <t>3. Сведения об инженерном оборудовании, о сетях и системах инженерно-технического обеспечения</t>
  </si>
  <si>
    <t>3.1. Система электроснабжения</t>
  </si>
  <si>
    <t>3.2. Система отопления, вентиляция и кондиционирование воздуха, тепловые сети</t>
  </si>
  <si>
    <t>3.3. Система водоотведения, система водоснабжения</t>
  </si>
  <si>
    <t>3.4. Сети и системы связи</t>
  </si>
  <si>
    <t>3.5. Локальная автоматика, КИП и А</t>
  </si>
  <si>
    <t>4. Смета на строительство, реконструкцию, капитальный ремонт, снос объекта капитального строительства</t>
  </si>
  <si>
    <t>1. Технологические и конструктивные решения линейного объекта. Искусственные сооружения</t>
  </si>
  <si>
    <t>1.1. Технологические решения</t>
  </si>
  <si>
    <t>1.2. Архитектурные решения, конструктивные и объемно-планировочные решения</t>
  </si>
  <si>
    <t>1.3. Сети связи</t>
  </si>
  <si>
    <t>1.4. Система электроснабжения</t>
  </si>
  <si>
    <t>1.5. Система электрохимической защиты</t>
  </si>
  <si>
    <t>1.6. Локальная автоматика, КИП и А</t>
  </si>
  <si>
    <t>2. Смета на строительство, реконструкцию, капитальный ремонт, снос объекта капитального строительства</t>
  </si>
  <si>
    <t>1. Схема планировочной организации земельного участка</t>
  </si>
  <si>
    <t>1.1. Генеральный план</t>
  </si>
  <si>
    <t>1.2. Организация рельефа вертикальной планировкой</t>
  </si>
  <si>
    <t xml:space="preserve">1.3. Благоустройство </t>
  </si>
  <si>
    <t>2. Объемно-планировочные и архитектурные решения</t>
  </si>
  <si>
    <t>3. Конструктивные решения</t>
  </si>
  <si>
    <t>4. Сведения об инженерном оборудовании, о сетях и системах ИТО</t>
  </si>
  <si>
    <t>4.2. Отопление, вентиляция и кондиционирование воздуха, тепловые сети</t>
  </si>
  <si>
    <t>4.3. Система водоснабжения</t>
  </si>
  <si>
    <t>4.4. Система водоотведения</t>
  </si>
  <si>
    <t>4.5. Сети связи</t>
  </si>
  <si>
    <t>4.6. Автоматизация</t>
  </si>
  <si>
    <t>5. Технологические решения</t>
  </si>
  <si>
    <t>6. Смета на строительство, реконструкцию, капитальный ремонт объекта капитального строительства</t>
  </si>
  <si>
    <t>A * Количество * Ктек * Кст
33 400 руб. * 1 * 1.53 * 0.6 * 1.3</t>
  </si>
  <si>
    <t xml:space="preserve">K1 = 1.3 (РПД 1.1-1.3,2-3)
Методика, 707/пр. Приложение 5, табл.5.1, п.2.3 (Усложняющий) </t>
  </si>
  <si>
    <t>45.5% = 13 951 руб.</t>
  </si>
  <si>
    <t>11% * (1 + 0.3) [из  45.5%] = 4 385 руб.</t>
  </si>
  <si>
    <t>12% * (1 + 0.3) [из  45.5%] = 4 783 руб.</t>
  </si>
  <si>
    <t>24% * (1 + 0.3) = 9 566 руб.</t>
  </si>
  <si>
    <t>34% * (1 + 0.3) = 13 552 руб.</t>
  </si>
  <si>
    <t>4. Смета на строительство, реконструкцию, капитальный ремонт объекта капитального строительства</t>
  </si>
  <si>
    <t>9.1% = 2 790 руб.</t>
  </si>
  <si>
    <t>3.3. Сети и системы связи</t>
  </si>
  <si>
    <t>3.4. Локальная автоматика, КИП и А</t>
  </si>
  <si>
    <t>4. Сведения об инженерном оборудовании, о сетях и системах инженерно-технического обеспечения</t>
  </si>
  <si>
    <t>4.2. Система водоснабжения</t>
  </si>
  <si>
    <t>4.3. Система водоотведения</t>
  </si>
  <si>
    <t>4.4. Отопление, вентиляция и кондиционирование воздуха, тепловые сети</t>
  </si>
  <si>
    <t>4.6. Контрольно-измерительные приборы и автоматизация</t>
  </si>
  <si>
    <t>(A + B * (0.4 * Xмин + 0.6 * Xзад)) * Количество * Ктек * Кст
(62 200 руб. + 4 139 руб. * (0.4 * 20 + 0.6 * 14)) * 1 * 1.53 * 0.6 * 1.3</t>
  </si>
  <si>
    <t>32.5% = 38 809 руб.</t>
  </si>
  <si>
    <t>6% * (1 + 0.3) [из  32.5%] = 9 314 руб.</t>
  </si>
  <si>
    <t>10% * (1 + 0.3) [из  32.5%] = 15 524 руб.</t>
  </si>
  <si>
    <t>9% * (1 + 0.3) [из  32.5%] = 13 971 руб.</t>
  </si>
  <si>
    <t>15% * (1 + 0.3) = 23 286 руб.</t>
  </si>
  <si>
    <t>21% * (1 + 0.3) = 32 600 руб.</t>
  </si>
  <si>
    <t>33.8% = 40 362 руб.</t>
  </si>
  <si>
    <t>4% * (1 + 0.3) [из  33.8%] = 6 209 руб.</t>
  </si>
  <si>
    <t>3% * (1 + 0.3) [из  33.8%] = 4 657 руб.</t>
  </si>
  <si>
    <t>8% * (1 + 0.3) [из  33.8%] = 12 419 руб.</t>
  </si>
  <si>
    <t>6% * (1 + 0.3) = 9 314 руб.</t>
  </si>
  <si>
    <t>9.1% = 10 867 руб.</t>
  </si>
  <si>
    <t>1. Трасса</t>
  </si>
  <si>
    <t>7% * (1 + 0.3) = 4 384 руб.</t>
  </si>
  <si>
    <t>2. Земляное полотно</t>
  </si>
  <si>
    <t>46% * (1 + 0.3) = 28 807 руб.</t>
  </si>
  <si>
    <t>3. Водоотвод</t>
  </si>
  <si>
    <t>12% * (1 + 0.3) = 7 515 руб.</t>
  </si>
  <si>
    <t>4. Дорожная одежда</t>
  </si>
  <si>
    <t>11% * (1 + 0.3) = 6 889 руб.</t>
  </si>
  <si>
    <t>5. Организация и безопасность движения, обустройство дорог</t>
  </si>
  <si>
    <t>1. Генеральный план</t>
  </si>
  <si>
    <t>2. Наружные газопроводы</t>
  </si>
  <si>
    <t>3. Сметная документация</t>
  </si>
  <si>
    <t>5. Смета на строительство</t>
  </si>
  <si>
    <t>6. Смета на строительство реконструкцию, капитальный ремонт объекта капитального строительства</t>
  </si>
  <si>
    <t>(A + B * Xзад) * Количество * Ктек * Кст * K1 * K2
(195 900 руб. + 360 руб. * 540) * 1 * 1.68 * 0.6 * 0.82 * 0.74 * 1.3</t>
  </si>
  <si>
    <t>1. Конструктивные и объемно-планировочные решения</t>
  </si>
  <si>
    <t>65% * (1 + 0.3) = 201 726 руб.</t>
  </si>
  <si>
    <t>20% * (1 + 0.3) = 62 069 руб.</t>
  </si>
  <si>
    <t>3. Смета на строительство</t>
  </si>
  <si>
    <t>19.5% = 46 552 руб.</t>
  </si>
  <si>
    <t>4. Смета на строительство</t>
  </si>
  <si>
    <t>(A + B * Xзад) * Количество * Ктек * Кст
(72 300 руб. + 24 руб. * 2814) * 1 * 1.68 * 0.6 * 1.3</t>
  </si>
  <si>
    <t>12% * (1 + 0.3) = 21 989 руб.</t>
  </si>
  <si>
    <t>57% * (1 + 0.3) = 104 447 руб.</t>
  </si>
  <si>
    <t>3.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</si>
  <si>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23.4% = 32 983 руб.</t>
  </si>
  <si>
    <t>9% * (1 + 0.3) [из  23.4%] = 16 492 руб.</t>
  </si>
  <si>
    <t>3.2. Автоматизация</t>
  </si>
  <si>
    <t>16.9% = 23 821 руб.</t>
  </si>
  <si>
    <t>(A + B * Xзад) * Количество * Ктек * Кст
(33 300 руб. + 100 руб. * 540) * 1 * 1.68 * 0.6 * 1.3</t>
  </si>
  <si>
    <t>18% * (1 + 0.3) = 20 592 руб.</t>
  </si>
  <si>
    <t>54% * (1 + 0.3) = 61 775 руб.</t>
  </si>
  <si>
    <t>22.75% = 20 020 руб.</t>
  </si>
  <si>
    <t>9% * (1 + 0.3) [из  22.75%] = 10 296 руб.</t>
  </si>
  <si>
    <t>8.5% * (1 + 0.3) [из  22.75%] = 9 724 руб.</t>
  </si>
  <si>
    <t>13.65% = 12 012 руб.</t>
  </si>
  <si>
    <t>A * Количество * Ктек * Кст * K1
21 100 руб. * 1 * 1.68 * 0.6 * 0.5 * 1.3</t>
  </si>
  <si>
    <t xml:space="preserve">K2 = 1.3 (РПД 1-2,3.1)
Методика, 707/пр. Приложение 5, табл.5.1, п.2.3 (Усложняющий) </t>
  </si>
  <si>
    <t>18% * (1 + 0.3) = 2 488 руб.</t>
  </si>
  <si>
    <t>57% * (1 + 0.3) = 7 880 руб.</t>
  </si>
  <si>
    <t>15.6% = 1 659 руб.</t>
  </si>
  <si>
    <t>12% * (1 + 0.3) [из  15.6%] = 1 659 руб.</t>
  </si>
  <si>
    <t>16.9% = 1 797 руб.</t>
  </si>
  <si>
    <t>(A + B * Xзад) * Количество * Ктек * Кст
(35 900 руб. + 281 руб. * 390) * 1 * 1.15 * 0.6 * 1.28681</t>
  </si>
  <si>
    <t>4% = 4 016 руб.</t>
  </si>
  <si>
    <t>9% * (1 + 0.3) = 11 745 руб.</t>
  </si>
  <si>
    <t>35% * (1 + 0.3) = 45 677 руб.</t>
  </si>
  <si>
    <t>55.9% = 56 117 руб.</t>
  </si>
  <si>
    <t>43% * (1 + 0.3) [из  55.9%] = 56 117 руб.</t>
  </si>
  <si>
    <t>11.581% = 11 626 руб.</t>
  </si>
  <si>
    <t>(A + B * Xзад) * Количество * Ктек * Кст * K1
(104 500 руб. + 15 480 руб. * 12) * 1 * 1.68 * 0.6 * 0.7 * 1.3</t>
  </si>
  <si>
    <t>18% * (1 + 0.3) = 47 925 руб.</t>
  </si>
  <si>
    <t>51% * (1 + 0.3) = 135 787 руб.</t>
  </si>
  <si>
    <t>23.4% = 47 925 руб.</t>
  </si>
  <si>
    <t>9% * (1 + 0.3) [из  23.4%] = 23 962 руб.</t>
  </si>
  <si>
    <t>16.9% = 34 612 руб.</t>
  </si>
  <si>
    <t>2. Архитектурные решения</t>
  </si>
  <si>
    <t>4. Инженерное оборудование, сети, инженерно-технические мероприятия, технологические решения</t>
  </si>
  <si>
    <t>4.1. Электроснабжение</t>
  </si>
  <si>
    <t>4.2. Водоснабжение</t>
  </si>
  <si>
    <t>4.3. Водоотведение</t>
  </si>
  <si>
    <t>4.4. Отопление, вентиляция, кондиционирование воздуха</t>
  </si>
  <si>
    <t>4.5. Связь</t>
  </si>
  <si>
    <t>4.6. Газоснабжение</t>
  </si>
  <si>
    <t>4.7. Технологические решения</t>
  </si>
  <si>
    <t>6. Мероприятия по обеспечению доступа инвалидов</t>
  </si>
  <si>
    <t>A * Количество * Ктек * Кст
41 100 руб. * 1 * 1.68 * 0.6 * 1.3</t>
  </si>
  <si>
    <t>44% * (1 + 0.3) = 23 697 руб.</t>
  </si>
  <si>
    <t>29% * (1 + 0.3) = 15 619 руб.</t>
  </si>
  <si>
    <t>19.5% = 8 079 руб.</t>
  </si>
  <si>
    <t>3.1. Автоматизация</t>
  </si>
  <si>
    <t>15% * (1 + 0.3) [из  19.5%] = 8 079 руб.</t>
  </si>
  <si>
    <t>15.6% = 6 463 руб.</t>
  </si>
  <si>
    <t>A * Количество * Ктек * Кст * K1
140 400 руб. * 1 * 1.68 * 0.6 * 0.5 * 1.3</t>
  </si>
  <si>
    <t>28% * (1 + 0.3) = 25 757 руб.</t>
  </si>
  <si>
    <t>46% * (1 + 0.3) = 42 315 руб.</t>
  </si>
  <si>
    <t>15.6% = 11 039 руб.</t>
  </si>
  <si>
    <t>12% * (1 + 0.3) [из  15.6%] = 11 039 руб.</t>
  </si>
  <si>
    <t>18.2% = 12 879 руб.</t>
  </si>
  <si>
    <t>A * Количество * Ктек * Кст
2 560 руб. * 1 * 54.34 * 0.75 * 1.3</t>
  </si>
  <si>
    <t>Кст = 0.75</t>
  </si>
  <si>
    <t xml:space="preserve">Проектная документация систем противопожарной и охранной защиты предприятий, зданий и сооружений, находящихся в сложных геолого-климатических условиях, и разработка которой усложняется в связи с сейсмичностью 9 баллов </t>
  </si>
  <si>
    <t xml:space="preserve">K1 = 1.3 (РПД 1-3)
Глава 2 п.2.6 (Усложняющий) </t>
  </si>
  <si>
    <t>10% * (1 + 0.3) = 13 563 руб.</t>
  </si>
  <si>
    <t>41% * (1 + 0.3) = 55 609 руб.</t>
  </si>
  <si>
    <t>42% * (1 + 0.3) = 56 966 руб.</t>
  </si>
  <si>
    <t>9.1% = 9 494 руб.</t>
  </si>
  <si>
    <t>(A + B * Xзад) * Количество * Ктек * Кст
(165 500 руб. + 378 руб. * 1400) * 1 * 1.27 * 0.6 * 1.3</t>
  </si>
  <si>
    <t>2.7% * (1 + 0.3) = 18 581 руб.</t>
  </si>
  <si>
    <t>92% * (1 + 0.3) = 633 116 руб.</t>
  </si>
  <si>
    <t>6.89% = 36 473 руб.</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</si>
  <si>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</si>
  <si>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</si>
  <si>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</si>
  <si>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</si>
  <si>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Разбивка осей</t>
  </si>
  <si>
    <t>строитель-
ных работ</t>
  </si>
  <si>
    <t>монтажных работ</t>
  </si>
  <si>
    <t>оборудования, мебели, инвентаря</t>
  </si>
  <si>
    <t>прочих</t>
  </si>
  <si>
    <t>Глава 1. Подготовка территории строительства</t>
  </si>
  <si>
    <t>01-01</t>
  </si>
  <si>
    <t>Разбивка основных осей зданий и сооружений, перенос их в натуру и закрепление пунктами и знаками.</t>
  </si>
  <si>
    <t>01-02</t>
  </si>
  <si>
    <t>Рекультивация земель.</t>
  </si>
  <si>
    <t>Итого по Главе 1. "Подготовка территории строительства"</t>
  </si>
  <si>
    <t>Глава 2. Основные объекты строительства</t>
  </si>
  <si>
    <t>02-01</t>
  </si>
  <si>
    <t>КСБ ТП ВТРК "Архыз" - Строительно монтажные работы</t>
  </si>
  <si>
    <t>02-01-01</t>
  </si>
  <si>
    <t>Технологические и конструктивные решения линейного объекта. Искусственные сооружения. (ТКР)</t>
  </si>
  <si>
    <t>02-01-02</t>
  </si>
  <si>
    <t>Конструктивные и объемно-планировочные решения (КР)</t>
  </si>
  <si>
    <t>02-01-03</t>
  </si>
  <si>
    <t>Строительно монтажные работы. Система электроснабжения (СЭ)</t>
  </si>
  <si>
    <t>02-01-04</t>
  </si>
  <si>
    <t>Строительно монтажные работы. Подсистема сбора и обработки информации (ССОИ)</t>
  </si>
  <si>
    <t>02-01-05</t>
  </si>
  <si>
    <t>Строительно монтажные работы. Подсистема охранной и тревожной сигнализации (СОТС)</t>
  </si>
  <si>
    <t>02-01-06</t>
  </si>
  <si>
    <t>Строительно монтажные работы. Система охранного телевидения (СОТ)</t>
  </si>
  <si>
    <t>02-01-07</t>
  </si>
  <si>
    <t>Строительно монтажные работы. Подсистема контроля и управления доступом транспортных средств (СКУД ТС)</t>
  </si>
  <si>
    <t>02-01-08</t>
  </si>
  <si>
    <t>Строительно монтажные работы. Подсистема контроля и управления доступом обслуживающего персонала (СКУД ОП)</t>
  </si>
  <si>
    <t>02-01-09</t>
  </si>
  <si>
    <t>Строительно монтажные работы. Подсистема информирования и оповещения (СИО)</t>
  </si>
  <si>
    <t>02-01-10</t>
  </si>
  <si>
    <t>Строительно монтажные работы. Подсистема оперативной диспетчерской связи (СОДС)</t>
  </si>
  <si>
    <t>02-01-11</t>
  </si>
  <si>
    <t>Строительно монтажные работы. Подсистема экстренной связи (СЭС)</t>
  </si>
  <si>
    <t>02-01-12</t>
  </si>
  <si>
    <t>Строительно монтажные работы. Подсистема передачи данных (СПД)</t>
  </si>
  <si>
    <t>02-01-13</t>
  </si>
  <si>
    <t>Строительно монтажные работы. Структурированная кабельная система (СКС)</t>
  </si>
  <si>
    <t>02-01-14</t>
  </si>
  <si>
    <t>Строительно монтажные работы. Подсистема охранного освещения (СОО)</t>
  </si>
  <si>
    <t>02-01-15</t>
  </si>
  <si>
    <t>Строительно монтажные работы. Подсистема обеспечения информационной безопасности (СОИБ)</t>
  </si>
  <si>
    <t>02-01-16</t>
  </si>
  <si>
    <t>Строительно монтажные работы. Подсистема взаимодействия с силовыми структурами России (СВСС)</t>
  </si>
  <si>
    <t>02-01-17</t>
  </si>
  <si>
    <t>Строительно-монтажные работы. Система досмотра и поиска (СДрП)</t>
  </si>
  <si>
    <t>Итого по Главе 2. "Основные объекты строительства"</t>
  </si>
  <si>
    <t>Итого по Главам 1-7</t>
  </si>
  <si>
    <t>Глава 8. Временные здания и сооружения</t>
  </si>
  <si>
    <t>ГСН-81-05-01-2001, п. 4.9</t>
  </si>
  <si>
    <t>Временные здания и сооружения - 2,3%</t>
  </si>
  <si>
    <t>Итого по Главе 8. "Временные здания и сооружения"</t>
  </si>
  <si>
    <t>Итого по Главам 1-8</t>
  </si>
  <si>
    <t>Глава 9. Прочие работы и затраты</t>
  </si>
  <si>
    <t>ГСН-81-05-02-2007 п.8</t>
  </si>
  <si>
    <t>Производство работ в зимнее время, строительство зданий и сооружений связи I температурная зона (прил.1 п.9) - 0,6%*1,1</t>
  </si>
  <si>
    <t>09-01</t>
  </si>
  <si>
    <t>Пусконаладочные работы. Вхолостую 80%.</t>
  </si>
  <si>
    <t>09-01-01</t>
  </si>
  <si>
    <t>Пуско-наладочные работы. Система электроснабжения (СЭ)</t>
  </si>
  <si>
    <t>09-01-02</t>
  </si>
  <si>
    <t>Пусконаладочные работы. Подсистема сбора и обработки информации (ССОИ)</t>
  </si>
  <si>
    <t>09-01-03</t>
  </si>
  <si>
    <t>Пусконаладочные работы. Подсистема экстренной связи (СЭС)</t>
  </si>
  <si>
    <t>09-01-04</t>
  </si>
  <si>
    <t>Пусконаладочные работы. Подсистема обеспечения информационной безопасности (СОИБ)</t>
  </si>
  <si>
    <t>09-02</t>
  </si>
  <si>
    <t>Расчет платежей за загрязнение атмосферного воздуха</t>
  </si>
  <si>
    <t>Итого по Главе 9. "Прочие работы и затраты"</t>
  </si>
  <si>
    <t>Итого по Главам 1-9</t>
  </si>
  <si>
    <t>Глава 10. Содержание службы заказчика. Строительный контроль</t>
  </si>
  <si>
    <t>Постановление Правительства РФ № 468 от 21.06.2010</t>
  </si>
  <si>
    <t>Строительный контроль 2,14% (от полной стоимости по итогам глав 1-9 и 12 ССР)</t>
  </si>
  <si>
    <t>Итого по Главе 10. "Содержание службы заказчика. Строительный контроль"</t>
  </si>
  <si>
    <t>Глава 12. Публичный технологический и ценовой аудит, проектные и изыскательские работы</t>
  </si>
  <si>
    <t>12-01</t>
  </si>
  <si>
    <t>Проетные работы. Стадия Проект.</t>
  </si>
  <si>
    <t>12-02</t>
  </si>
  <si>
    <t>ПП РФ № 145 от 05.03.2007</t>
  </si>
  <si>
    <t>Затраты на проведение экспертизы проектно-сметной документации и результатов инженерных изысканий</t>
  </si>
  <si>
    <t>Итого по Главе 12. "Публичный технологический и ценовой аудит, проектные и изыскательские работы"</t>
  </si>
  <si>
    <t>Итого по Главам 1-12</t>
  </si>
  <si>
    <t>Непредвиденные затраты</t>
  </si>
  <si>
    <t>МДС 81-35.2004 п.4.96</t>
  </si>
  <si>
    <t>Непредвиденные затраты - 2%</t>
  </si>
  <si>
    <t>Итого "Непредвиденные затраты"</t>
  </si>
  <si>
    <t>Итого по сводному расчету в ценах 2000 года</t>
  </si>
  <si>
    <t xml:space="preserve">  Пересчет в текущие цены 2 квартала 2019г. : (Письмо Минстроя РФ № 12661-ДВ/09 от 10.04.2019г. по строке "Прочие объекты",  Письмо Минстроя РФ №  17798-ДВ/09 от 04.06.2019г.",  Письмо Минстроя РФ №20003-ДВ/09 от 04.06.2019г. ) СМР=7,00, Оборудование = 3,98,  Проектные работы = 4,15;   Изыскательские работы = 4,23,  Прочие затраты =10,51 </t>
  </si>
  <si>
    <t>Минстрой России Письмо № 12661-ДВ/09 от 10 апреля 2019 г.</t>
  </si>
  <si>
    <t>Строительные работы к=7</t>
  </si>
  <si>
    <t>Монтажные работы к=7</t>
  </si>
  <si>
    <t>Минстрой России Письмо № 20003-ДВ/09 от 04.06.2019г.</t>
  </si>
  <si>
    <t>оборудование к=3,98</t>
  </si>
  <si>
    <t>Расчет платежей за размещение отходов к=10,51. 0,03*10,51*1,02</t>
  </si>
  <si>
    <t>Строительный контроль к=10,51 458,69*10,51*1,02</t>
  </si>
  <si>
    <t>Минстрой РФ №17798-ДВ/09 от 17.05.2019г</t>
  </si>
  <si>
    <t>Проектная документация, К=1,19х 4,15  602,67*1,19*4,15*1,02</t>
  </si>
  <si>
    <t>Изыскательские работы. , К=1,266х 4,23 318,68*1,266*4,23*1,02</t>
  </si>
  <si>
    <t>Затраты на проведение экспертизы проектной документации и результатов инженерных изысканий К=5,29 142,21*5,29*1,02</t>
  </si>
  <si>
    <t>Пусконаладочные работы "вхолостую", К=15,15 30,43*15,15*1,02</t>
  </si>
  <si>
    <t>ИТОГО</t>
  </si>
  <si>
    <t>Итого в ценах  II квартала 2019 г.</t>
  </si>
  <si>
    <t>Часть вторая Налогового кодекса Российской Федерации подпунктом «в» пункта 3 статьи 1 Федерального закона от 03.08.2018 № 303-ФЗ, в части изменения налоговой ставки.</t>
  </si>
  <si>
    <t>НДС - 20%</t>
  </si>
  <si>
    <t>Итого по сводному расчету</t>
  </si>
  <si>
    <t>Справочно</t>
  </si>
  <si>
    <t>п. 29</t>
  </si>
  <si>
    <t xml:space="preserve">Возврат от разборки временных зданий и сооружений (15% от ВЗиС) К=7,00 </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</si>
  <si>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02-01-06
(в ценах 2 квартала 2019 года)</t>
  </si>
  <si>
    <t>ЗАТРАТЫ ПОДРЯДЧИКА ПО ОБЪЕКТУ</t>
  </si>
  <si>
    <t>Всесезонный туристско-рекреационный комплекс "Архыз", Карачаево-Черкесская Республика. Комплексная система безопасности. Техническая подсистема.</t>
  </si>
  <si>
    <t>В текущих ценах</t>
  </si>
  <si>
    <t>СМР</t>
  </si>
  <si>
    <t>Оборудование</t>
  </si>
  <si>
    <t>ВЗИС</t>
  </si>
  <si>
    <t>ЗУ</t>
  </si>
  <si>
    <t>Рекультивация земель</t>
  </si>
  <si>
    <t xml:space="preserve">Платежи за загрязнение </t>
  </si>
  <si>
    <t>ПНР</t>
  </si>
  <si>
    <t>ИТОГО по главам 1-9</t>
  </si>
  <si>
    <t>ПД</t>
  </si>
  <si>
    <t>РД</t>
  </si>
  <si>
    <t>Экспертиза ПСД</t>
  </si>
  <si>
    <t>Итого по главе 12</t>
  </si>
  <si>
    <t>Непредвиденные расходы</t>
  </si>
  <si>
    <t>Итого с непредвиденными</t>
  </si>
  <si>
    <t>НДС 20%</t>
  </si>
  <si>
    <t>ВСЕГО с НДС</t>
  </si>
  <si>
    <t>Возврат от разборки ВЗИС с НДС</t>
  </si>
  <si>
    <t>Итого без непредвиденных</t>
  </si>
  <si>
    <t>С учетом дефлятора  без непредвиденных в рублях</t>
  </si>
  <si>
    <t>С учетом дефлятора  с непредвиденными в рублях</t>
  </si>
  <si>
    <t>Основной показатель объекта</t>
  </si>
  <si>
    <t>Единичная стоимость, тыс. руб с НДС</t>
  </si>
  <si>
    <t>АРМ</t>
  </si>
  <si>
    <t>м2 (площадь защищаемого объекта)</t>
  </si>
  <si>
    <t>определить площадь защищаемых объектов.</t>
  </si>
  <si>
    <t>видеокамера</t>
  </si>
  <si>
    <t>шлагбаум</t>
  </si>
  <si>
    <t>другие показатели: 10 каналов, 2 шлагбаума, 10 видеокамер</t>
  </si>
  <si>
    <t>канал</t>
  </si>
  <si>
    <t>канал=узел?, другие показатели: 10 видеодомофонов</t>
  </si>
  <si>
    <t>динамик</t>
  </si>
  <si>
    <t>телефон</t>
  </si>
  <si>
    <t>абонентское устройство*</t>
  </si>
  <si>
    <t>* количество колонн экстренного вызова.</t>
  </si>
  <si>
    <t>канал*</t>
  </si>
  <si>
    <t>*кол-во каналов взято из сметы на проектные работы стадии ПД (проверить кол-во каналов в проекте)</t>
  </si>
  <si>
    <t>узел</t>
  </si>
  <si>
    <t>светильник</t>
  </si>
  <si>
    <t>сервер</t>
  </si>
  <si>
    <t>Проектные работы. Стадия Рабочая документация</t>
  </si>
  <si>
    <r>
      <t xml:space="preserve">Рабочая документация </t>
    </r>
    <r>
      <rPr>
        <sz val="10"/>
        <rFont val="Arial"/>
        <family val="2"/>
        <charset val="204"/>
      </rPr>
      <t>К=1,19х 4,15             865,77*1,19*4,15*1,02</t>
    </r>
  </si>
  <si>
    <t>Расчет стоимости работ с учетом индекса-дефлятора</t>
  </si>
  <si>
    <t xml:space="preserve">Продолжительность работ в соответствие с Графиком - </t>
  </si>
  <si>
    <t>4,1 месяца</t>
  </si>
  <si>
    <t xml:space="preserve">Начало работ - </t>
  </si>
  <si>
    <t>15 октября 2019 г.</t>
  </si>
  <si>
    <t xml:space="preserve">Окончание работ - </t>
  </si>
  <si>
    <t>12 февраля 2020 г.</t>
  </si>
  <si>
    <t>РАСЧЕТ ИНДЕКСА-ДЕФЛЯТОРА для разработки рабочей документации</t>
  </si>
  <si>
    <t>2019  год</t>
  </si>
  <si>
    <t xml:space="preserve">ИД1- индекс -дефлятор Минэкономразвития РФ на капвложения </t>
  </si>
  <si>
    <t>Т1 - Продолжительность периода  от момента формирования текущих цен до начала выполнения работ , мес</t>
  </si>
  <si>
    <t>Рост цен                               Р1= (ИД1-100)/100*Т1/12</t>
  </si>
  <si>
    <t>Индекс роста цен                                     ИРт1=(1+Р1)</t>
  </si>
  <si>
    <t xml:space="preserve">ИД2- индекс -дефлятор Минэкономразвития РФ на капвложения </t>
  </si>
  <si>
    <t>Т2 - Продолжительность периода  от начала выполнения работ  до конца года, мес</t>
  </si>
  <si>
    <t>Рост цен                               Р2= (ИД2-100)/100*Т2/12</t>
  </si>
  <si>
    <t>Индекс роста цен                                     ИРт3=(1+Р3)</t>
  </si>
  <si>
    <t>2020  год</t>
  </si>
  <si>
    <t>Т3 - Продолжительность периода  от начала года до окончания выполнения работ , мес</t>
  </si>
  <si>
    <t>Рост цен                               Р3= (ИД3-100)/100*Т3/12</t>
  </si>
  <si>
    <t>Индекс роста цен                                     ИРт3=(1+0,5*Р3)</t>
  </si>
  <si>
    <t>Итого индекс роста цен за период выполнения работ</t>
  </si>
  <si>
    <t>Р4=(Р2+Р3)</t>
  </si>
  <si>
    <t>ИРт4=(1+0,5*Р4)</t>
  </si>
  <si>
    <t>Итого индекс роста цен</t>
  </si>
  <si>
    <t>ИРТ1*ИРТ4</t>
  </si>
  <si>
    <t>РАСЧЕТ СТОИМОСТИ РАБОТ</t>
  </si>
  <si>
    <t xml:space="preserve">Стоимость работ </t>
  </si>
  <si>
    <t>Дефлятор</t>
  </si>
  <si>
    <t>Стоимость работ  с учетом дефлятора</t>
  </si>
  <si>
    <t>С учетом авансирования- 30%</t>
  </si>
  <si>
    <t xml:space="preserve"> Н(м)ЦД(1-1)А=СС1+(Н(м)ЦД1-1-СС1)*(1-А/100)                     </t>
  </si>
  <si>
    <t>Инфляционная составляющая</t>
  </si>
  <si>
    <t>месяца</t>
  </si>
  <si>
    <t>14 марта 2020 г.</t>
  </si>
  <si>
    <t>28 июня 2020 г.</t>
  </si>
  <si>
    <t>РАСЧЕТ ИНДЕКСА-ДЕФЛЯТОРА для строительства</t>
  </si>
  <si>
    <t>Т1 - Продолжительность периода  от момента формирования текущих цен до конца года , мес</t>
  </si>
  <si>
    <t>Т2 - Продолжительность периода  от начала года до начала выполнения работ, мес</t>
  </si>
  <si>
    <t>Т3 - Продолжительность периода  от начала выполнения работ до окончания выполнения работ , мес</t>
  </si>
  <si>
    <t>ИРТ1*ИРТ2*ИРТ3</t>
  </si>
  <si>
    <t>Стоимость работ</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</si>
  <si>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02-01-12
(в ценах 2 квартала 2019 года)</t>
  </si>
  <si>
    <t>НЦС 81-02-19-2026
19-03-007-01 (применительно)
Наземные стальные резервуары для воды емкостью 350 м3</t>
  </si>
  <si>
    <t>1 м3</t>
  </si>
  <si>
    <t>Установка утилизации тепла с насосной, включая подключение к магистральной теплосети</t>
  </si>
  <si>
    <t>НЗ 11.08_0-3-3.3-6 НЗ №849/пр Объекты газовой промышленности. 2023 г. Таблица 3.3. Компрессорные станции на магистральных газопроводах (КС), п.6
A = 421.6 тыс. руб.
Количество = 1 (объект)</t>
  </si>
  <si>
    <t xml:space="preserve">система охлаждения ГПА с выносными радиаторами для контуров охлаждения </t>
  </si>
  <si>
    <t xml:space="preserve">Проектирование установок осушки газа; установок утилизации тепла; установок очистки газа; установок второй ступени очистки с фильтросепараторами; установок охлаждения газа; установок измерения газа; установок запуска и приема очистных устройств; установок сбора конденсата; установок подготовки топливного, пускового газа; установок подготовки импульсного газа; установок подготовки топливного газа на собственные нужды КС; трубопроводов обвязки в общем здании компрессорного цеха (КЦ)
определяется с корректирующим коэффициентом </t>
  </si>
  <si>
    <t>Сливно-наливные установки ГЖ и ЛВЖ, неавтоматизированные для налива в автоцистерны, количество стояков от 2 до 10 включительно</t>
  </si>
  <si>
    <t>НЗ 11.08_0-3-3.7-33 НЗ №849/пр Объекты газовой промышленности. 2023 г. Таблица 3.7. Объекты подготовки газа, газового конденсата (УКПГ, УППГ, УПТГ, ГС), п.33
A = 952.6 тыс. руб.B = 21.23 тыс. руб.;
Xмин = 2;
Хзад = 1 (стояк);
Количество = 1</t>
  </si>
  <si>
    <t>(A + B * (0.4 * Xмин + 0.6 * Xзад)) * Количество * Ктек * Кст * K1
(952 600 руб. + 21 230 руб. * (0.4 * 2 + 0.6 * 1)) * 1 * 1.53 * 0.4 * 0.2</t>
  </si>
  <si>
    <t xml:space="preserve">Стоимость проектных работ для зданий и сооружений блочного (модульного) типа высокой заводской готовности определяется на основании параметров цены проектных работ с применением корректирующего коэффициента </t>
  </si>
  <si>
    <t>K1 = 0.2
Глава 2, п.15 (Ценообразующий)</t>
  </si>
  <si>
    <t>1% = 1 202 руб.</t>
  </si>
  <si>
    <t>2% = 2 405 руб.</t>
  </si>
  <si>
    <t>12% = 14 428 руб.</t>
  </si>
  <si>
    <t>42% = 50 499 руб.</t>
  </si>
  <si>
    <t>21% = 25 250 руб.</t>
  </si>
  <si>
    <t>7% [из  21%] = 8 417 руб.</t>
  </si>
  <si>
    <t>5.2. Система водоотведения, система водоснабжения</t>
  </si>
  <si>
    <t>2% [из  21%] = 2 405 руб.</t>
  </si>
  <si>
    <t>8% [из  21%] = 9 619 руб.</t>
  </si>
  <si>
    <t>5.4. Система электрохимической защиты</t>
  </si>
  <si>
    <t>6% = 7 214 руб.</t>
  </si>
  <si>
    <t>4% = 4 809 руб.</t>
  </si>
  <si>
    <t xml:space="preserve">Металлические дымовые трубы для автономных источников теплоснабжения (АИТ). Высота свыше 15 до 30 м. </t>
  </si>
  <si>
    <t>СБЦП 81-02-14-2001_0-0-3-3 Газооборудование и газоснабжение промышленных предприятий, зданий и сооружений. 2015 г. Таблица 3. Металлические дымовые трубы для автономных источников теплоснабжения (АИТ), п.3
A = 3.478 тыс.руб; B = 0.441 тыс.руб;
Xзад = 23(м);
Количество = 1</t>
  </si>
  <si>
    <t xml:space="preserve">При проектировании 2 и более дымовых труб одного диаметра в составе одного проекта базовая цена рассчитывается с коэффициентом </t>
  </si>
  <si>
    <t xml:space="preserve">K2 = 1.3 (РПД 2)
Методика, 707/пр. Приложение 5, табл.5.1, п.2.3 (Усложняющий) </t>
  </si>
  <si>
    <t xml:space="preserve">Пространственные решетки для металлических дымовых труб. Высота свыше 15 до 30 м. </t>
  </si>
  <si>
    <t>СБЦП 81-02-14-2001_0-0-3-6 Газооборудование и газоснабжение промышленных предприятий, зданий и сооружений. 2015 г. Таблица 3. Металлические дымовые трубы для автономных источников теплоснабжения (АИТ), п.6
A = 59.18 тыс.руб; B = 0.19 тыс.руб;
Xзад = 23(м);
Количество = 1</t>
  </si>
  <si>
    <t>ДГУ (3,5 МВт) + емкости для дизтоплива 2 шт по 40 м3</t>
  </si>
  <si>
    <t xml:space="preserve">При привязке повторно применяемой проектной документации по объекту проектирования без внесения каких-либо изменений в надземную и подземную части здания (сооружения) принимается минимальный размер корректирующего коэффициента </t>
  </si>
  <si>
    <t>Закрытое распределительное устройство 6-20 кВ с установкой шкафов заводского изготовления при рабочей площади РУ от 70 до 400 кв.м включительно</t>
  </si>
  <si>
    <t>СЦ 1.3-1-36-015-01 Раздел 01. Электроэнергетика. 1987 г.  Глава 5. Электрические подстанции переменного тока 35-1150 кВ Таблица 1-36. Здания и сооружения электрических подстанций переменного тока п.15
A = 1.15 тыс. руб.B = 0.04 тыс. руб.;
Xмин = 70.0;
Хзад = 40.8 (10 кв.м);
Количество = 1</t>
  </si>
  <si>
    <t>(A + B * (0.4 * Xмин + 0.6 * Xзад)) * Количество * Ктек * Кст
(1 150 руб. + 40 руб. * (0.4 * 70.0 + 0.6 * 40.8)) * 1 * 54.34 * 0.15 * 1.29333</t>
  </si>
  <si>
    <t>ЗРУ-10 кВ: Отдельно стоящее одноэтажное сооружение размерами 12,0х3,4 м (40.8 м кв)</t>
  </si>
  <si>
    <t>Кст = 0.15</t>
  </si>
  <si>
    <t xml:space="preserve">K1 = 1.3 (РПД 1-5)
Методика, 707/пр. Приложение 5, табл.5.1, п.2.3 (Усложняющий) </t>
  </si>
  <si>
    <t>1. Электроснабжение и электрооборудование. Первичные соединения</t>
  </si>
  <si>
    <t>48% * (1 + 0.3) = 16 526 руб.</t>
  </si>
  <si>
    <t>2. Электроснабжение и электрооборудование. Управление и автоматика</t>
  </si>
  <si>
    <t>5% * (1 + 0.3) = 1 721 руб.</t>
  </si>
  <si>
    <t>3. Электроснабжение и электрооборудование. Релейная защита подстанционных элементов</t>
  </si>
  <si>
    <t>1% * (1 + 0.3) = 344 руб.</t>
  </si>
  <si>
    <t>4. Архитектурно-строительная часть</t>
  </si>
  <si>
    <t>25% * (1 + 0.3) = 8 607 руб.</t>
  </si>
  <si>
    <t>5. Отопление, вентиляция, водопровод, канализация</t>
  </si>
  <si>
    <t>9% * (1 + 0.3) = 3 099 руб.</t>
  </si>
  <si>
    <t>6. Организация строительства</t>
  </si>
  <si>
    <t>2% = 530 руб.</t>
  </si>
  <si>
    <t>7. Сметная документация</t>
  </si>
  <si>
    <t>12.933% = 3 425 руб.</t>
  </si>
  <si>
    <t>1.14</t>
  </si>
  <si>
    <t>РУСН-0,4 кВ: Отдельно стоящее одноэтажное сооружение размерами 12,0х3,4 м (40.8 м кв)</t>
  </si>
  <si>
    <t>1.15</t>
  </si>
  <si>
    <t xml:space="preserve">Проектирование на территории, свободной от существующих объектов капитального строительства, в том числе существующих подземных сетей инженерно-технического обеспечения определяется с корректирующим коэффициентом </t>
  </si>
  <si>
    <t>K1 = 0.9
Табл.2.2, п.1 (Ценообразующий)</t>
  </si>
  <si>
    <t>1.16</t>
  </si>
  <si>
    <t>ГРПБ 7500 м3/час</t>
  </si>
  <si>
    <t>1.17</t>
  </si>
  <si>
    <t xml:space="preserve">Здания и сооружения. Материальный склад закрытый. от 1 до 4. </t>
  </si>
  <si>
    <t>СБЦ 1.18_0-1-3-1.87 Объекты промышленности химических волокон. 2004 г. Глава 1, Таблица 3. Объекты подсобно-производственного, вспомогательного и общезаводского назначения, внутриплощадочные инженерные сети, генплан, п.1.87
A = 344.4 тыс.руб; B = 69.6 тыс.руб;
Xмин = 1;
Xзад = 0.12(тыс.м2);
Количество = 1</t>
  </si>
  <si>
    <t>Склад масла в таре 120 м. кв.: Отдельно стоящее одноэтажное сооружение контейнерного типа 120 м. кв.</t>
  </si>
  <si>
    <t>К'пон = 0.24
понижающий коэффициент, учитывающий разницу в трудоемкости работ по проектируемому объекту и объекту аналогу. (Методика 707/пр п.131(3)) (Ценообразующий)</t>
  </si>
  <si>
    <t>1. Технологическая часть</t>
  </si>
  <si>
    <t>2. Технико-экономическая часть</t>
  </si>
  <si>
    <t>3. Автоматизация технологических процессов, сантехнических устройств</t>
  </si>
  <si>
    <t>5. Отопление и вентиляция</t>
  </si>
  <si>
    <t>6. Водоснабжение и канализация</t>
  </si>
  <si>
    <t>7. Электротехническая часть</t>
  </si>
  <si>
    <t>8. Связь и сигнализация</t>
  </si>
  <si>
    <t>9. Сметная документация</t>
  </si>
  <si>
    <t>1.18</t>
  </si>
  <si>
    <t xml:space="preserve">Здание насосной станции на линейном сооружении сети водоснабжения, здание насосной станции пожаротушения на линейном сооружении сети водоснабжения. Производительность от 100 до 250 куб.м./час включительно. </t>
  </si>
  <si>
    <t>НЗ 11.03_0-3-3.7-3-1 НЗ №847/пр Строительство, реконструкция сетей инженерно-технического обеспечения и объектов инфраструктуры. 2023 г. Таблица 3.7. Насосные станции, п.3
A = 473.5 тыс.руб; B = 2.666 тыс.руб;
Xзад = 200(куб.м./час);
Количество = 1</t>
  </si>
  <si>
    <t>Насосная станция пожаротушения: Отдельно стоящее одноэтажное сооружение контейнерного типа, полной заводской комплектации, размерами 12,0х3,4 м</t>
  </si>
  <si>
    <t>5.5. Автоматизация</t>
  </si>
  <si>
    <t>1.19</t>
  </si>
  <si>
    <t xml:space="preserve">Сооружение резервуара для воды. от 0.1 до 1 тысячи кубических метров включительно. </t>
  </si>
  <si>
    <t>НЗ 11.17_0-3-3.6-1-1 НЗ №53/пр Строительство, реконструкция и капитальный ремонт объектов водоснабжения, водоотведения и водоочистки. 2025 г. Таблица 3.6. Сооружение резервуара для воды, сооружение водонапорной башни, п.1
A = 36.6 тыс.руб; B = 580.61 тыс.руб;
Xзад = 0.2(тысяча кубических метров);
Количество = 1</t>
  </si>
  <si>
    <t>Резервуары противопожарного запаса воды V=2х200м3</t>
  </si>
  <si>
    <t xml:space="preserve">Для нескольких объектов цена привязки типовой или повторно применяемой проектной документации определяется по ценам Справочников с применением коэффициента К=1+(N1-1)*N2, где N1 - количество объектов (второй и последующие объекты проектируются повторно), N2-коэффициент привязки </t>
  </si>
  <si>
    <t>K1 = 1.2, N1=2(шт.)
Методика, 707/пр. Глава IX, п.152 (Ценообразующий)</t>
  </si>
  <si>
    <t>1% = 931 руб.</t>
  </si>
  <si>
    <t>6% = 5 586 руб.</t>
  </si>
  <si>
    <t>5.3. Отопление, вентиляция и кондиционирование воздуха, тепловые сети</t>
  </si>
  <si>
    <t>8% = 7 448 руб.</t>
  </si>
  <si>
    <t>1.20</t>
  </si>
  <si>
    <t>1.21</t>
  </si>
  <si>
    <t xml:space="preserve">Открытое площадное сооружение в составе благоустройства участка для размещения автотранспорта персонала,
 в количестве 7 машино/мест. 
Площадью 100 м кв
</t>
  </si>
  <si>
    <t>Площадка для сбора ТКО: Огороженная площадка с навесом для установки двух контейнеров для сбора ТКО</t>
  </si>
  <si>
    <t>НЗ 11.19_0-3-3.3-1-2 НЗ №52/пр Строительство, реконструкция и капитальный ремонт объектов газораспределительных систем. 2025 г. Таблица 3.3. Подземные газопроводы высокого давления, прокладываемые открытым способом, п.1
A = 10.5 тыс.руб; B = 0.592 тыс.руб;
Xзад = 200(погонный метр);
Количество = 1</t>
  </si>
  <si>
    <t>(A + B * Xзад) * Количество * Ктек * Кст
(10 500 руб. + 592 руб. * 200) * 1 * 1.27 * 0.4 * 1.23621</t>
  </si>
  <si>
    <t>0,6 МПа, П100SDR11 д400</t>
  </si>
  <si>
    <t>0.5% = 327 руб.</t>
  </si>
  <si>
    <t>3% * (1 + 0.3) = 2 554 руб.</t>
  </si>
  <si>
    <t>68.1% * (1 + 0.3) = 57 971 руб.</t>
  </si>
  <si>
    <t>9.7% = 6 352 руб.</t>
  </si>
  <si>
    <t>7% = 4 584 руб.</t>
  </si>
  <si>
    <t>2% = 1 310 руб.</t>
  </si>
  <si>
    <t>11.991% = 7 852 руб.</t>
  </si>
  <si>
    <t>НЗ 11.04_0-3-3.3-2-2 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п.2
A = 110.1 тыс.руб; B = 7.105 тыс.руб;
Xзад = 31(шт.);
Количество = 1</t>
  </si>
  <si>
    <t>(A + B * Xзад) * Количество * Ктек * Кст
(110 100 руб. + 7 105 руб. * 31) * 1 * 1.68 * 0.4 * 1.22277</t>
  </si>
  <si>
    <t>18.4% = 40 848 руб.</t>
  </si>
  <si>
    <t>10.8% * (1 + 0.3) = 31 169 руб.</t>
  </si>
  <si>
    <t>6.6% * (1 + 0.3) = 19 047 руб.</t>
  </si>
  <si>
    <t>40.9% * (1 + 0.3) = 118 037 руб.</t>
  </si>
  <si>
    <t>11.96% = 26 551 руб.</t>
  </si>
  <si>
    <t>4.7% * (1 + 0.3) [из  11.96%] = 13 564 руб.</t>
  </si>
  <si>
    <t>4.5% * (1 + 0.3) [из  11.96%] = 12 987 руб.</t>
  </si>
  <si>
    <t>5% = 11 100 руб.</t>
  </si>
  <si>
    <t>11.127% = 24 702 руб.</t>
  </si>
  <si>
    <t xml:space="preserve">Система охранная телевизионная внутренняя (далее - СОТВ). Количество видеокамер от 25 до 80 шт. включительно. </t>
  </si>
  <si>
    <t>НЗ 11.04_0-3-3.3-1-3 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п.1
A = 109.2 тыс.руб; B = 5.153 тыс.руб;
Xзад = 28(шт.);
Количество = 1</t>
  </si>
  <si>
    <t>(A + B * Xзад) * Количество * Ктек * Кст
(109 200 руб. + 5 153 руб. * 28) * 1 * 1.68 * 0.4 * 1.21468</t>
  </si>
  <si>
    <t>10% = 17 034 руб.</t>
  </si>
  <si>
    <t>8.8% * (1 + 0.3) = 19 487 руб.</t>
  </si>
  <si>
    <t>41.5% * (1 + 0.3) = 91 899 руб.</t>
  </si>
  <si>
    <t>16.38% = 27 902 руб.</t>
  </si>
  <si>
    <t>6.3% * (1 + 0.3) [из  16.38%] = 13 951 руб.</t>
  </si>
  <si>
    <t>15% = 25 551 руб.</t>
  </si>
  <si>
    <t>14.698% = 25 037 руб.</t>
  </si>
  <si>
    <t>A * Количество * Ктек * Кст * K1
21 100 руб. * 1 * 1.68 * 0.4 * 1.5 * 1.19286</t>
  </si>
  <si>
    <t>K1 = 1.5, N1=2(общее кол-во АРМ и(или) серверов ИТСО)
Табл.3.7.1, п.2 (Ценообразующий)</t>
  </si>
  <si>
    <t>12% = 2 552 руб.</t>
  </si>
  <si>
    <t>10% * (1 + 0.3) = 2 765 руб.</t>
  </si>
  <si>
    <t>38% * (1 + 0.3) = 10 507 руб.</t>
  </si>
  <si>
    <t>7.8% = 1 659 руб.</t>
  </si>
  <si>
    <t>6% * (1 + 0.3) [из  7.8%] = 1 659 руб.</t>
  </si>
  <si>
    <t>18% = 3 828 руб.</t>
  </si>
  <si>
    <t>19.086% = 4 059 руб.</t>
  </si>
  <si>
    <t>Разработка технической документации интегрированной АСУ, включающей АСУП</t>
  </si>
  <si>
    <t xml:space="preserve"> МНЗ №465/пр Автоматизированные системы объектов непроизводственного назначения и коммунального хозяйства. 2022 г. Таблица 1. Нормативные затраты МНЗ на проектные работы по разработке технической документации АСУ объектов непроизводственного назначения и коммунального хозяйства, п.1
М = 12.535
a = 663 000 руб.</t>
  </si>
  <si>
    <t>Факторы</t>
  </si>
  <si>
    <t>Характер протекания во времени процессов в АСУ (G1)</t>
  </si>
  <si>
    <t>Непрерывно-дискретный - II (Таблица 2 п.1.5)
G1 = 1.820 (СПОТ)</t>
  </si>
  <si>
    <t>Кол-во технологических операций автоматизированного контроля и управления (G2)</t>
  </si>
  <si>
    <t>350 (Таблица 2 п.2.7, п.2.8)
G2 = 1.615 + 5 * 0.205 = 2.640 (СПОТ)</t>
  </si>
  <si>
    <t>Количество контролируемых физических сигналов (G3)</t>
  </si>
  <si>
    <t>450 (Таблица 2 п.3.7)
G3 = 1.820 (СПОТ)</t>
  </si>
  <si>
    <t>Количество управляющих воздействий, вырабатываемых АСУ (G4)</t>
  </si>
  <si>
    <t>260 (Таблица 2 п.4.8)
G4 = 1.615 (СПОТ)</t>
  </si>
  <si>
    <t>Степень развитости информационных функций АСУ (G5)</t>
  </si>
  <si>
    <t>III степень - косвенное измерение (вычисление) отдельных комплексных показателей функционирования ТОУ (Таблица 2 п.5.3)
G5 = 1.205 (СПОТ)</t>
  </si>
  <si>
    <t>Степень развитости управляющих функций АСУ (G6)</t>
  </si>
  <si>
    <t>IV степень - оптимальное управление установившимися режимами (в статике) (Таблица 2 п.6.4)
G6 = 1.615 (СПОТ)</t>
  </si>
  <si>
    <t>Режим функционирования АСУ (G7)</t>
  </si>
  <si>
    <t>Автоматический режим прямого (непосредственного) цифрового (или аналого-цифрового) управления (Таблица 2 п.7.5)
G7 = 1.820 (СПОТ)</t>
  </si>
  <si>
    <t>Части и разделы документации</t>
  </si>
  <si>
    <t>Сор (Общесистемные решения)
Кст_ор = 0.7</t>
  </si>
  <si>
    <t>1. Схема организационной структуры</t>
  </si>
  <si>
    <t>20% = 0 руб.</t>
  </si>
  <si>
    <t>2. Схема функциональной структуры</t>
  </si>
  <si>
    <t>30% = 0 руб.</t>
  </si>
  <si>
    <t>3. Ведомость технического проекта и покупных изделий</t>
  </si>
  <si>
    <t>4. Пояснительная записка к ПД. Описание автоматизируемых функций. Описание постановки задач (комплекса задач)</t>
  </si>
  <si>
    <t>10% = 0 руб.</t>
  </si>
  <si>
    <t>5. Локальный сметный расчет</t>
  </si>
  <si>
    <t>15% = 0 руб.</t>
  </si>
  <si>
    <t>6. Проектная оценка надежности системы</t>
  </si>
  <si>
    <t>5% = 0 руб.</t>
  </si>
  <si>
    <t>Соо (Организационное обеспечение)
Кст_оо = 0.3</t>
  </si>
  <si>
    <t>1. Описание организационной структуры</t>
  </si>
  <si>
    <t>100% = 0 руб.</t>
  </si>
  <si>
    <t>Сио (Информационное обеспечение)
Кст_ио = 0.4</t>
  </si>
  <si>
    <t>1. Перечень входных данных (сигналов) и выходных данных (сигналов)</t>
  </si>
  <si>
    <t>2. Описание информационного обеспечения системы</t>
  </si>
  <si>
    <t>3. Описание организации информационной базы</t>
  </si>
  <si>
    <t>4. Описание систем классификации и кодирования</t>
  </si>
  <si>
    <t>5. Описание массива информации</t>
  </si>
  <si>
    <t>6. Шаблон документа</t>
  </si>
  <si>
    <t>Сто (Техническое обеспечение)
Кст_то = 0.4</t>
  </si>
  <si>
    <t>1. Описание комплекса технических средств</t>
  </si>
  <si>
    <t>2. Схема структурная комплекса технических средств</t>
  </si>
  <si>
    <t>3. План расположения</t>
  </si>
  <si>
    <t>4. Перечень заданий на разработку специализированных (новых) технических средств</t>
  </si>
  <si>
    <t>5. Схема автоматизации</t>
  </si>
  <si>
    <t>6. Перечень заданий на разработку строительных, электротехнических, санитарно­-технических и других разделов проекта, связанных с созданием системы</t>
  </si>
  <si>
    <t>7. Ведомость оборудования и материалов</t>
  </si>
  <si>
    <t>Смо (Математическое обеспечение)
Кст_мо = 1</t>
  </si>
  <si>
    <t>1. Описание алгоритма (проектной процедуры)</t>
  </si>
  <si>
    <t>Спо (Программное обеспечение)
Кст_по = 1</t>
  </si>
  <si>
    <t>1. Описание программного обеспечения</t>
  </si>
  <si>
    <t>Система контроля и управления доступом транспортных средств (СКУД-ТС)</t>
  </si>
  <si>
    <t>1,2 МПа, П100SDR11 D200</t>
  </si>
  <si>
    <t xml:space="preserve">Проектирование нескольких параллельных кабелей сооружений кабельной электрической линии, прокладываемых одинаковым способом определяется с корректирующим коэффициентом к стоимости проектирования каждого последующего после первого кабеля </t>
  </si>
  <si>
    <t xml:space="preserve">K2 = 1.3 (РПД 1-2,3.1-3.5)
Методика, 707/пр. Приложение 5, табл.5.1, п.2.3 (Усложняющий) </t>
  </si>
  <si>
    <t>(A + B * (0.4 * Xмин + 0.6 * Xзад)) * Количество * Ктек * Кст * K1
(952 600 руб. + 21 230 руб. * (0.4 * 2 + 0.6 * 1)) * 1 * 1.53 * 0.6 * 0.2 * 1.3</t>
  </si>
  <si>
    <t>18% * (1 + 0.3) = 42 203 руб.</t>
  </si>
  <si>
    <t>49% * (1 + 0.3) = 114 886 руб.</t>
  </si>
  <si>
    <t>33.8% = 60 960 руб.</t>
  </si>
  <si>
    <t>8% * (1 + 0.3) [из  33.8%] = 18 757 руб.</t>
  </si>
  <si>
    <t>3.2. Система водоотведения, система водоснабжения</t>
  </si>
  <si>
    <t>3% * (1 + 0.3) [из  33.8%] = 7 034 руб.</t>
  </si>
  <si>
    <t>9% * (1 + 0.3) [из  33.8%] = 21 101 руб.</t>
  </si>
  <si>
    <t>3.4. Система электрохимической защиты</t>
  </si>
  <si>
    <t>9.1% = 16 412 руб.</t>
  </si>
  <si>
    <t xml:space="preserve">K2 = 1.3 (РПД 1)
Методика, 707/пр. Приложение 5, табл.5.1, п.2.3 (Усложняющий) </t>
  </si>
  <si>
    <t>2. Проект организации строительства</t>
  </si>
  <si>
    <t>(A + B * (0.4 * Xмин + 0.6 * Xзад)) * Количество * Ктек * Кст
(1 150 руб. + 40 руб. * (0.4 * 70.0 + 0.6 * 40.8)) * 1 * 54.34 * 1 * 1.3</t>
  </si>
  <si>
    <t>31% * (1 + 0.3) = 71 154 руб.</t>
  </si>
  <si>
    <t>17% * (1 + 0.3) = 39 020 руб.</t>
  </si>
  <si>
    <t>4% * (1 + 0.3) = 9 181 руб.</t>
  </si>
  <si>
    <t>32% * (1 + 0.3) = 73 450 руб.</t>
  </si>
  <si>
    <t>8% * (1 + 0.3) = 18 362 руб.</t>
  </si>
  <si>
    <t>6. Сметная документация</t>
  </si>
  <si>
    <t>10.4% = 18 362 руб.</t>
  </si>
  <si>
    <t>2. Автоматизация технологических процессов, сантехнических устройств</t>
  </si>
  <si>
    <t>3. Архитектурно-строительная часть</t>
  </si>
  <si>
    <t>4. Отопление и вентиляция</t>
  </si>
  <si>
    <t>5. Водоснабжение и канализация</t>
  </si>
  <si>
    <t>6. Электротехническая часть</t>
  </si>
  <si>
    <t>7. Связь и сигнализация</t>
  </si>
  <si>
    <t>(A + B * Xзад) * Количество * Ктек * Кст * K1
(36 600 руб. + 580 610 руб. * 0.2) * 1 * 1.27 * 0.6 * 1.2 * 1.3</t>
  </si>
  <si>
    <t xml:space="preserve">K2 = 1.3 (РПД 1-3,4.1-4.3,5)
Методика, 707/пр. Приложение 5, табл.5.1, п.2.3 (Усложняющий) </t>
  </si>
  <si>
    <t>4% * (1 + 0.3) = 7 262 руб.</t>
  </si>
  <si>
    <t>13% * (1 + 0.3) = 23 601 руб.</t>
  </si>
  <si>
    <t>41% * (1 + 0.3) = 74 433 руб.</t>
  </si>
  <si>
    <t>11.7% = 16 339 руб.</t>
  </si>
  <si>
    <t>2% * (1 + 0.3) [из  11.7%] = 3 631 руб.</t>
  </si>
  <si>
    <t>5% * (1 + 0.3) [из  11.7%] = 9 077 руб.</t>
  </si>
  <si>
    <t>4.3. Отопление, вентиляция и кондиционирование воздуха, тепловые сети</t>
  </si>
  <si>
    <t>26% * (1 + 0.3) = 47 201 руб.</t>
  </si>
  <si>
    <t>9.1% = 12 708 руб.</t>
  </si>
  <si>
    <t>(A + B * (0.4 * Xмин + 0.6 * (Xмин / 2))) * Количество * Кпон * Ктек * Кст
(126 400 руб. + 235 руб. * (0.4 * 1000 + 0.6 * (1000 / 2))) * 1 * 0.2 * 1.38 * 0.6 * 1.3</t>
  </si>
  <si>
    <t>19% * (1 + 0.3) = 11 899 руб.</t>
  </si>
  <si>
    <t>6.5% = 3 131 руб.</t>
  </si>
  <si>
    <t>(A + B * Xзад) * Количество * Ктек * Кст
(10 500 руб. + 592 руб. * 200) * 1 * 1.27 * 0.6 * 1.3</t>
  </si>
  <si>
    <t>2.7% * (1 + 0.3) = 3 448 руб.</t>
  </si>
  <si>
    <t>92% * (1 + 0.3) = 117 473 руб.</t>
  </si>
  <si>
    <t>6.89% = 6 767 руб.</t>
  </si>
  <si>
    <t>(A + B * Xзад) * Количество * Ктек * Кст
(110 100 руб. + 7 105 руб. * 31) * 1 * 1.68 * 0.6 * 1.3</t>
  </si>
  <si>
    <t>18% * (1 + 0.3) = 77 921 руб.</t>
  </si>
  <si>
    <t>55% * (1 + 0.3) = 238 093 руб.</t>
  </si>
  <si>
    <t>23.4% = 77 921 руб.</t>
  </si>
  <si>
    <t>9% * (1 + 0.3) [из  23.4%] = 38 961 руб.</t>
  </si>
  <si>
    <t>11.7% = 38 961 руб.</t>
  </si>
  <si>
    <t>(A + B * Xзад) * Количество * Ктек * Кст
(109 200 руб. + 5 153 руб. * 28) * 1 * 1.68 * 0.6 * 1.3</t>
  </si>
  <si>
    <t>16% * (1 + 0.3) = 53 146 руб.</t>
  </si>
  <si>
    <t>54.5% * (1 + 0.3) = 181 030 руб.</t>
  </si>
  <si>
    <t>23.4% = 59 790 руб.</t>
  </si>
  <si>
    <t>9% * (1 + 0.3) [из  23.4%] = 29 895 руб.</t>
  </si>
  <si>
    <t>14.95% = 38 199 руб.</t>
  </si>
  <si>
    <t>A * Количество * Ктек * Кст * K1
21 100 руб. * 1 * 1.68 * 0.6 * 1.5 * 1.3</t>
  </si>
  <si>
    <t>18% * (1 + 0.3) = 7 465 руб.</t>
  </si>
  <si>
    <t>57% * (1 + 0.3) = 23 640 руб.</t>
  </si>
  <si>
    <t>15.6% = 4 977 руб.</t>
  </si>
  <si>
    <t>12% * (1 + 0.3) [из  15.6%] = 4 977 руб.</t>
  </si>
  <si>
    <t>16.9% = 5 392 руб.</t>
  </si>
  <si>
    <t>Сор (Общесистемные решения)
Кст_ор = 0.3</t>
  </si>
  <si>
    <t>1. Проектная оценка надежности системы</t>
  </si>
  <si>
    <t>2. Локальная смета</t>
  </si>
  <si>
    <t>3. Ведомость держателей подлинников</t>
  </si>
  <si>
    <t>4. Программа и методика испытаний (компонентов, комплексов средств автоматизации, подсистем, систем)</t>
  </si>
  <si>
    <t>5. Общее описание системы</t>
  </si>
  <si>
    <t>6. Ведомость эксплуатационных документов</t>
  </si>
  <si>
    <t>7. Формуляр</t>
  </si>
  <si>
    <t>8. Паспорт</t>
  </si>
  <si>
    <t>Соо (Организационное обеспечение)
Кст_оо = 0.7</t>
  </si>
  <si>
    <t>1. Методика (технология) автоматизированного проектирования</t>
  </si>
  <si>
    <t>2. Технологическая инструкция</t>
  </si>
  <si>
    <t>3. Руководство пользователя</t>
  </si>
  <si>
    <t>4. Описание технологического процесса обработки данных (включая телеобработку)</t>
  </si>
  <si>
    <t>Сио (Информационное обеспечение)
Кст_ио = 0.6</t>
  </si>
  <si>
    <t>1. Описание информационного массива</t>
  </si>
  <si>
    <t>50% = 0 руб.</t>
  </si>
  <si>
    <t>2. Описание базы данных</t>
  </si>
  <si>
    <t>Сто (Техническое обеспечение)
Кст_то = 0.6</t>
  </si>
  <si>
    <t>1. Спецификация оборудования</t>
  </si>
  <si>
    <t>2. Ведомость потребности в материалах</t>
  </si>
  <si>
    <t>3. Инструкция по эксплуатации комплекса технических средств</t>
  </si>
  <si>
    <t>4. Схема соединения внешних проводок</t>
  </si>
  <si>
    <t>5. Схема подключения внешних проводок</t>
  </si>
  <si>
    <t>6. Таблица соединений и подключений</t>
  </si>
  <si>
    <t>7. Схема деления системы (структурная)</t>
  </si>
  <si>
    <t>8. Чертеж общего вида</t>
  </si>
  <si>
    <t>9. Чертеж установки технических средств</t>
  </si>
  <si>
    <t>10. Схема принципиальная</t>
  </si>
  <si>
    <t>8% = 0 руб.</t>
  </si>
  <si>
    <t>11. Схема структурная комплекса технических средств</t>
  </si>
  <si>
    <t>7% = 0 руб.</t>
  </si>
  <si>
    <t>12. План расположения оборудования и проводок</t>
  </si>
  <si>
    <t xml:space="preserve">В расчете приняты предполагаемые виды и объемы изыскательских работ  в соответствии с заданием на проектирование. </t>
  </si>
  <si>
    <t xml:space="preserve">       обследование территории на наличие взрывоопасных предметов.</t>
  </si>
  <si>
    <t>- оценка воздействия на окружающую среду (ОВОС);</t>
  </si>
  <si>
    <t xml:space="preserve">K3 = 1.3 (РПД 2-4,5.1-5.5)
Методика, 707/пр. Приложение 5, табл.5.1, п.2.3 (Усложняющий) </t>
  </si>
  <si>
    <t xml:space="preserve">При проектировании нескольких зданий и сооружений одного функционального назначения. строительство которых осуществляется в одинаковых инженерно-геологических условиях. с натуральными показателями. отклонения значений которых составляет не более 10% (далее - аналогичные объекты). в составе одного объекта капитального строительства. стоимость на проектирование первого объекта определяется по параметрам цены таблиц 3.1 - 3.9 НЗ с корректирующим коэффициентом 1.0. а каждого последующего аналогичного объекта - с применением корректирующего коэффициента </t>
  </si>
  <si>
    <t xml:space="preserve">При проектировании нескольких зданий и сооружений одного функционального назначения, строительство которых осуществляется в одинаковых инженерно-геологических условиях, с натуральными показателями, отклонения значений которых составляет не более 10% (далее - аналогичные объекты), в составе одного объекта капитального строительства, стоимость на проектирование первого объекта определяется по параметрам цены таблиц 3.1 - 3.9 НЗ с корректирующим коэффициентом 1,0, а каждого последующего аналогичного объекта - с применением корректирующего коэффициента </t>
  </si>
  <si>
    <t>Смета №1-ПД</t>
  </si>
  <si>
    <t>Смета № 1-ПД</t>
  </si>
  <si>
    <t>3.11</t>
  </si>
  <si>
    <t>A * Количество * Ктек
693 руб. * 12 * 1.25</t>
  </si>
  <si>
    <t>НЗ 11.20_0-7-62-5 Таблица 62 п.5
A = 693 руб.;
Количество = 12 (один образец);</t>
  </si>
  <si>
    <t>A * Количество * Ктек
320 руб. * 40 * 1.25</t>
  </si>
  <si>
    <t>НЗ 11.20_0-7-62-1 Таблица 62 п.1
A = 320 руб.;
Количество = 40 (один образец);</t>
  </si>
  <si>
    <t>A * Количество * Ктек
730 руб. * 60 * 1.25</t>
  </si>
  <si>
    <t>НЗ 11.20_0-7-62-6 Таблица 62 п.6
A = 730 руб.;
Количество = 60 (один образец);</t>
  </si>
  <si>
    <t>A * Количество * Ктек
381 руб. * 60 * 1.25</t>
  </si>
  <si>
    <t>НЗ 11.20_0-7-62-2 Таблица 62 п.2
A = 381 руб.;
Количество = 60 (один образец);</t>
  </si>
  <si>
    <t>камеральная обработка результатов полевых работ по проходке инженерно-геологических выработок из архивных материалов</t>
  </si>
  <si>
    <t>A * Количество * Ктек
434 руб. * 50 * 1.25</t>
  </si>
  <si>
    <t>НЗ 11.20_0-4-33-3 Таблица 33 п.3
A = 434 руб.;
Количество = 50 (погонный метр);</t>
  </si>
  <si>
    <t>A * Количество * Ктек
370 руб. * 12 * 1.25</t>
  </si>
  <si>
    <t>НЗ 11.20_0-7-57-8 Таблица 57 п.8
A = 370 руб.;
Количество = 12 (одно определение);</t>
  </si>
  <si>
    <t>A * Количество * Ктек
8139 руб. * 12 * 1.25</t>
  </si>
  <si>
    <t>НЗ 11.20_0-7-60-27 Таблица 60 п.27
A = 8139 руб.;
Количество = 12 (одно определение);</t>
  </si>
  <si>
    <t>A * Количество * Ктек
5979 руб. * 12 * 1.25</t>
  </si>
  <si>
    <t>НЗ 11.20_0-7-60-26 Таблица 60 п.26
A = 5979 руб.;
Количество = 12 (одно определение);</t>
  </si>
  <si>
    <t>A * Количество * Ктек
7006 руб. * 12 * 1.25</t>
  </si>
  <si>
    <t>НЗ 11.20_0-7-60-24 Таблица 60 п.24
A = 7006 руб.;
Количество = 12 (одно определение);</t>
  </si>
  <si>
    <t>A * Количество * Ктек
4593 руб. * 12 * 1.25</t>
  </si>
  <si>
    <t>НЗ 11.20_0-7-60-22 Таблица 60 п.22
A = 4593 руб.;
Количество = 12 (одно определение);</t>
  </si>
  <si>
    <t>A * Количество * Ктек
24417 руб. * 12 * 1.25</t>
  </si>
  <si>
    <t>НЗ 11.20_0-7-60-12 Таблица 60 п.12
A = 24417 руб.;
Количество = 12 (одно определение);</t>
  </si>
  <si>
    <t>A * Количество * Ктек
17937 руб. * 12 * 1.25</t>
  </si>
  <si>
    <t>НЗ 11.20_0-7-60-10 Таблица 60 п.10
A = 17937 руб.;
Количество = 12 (одно определение);</t>
  </si>
  <si>
    <t>A * Количество * Ктек
21017 руб. * 12 * 1.25</t>
  </si>
  <si>
    <t>НЗ 11.20_0-7-60-6 Таблица 60 п.6
A = 21017 руб.;
Количество = 12 (одно определение);</t>
  </si>
  <si>
    <t>A * Количество * Ктек
13780 руб. * 12 * 1.25</t>
  </si>
  <si>
    <t>НЗ 11.20_0-7-60-2 Таблица 60 п.2
A = 13780 руб.;
Количество = 12 (одно определение);</t>
  </si>
  <si>
    <t>A * Количество * Ктек
653 руб. * 12 * 1.25</t>
  </si>
  <si>
    <t>НЗ 11.20_0-7-57-27 Таблица 57 п.27
A = 653 руб.;
Количество = 12 (одно определение);</t>
  </si>
  <si>
    <t>A * Количество * Ктек
723 руб. * 12 * 1.25</t>
  </si>
  <si>
    <t>НЗ 11.20_0-7-57-15 Таблица 57 п.15
A = 723 руб.;
Количество = 12 (одно определение);</t>
  </si>
  <si>
    <t>A * Количество * Ктек
1676 руб. * 60 * 1.25</t>
  </si>
  <si>
    <t>НЗ 11.20_0-7-57-18 Таблица 57 п.18
A = 1676 руб.;
Количество = 60 (одно определение);</t>
  </si>
  <si>
    <t>A * Количество * Ктек
9091 руб. * 12 * 1.25</t>
  </si>
  <si>
    <t>НЗ 11.20_0-7-59-3 Таблица 59 п.3
A = 9091 руб.;
Количество = 12 (одно определение);</t>
  </si>
  <si>
    <t>A * Количество * Ктек
1835 руб. * 40 * 1.25</t>
  </si>
  <si>
    <t>НЗ 11.20_0-7-57-11 Таблица 57 п.11
A = 1835 руб.;
Количество = 40 (одно определение);</t>
  </si>
  <si>
    <t>НЗ 11.20_0-7-57-13 Таблица 57 п.13
A = 1676 руб.;
Количество = 60 (одно определение);</t>
  </si>
  <si>
    <t>A * Количество * Ктек
600 руб. * 60 * 1.25</t>
  </si>
  <si>
    <t>НЗ 11.20_0-7-57-4 Таблица 57 п.4
A = 600 руб.;
Количество = 60 (одно определение);</t>
  </si>
  <si>
    <t>A * Количество * Ктек
229 руб. * 40 * 1.25</t>
  </si>
  <si>
    <t>НЗ 11.20_0-7-57-1 Таблица 57 п.1
A = 229 руб.;
Количество = 40 (одно определение);</t>
  </si>
  <si>
    <t>A * Количество * Ктек
229 руб. * 60 * 1.25</t>
  </si>
  <si>
    <t>НЗ 11.20_0-7-57-1 Таблица 57 п.1
A = 229 руб.;
Количество = 60 (одно определение);</t>
  </si>
  <si>
    <t>A * Количество * Ктек
529 руб. * 60 * 1.25</t>
  </si>
  <si>
    <t>НЗ 11.20_0-7-57-17 Таблица 57 п.17
A = 529 руб.;
Количество = 60 (одно определение);</t>
  </si>
  <si>
    <t>A * Количество * Ктек
141 руб. * 60 * 1.25</t>
  </si>
  <si>
    <t>НЗ 11.20_0-7-56-3 Таблица 56 п.3
A = 141 руб.;
Количество = 60 (один образец грунта);</t>
  </si>
  <si>
    <t>A * Количество * Ктек
335 руб. * 60 * 1.25</t>
  </si>
  <si>
    <t>НЗ 11.20_0-7-56-2 Таблица 56 п.2
A = 335 руб.;
Количество = 60 (один образец грунта);</t>
  </si>
  <si>
    <t>A * Количество * Ктек
459 руб. * 60 * 1.25</t>
  </si>
  <si>
    <t>НЗ 11.20_0-7-56-1 Таблица 56 п.1
A = 459 руб.;
Количество = 60 (один образец грунта);</t>
  </si>
  <si>
    <t>A * Количество * Ктек
1536 руб. * 520 * 1.25</t>
  </si>
  <si>
    <t>НЗ 11.20_0-4-25-1 Таблица 25 п.1
A = 1536 руб.;
Количество = 520 (погонный метр);</t>
  </si>
  <si>
    <t>Всего 10 скважин глубиной от 15 до 25 м</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</si>
  <si>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от 15 (пятнадцати) до 25 (двадцати пяти) метров включительно. в грунтах категории III. </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</si>
  <si>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от 15 (пятнадцати) до 25 (двадцати пяти) метров включительно. в грунтах категории II. </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</si>
  <si>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от 15 (пятнадцати) до 25 (двадцати пяти) метров включительно. в грунтах категории I. </t>
  </si>
  <si>
    <t>Скважины глубиной от 15 до 25 м</t>
  </si>
  <si>
    <t>Скважины глубиной до 15 м</t>
  </si>
  <si>
    <t>СМЕТА №2-из</t>
  </si>
  <si>
    <t>форма №2П, 1/пр</t>
  </si>
  <si>
    <t> Емкость для дизтоплива (2 шт по 40м3)</t>
  </si>
  <si>
    <r>
      <t>НЦС 81-02-12-2026
12-01-006-11
Кабельные линии электропередачи напряжением 10 кВ, при прокладке в траншее
тремя уложенными в треугольник одножильными кабелями с алюминиевыми
жилами, с изоляцией из сшитого полиэтилена, в оболочке из полиэтилена,
с герметизацией: сечением 630/35 мм²
К</t>
    </r>
    <r>
      <rPr>
        <vertAlign val="subscript"/>
        <sz val="12"/>
        <rFont val="Times New Roman"/>
        <family val="1"/>
        <charset val="204"/>
      </rPr>
      <t>ц1</t>
    </r>
    <r>
      <rPr>
        <sz val="12"/>
        <rFont val="Times New Roman"/>
        <family val="1"/>
        <charset val="204"/>
      </rPr>
      <t>=1,02 - при укладке плит ПЗК 24х48 см вместо кирпича для защиты кабеля (ОУ п.20)
К</t>
    </r>
    <r>
      <rPr>
        <vertAlign val="subscript"/>
        <sz val="12"/>
        <rFont val="Times New Roman"/>
        <family val="1"/>
        <charset val="204"/>
      </rPr>
      <t>ц2</t>
    </r>
    <r>
      <rPr>
        <sz val="12"/>
        <rFont val="Times New Roman"/>
        <family val="1"/>
        <charset val="204"/>
      </rPr>
      <t>=1,58 - при прокладке в одной траншее 4-х кабелей (ОУ п.21)</t>
    </r>
  </si>
  <si>
    <t>Период от даты определения НМЦК до даты окончания работ, мес.</t>
  </si>
  <si>
    <t xml:space="preserve">РП-2 (потребители ТП-11 - ТП-25) 
тип закрытый
кол-во ячеек до 12 шт
мощность 17.0 мВт.
</t>
  </si>
  <si>
    <t xml:space="preserve">РП-1 (потребители ТП-1 - ТП-10) 
тип закрытый
кол-во ячеек до 12 шт
мощность 18.8 мВт
</t>
  </si>
  <si>
    <t>КЛ 10 кВ в грунте. 2 линии по 6 кабелей 3хАПвКП2г 1х630/70: Резервное электроснабжение от ДГЭУ до РУ10/0,4кВ в здании Главного корпуса и до РП-1, РП-2</t>
  </si>
  <si>
    <t>2.41</t>
  </si>
  <si>
    <t>6.247% = 6 072 руб.</t>
  </si>
  <si>
    <t>2% = 1 944 руб.</t>
  </si>
  <si>
    <t>7.5% = 7 289 руб.</t>
  </si>
  <si>
    <t>6% = 5 831 руб.</t>
  </si>
  <si>
    <t>76% * (1 + 0.3) = 96 025 руб.</t>
  </si>
  <si>
    <t>3% * (1 + 0.3) = 3 790 руб.</t>
  </si>
  <si>
    <t>0.5% = 486 руб.</t>
  </si>
  <si>
    <t>30 опор, кабель в траншее,подземный</t>
  </si>
  <si>
    <t>(A + B * Xзад) * Количество * Ктек * Кст * K1
(32 300 руб. + 428 руб. * 300) * 1 * 1.68 * 0.4 * 0.9 * 1.24947</t>
  </si>
  <si>
    <t>12.333% = 6 583 руб.</t>
  </si>
  <si>
    <t>5% = 2 669 руб.</t>
  </si>
  <si>
    <t>5. Перечень мероприятий по охране окружающей среды</t>
  </si>
  <si>
    <t>60% * (1 + 0.3) = 41 637 руб.</t>
  </si>
  <si>
    <t>10% * (1 + 0.3) = 6 939 руб.</t>
  </si>
  <si>
    <t xml:space="preserve">2. Схема планировочной организации земельного участка </t>
  </si>
  <si>
    <t>10% = 5 338 руб.</t>
  </si>
  <si>
    <t xml:space="preserve">защитная ограждающая конструкция (ЗОК) 
поз №1.10: габариты 10х12х7 площадь
  сетка 500 м кв 
мачта из металлических конструкции высотой 7 м 4 шт 1,4 т/шт с фундаментом
Уточняется проектом в ОТР
</t>
  </si>
  <si>
    <t>(A + B * Xзад) * Количество * Ктек * Кст
(62 100 руб. + 13 486 руб. * 4) * 1 * 1.15 * 0.4 * 1.23333</t>
  </si>
  <si>
    <t>НЗ 11.24_0-3-10-1-2 НЗ №216/пр Интеллектуальные транспортные системы на автомобильных дорогах и сооружениях на них. 2026 г. Таблица 10. Опоры для размещения Объектов ИТС, п.1
A = 62.1 тыс.руб; B = 13.486 тыс.руб;
Xзад = 4(опора);
Количество = 1</t>
  </si>
  <si>
    <t xml:space="preserve">Опора мачтовая или стойка. от 2 до 5 опор. </t>
  </si>
  <si>
    <t>12.333% = 15 800 руб.</t>
  </si>
  <si>
    <t>5% = 6 406 руб.</t>
  </si>
  <si>
    <t>60% * (1 + 0.3) = 99 928 руб.</t>
  </si>
  <si>
    <t>10% * (1 + 0.3) = 16 655 руб.</t>
  </si>
  <si>
    <t>10% = 12 811 руб.</t>
  </si>
  <si>
    <t>K1 = 2.4, N1=8(шт.)
Методика, 707/пр. Глава IX, п.152 (Ценообразующий)</t>
  </si>
  <si>
    <t xml:space="preserve">защитная ограждающая конструкция (ЗОК) 
поз №1.4,1.5,
1.6,1.7,1.8,1.9,1.10,1.12: габариты 10х5х6 
площадь сетка 350 м кв 
мачта из металлических конструкции высотой 6 м 4 шт 1,2 т/шт с фундаментом
Уточняется проектом в ОТР
</t>
  </si>
  <si>
    <t>(A + B * Xзад) * Количество * Ктек * Кст * K1
(62 100 руб. + 13 486 руб. * 4) * 1 * 1.15 * 0.4 * 2.4 * 1.23333</t>
  </si>
  <si>
    <t xml:space="preserve">защитная ограждающая конструкция (ЗОК) 
поз №1.2 и 1.3: габариты 25х14х7 
сетка 1200 м кв 
мачта из металлических конструкции 7м 4 шт 1,4 т/шт с фундаментами
Уточняется проектом в ОТР
</t>
  </si>
  <si>
    <t>12.333% = 8 974 руб.</t>
  </si>
  <si>
    <t>5% = 3 638 руб.</t>
  </si>
  <si>
    <t>60% * (1 + 0.3) = 56 758 руб.</t>
  </si>
  <si>
    <t>10% * (1 + 0.3) = 9 460 руб.</t>
  </si>
  <si>
    <t>10% = 7 277 руб.</t>
  </si>
  <si>
    <t>защитная ограждающая конструкция (ЗОК) 
поз №1.1:габариты 102х34х18, 
 сетка 8500 м кв  
мачта из металлических конструкции 18 м 8 шт 3,6 т/шт с фундаментами 
Уточняется проектом в ОТР</t>
  </si>
  <si>
    <t>(A + B * Xзад) * Количество * Ктек * Кст
(81 700 руб. + 9 561 руб. * 8) * 1 * 1.15 * 0.4 * 1.23333</t>
  </si>
  <si>
    <t>НЗ 11.24_0-3-10-1-3 НЗ №216/пр Интеллектуальные транспортные системы на автомобильных дорогах и сооружениях на них. 2026 г. Таблица 10. Опоры для размещения Объектов ИТС, п.1
A = 81.7 тыс.руб; B = 9.561 тыс.руб;
Xзад = 8(опора);
Количество = 1</t>
  </si>
  <si>
    <t xml:space="preserve">Опора мачтовая или стойка. от 6 до 10 опор. </t>
  </si>
  <si>
    <t>1.22</t>
  </si>
  <si>
    <t>Мачты молниезащиты  с фундаментами до 25 м  - 4 шт</t>
  </si>
  <si>
    <t>6.232% = 5 802 руб.</t>
  </si>
  <si>
    <t>23% * (1 + 0.3) = 27 837 руб.</t>
  </si>
  <si>
    <t>1% * (1 + 0.3) [из  7.8%] = 1 210 руб.</t>
  </si>
  <si>
    <t>4% * (1 + 0.3) [из  7.8%] = 4 841 руб.</t>
  </si>
  <si>
    <t>7.8% = 7 262 руб.</t>
  </si>
  <si>
    <t>35% * (1 + 0.3) = 42 360 руб.</t>
  </si>
  <si>
    <t>11% * (1 + 0.3) = 13 313 руб.</t>
  </si>
  <si>
    <t>3% * (1 + 0.3) = 3 631 руб.</t>
  </si>
  <si>
    <t xml:space="preserve">K2 = 1.3 (РПД 2-4,5.1-5.3,6)
Методика, 707/пр. Приложение 5, табл.5.1, п.2.3 (Усложняющий) </t>
  </si>
  <si>
    <t>(A + B * Xзад) * Количество * Ктек * Кст * K1
(36 600 руб. + 580 610 руб. * 0.2) * 1 * 1.27 * 0.4 * 1.2 * 1.24632</t>
  </si>
  <si>
    <t>6.224% = 17 722 руб.</t>
  </si>
  <si>
    <t>6% = 17 084 руб.</t>
  </si>
  <si>
    <t>5% = 14 237 руб.</t>
  </si>
  <si>
    <t>1% * (1 + 0.3) [из  63.7%] = 3 702 руб.</t>
  </si>
  <si>
    <t>47% * (1 + 0.3) [из  63.7%] = 173 976 руб.</t>
  </si>
  <si>
    <t>63.7% = 181 379 руб.</t>
  </si>
  <si>
    <t>19% * (1 + 0.3) = 70 331 руб.</t>
  </si>
  <si>
    <t>5.5% * (1 + 0.3) = 20 359 руб.</t>
  </si>
  <si>
    <t>4% * (1 + 0.3) = 14 806 руб.</t>
  </si>
  <si>
    <t>0.5% = 1 424 руб.</t>
  </si>
  <si>
    <t>ТП-СН-10/0,4: Отдельно стоящее одноэтажное сооружение. Мощность 2х1600кВА</t>
  </si>
  <si>
    <t>A * Количество * Ктек * Кст * K1
470 800 руб. * 1 * 1.68 * 0.4 * 0.9 * 1.24474</t>
  </si>
  <si>
    <t>НЗ 11.03_0-3-3.13-3.3 НЗ №847/пр Строительство, реконструкция сетей инженерно-технического обеспечения и объектов инфраструктуры. 2023 г. Таблица 3.13. Сооружения электрических трансформаторных подстанций класса напряжения 6 - 10 кВ на номинальное напряжение на стороне низкого напряжения 0.23 - 0.69 кВ, распределительных и секционирующих пунктов напряжением 6-20 кВ, п.3.3
A = 470.8 тыс.руб; 
Количество = 1 (1 подстанция)</t>
  </si>
  <si>
    <t xml:space="preserve">Комплектная двухтрансформаторная подстанция класса напряжения 6-10 кВ на номинальное напряжение на стороне низкого напряжения 0,23-0,69 кВ с количеством ячеек до 8, оборудованная распределительными устройствами высокого и низкого напряжения, автоматического включения резерва. Полная мощность: 2 х 1600 кВА и свыше. </t>
  </si>
  <si>
    <t xml:space="preserve">форма 2П, 707/пр
</t>
  </si>
  <si>
    <t>6.445% = 9 396 руб.</t>
  </si>
  <si>
    <t>3% = 4 374 руб.</t>
  </si>
  <si>
    <t>89.5% * (1 + 0.3) = 169 623 руб.</t>
  </si>
  <si>
    <t>2% * (1 + 0.3) = 3 790 руб.</t>
  </si>
  <si>
    <t>0.5% = 729 руб.</t>
  </si>
  <si>
    <t>30 опор, кабель в траншее,подземный.</t>
  </si>
  <si>
    <t>(A + B * Xзад) * Количество * Ктек * Кст * K1
(32 300 руб. + 428 руб. * 300) * 1 * 1.68 * 0.6 * 0.9 * 1.28895</t>
  </si>
  <si>
    <t>20.514% = 16 426 руб.</t>
  </si>
  <si>
    <t>79% * (1 + 0.3) = 82 232 руб.</t>
  </si>
  <si>
    <t>5% = 4 004 руб.</t>
  </si>
  <si>
    <t xml:space="preserve">K1 = 1.3 (РПД 2)
Методика, 707/пр. Приложение 5, табл.5.1, п.2.3 (Усложняющий) </t>
  </si>
  <si>
    <t>(A + B * Xзад) * Количество * Ктек * Кст
(62 100 руб. + 13 486 руб. * 4) * 1 * 1.15 * 0.6 * 1.28214</t>
  </si>
  <si>
    <t>20.514% = 39 422 руб.</t>
  </si>
  <si>
    <t>79% * (1 + 0.3) = 197 357 руб.</t>
  </si>
  <si>
    <t>5% = 9 608 руб.</t>
  </si>
  <si>
    <t>(A + B * Xзад) * Количество * Ктек * Кст * K1
(62 100 руб. + 13 486 руб. * 4) * 1 * 1.15 * 0.6 * 2.4 * 1.28214</t>
  </si>
  <si>
    <t>20.514% = 22 391 руб.</t>
  </si>
  <si>
    <t>79% * (1 + 0.3) = 112 097 руб.</t>
  </si>
  <si>
    <t>5% = 5 457 руб.</t>
  </si>
  <si>
    <t>(A + B * Xзад) * Количество * Ктек * Кст
(81 700 руб. + 9 561 руб. * 8) * 1 * 1.15 * 0.6 * 1.28214</t>
  </si>
  <si>
    <t>6.389% = 27 288 руб.</t>
  </si>
  <si>
    <t>6.5% = 27 762 руб.</t>
  </si>
  <si>
    <t>1% * (1 + 0.3) [из  67.6%] = 5 552 руб.</t>
  </si>
  <si>
    <t>50% * (1 + 0.3) [из  67.6%] = 277 621 руб.</t>
  </si>
  <si>
    <t>67.6% = 288 726 руб.</t>
  </si>
  <si>
    <t>25% * (1 + 0.3) = 138 811 руб.</t>
  </si>
  <si>
    <t>8% * (1 + 0.3) = 44 419 руб.</t>
  </si>
  <si>
    <t>3% * (1 + 0.3) = 16 657 руб.</t>
  </si>
  <si>
    <t>0.5% = 2 136 руб.</t>
  </si>
  <si>
    <t>A * Количество * Ктек * Кст * K1
470 800 руб. * 1 * 1.68 * 0.6 * 0.9 * 1.27789</t>
  </si>
  <si>
    <r>
      <t>Индекс фактической инфляции от ценового периода объекта-аналога к дате формирования расчета</t>
    </r>
    <r>
      <rPr>
        <sz val="12"/>
        <color rgb="FFFF0000"/>
        <rFont val="Times New Roman"/>
        <family val="1"/>
        <charset val="204"/>
      </rPr>
      <t xml:space="preserve"> </t>
    </r>
    <r>
      <rPr>
        <b/>
        <sz val="12"/>
        <color rgb="FFFF0000"/>
        <rFont val="Times New Roman"/>
        <family val="1"/>
        <charset val="204"/>
      </rPr>
      <t>01.07.2026</t>
    </r>
  </si>
  <si>
    <r>
      <t>Индекс прогнозной инфляции к уровню цен на</t>
    </r>
    <r>
      <rPr>
        <sz val="12"/>
        <color rgb="FFFF0000"/>
        <rFont val="Times New Roman"/>
        <family val="1"/>
        <charset val="204"/>
      </rPr>
      <t xml:space="preserve"> </t>
    </r>
    <r>
      <rPr>
        <b/>
        <sz val="12"/>
        <color rgb="FFFF0000"/>
        <rFont val="Times New Roman"/>
        <family val="1"/>
        <charset val="204"/>
      </rPr>
      <t>01.07.2026</t>
    </r>
  </si>
  <si>
    <t>в том числе:</t>
  </si>
  <si>
    <t>Проектно-изыскательские работы</t>
  </si>
  <si>
    <t>Стройконтроль</t>
  </si>
  <si>
    <t>Рабочая документация</t>
  </si>
  <si>
    <t>Сводная смета ПИР</t>
  </si>
  <si>
    <t>Цена за ед., руб. без НДС</t>
  </si>
  <si>
    <t>Итого, руб. без НДС</t>
  </si>
  <si>
    <t>Итого стоимость с учетом ценообразующих и усложняющих коэффициентов, руб. без НДС</t>
  </si>
  <si>
    <r>
      <t xml:space="preserve">Всего  в ценах </t>
    </r>
    <r>
      <rPr>
        <sz val="12"/>
        <rFont val="Times New Roman"/>
        <family val="1"/>
        <charset val="204"/>
      </rPr>
      <t>соответствуюшего ценового периода,</t>
    </r>
    <r>
      <rPr>
        <sz val="12"/>
        <color theme="1"/>
        <rFont val="Times New Roman"/>
        <family val="1"/>
        <charset val="204"/>
      </rPr>
      <t xml:space="preserve"> руб. без НДС</t>
    </r>
  </si>
  <si>
    <t>Стоимость работ в ценах на дату формирования расчета с учетом индекса фактической инфляции, руб. без учета НДС</t>
  </si>
  <si>
    <t>Итоговая стоимость с учетом индекса прогнозной инфляции на период выполнения работ, руб.</t>
  </si>
  <si>
    <t>Расчет начальной (максимальной) цены контракта</t>
  </si>
  <si>
    <t>7.1</t>
  </si>
  <si>
    <t>7.2</t>
  </si>
  <si>
    <t>7.3</t>
  </si>
  <si>
    <t>Авторский надзор
(гр.7-гр.7.1-гр.7.2)*0,2%</t>
  </si>
  <si>
    <t> Колодец связи ККС-2</t>
  </si>
  <si>
    <t>Кабельная линия связи с устройством двухотверстной кабельной канализации, кабелем ВОЛС 16ОВ</t>
  </si>
  <si>
    <t> Колодец связи</t>
  </si>
  <si>
    <t>Строительство (строительно-монтажные и пусконаладочные работы, оборудование, прочие затраты)</t>
  </si>
  <si>
    <t>Основное генерирующее оборудование - газопоршневые установки HQP G1016L, 3.2 МВт, 10,5 кВ, в комплектации со вспомогательными системами, с учетом доставки на условиях DDP</t>
  </si>
  <si>
    <t>компл.</t>
  </si>
  <si>
    <t>КП ООО "Фирма ОРГРЭС" №ФО-541 от 24.06.2026</t>
  </si>
  <si>
    <t>Вспомогательное оборудование и инженерные системы</t>
  </si>
  <si>
    <t>Электротехническое оборудование</t>
  </si>
  <si>
    <t>АСУ ТП энергоцентра</t>
  </si>
  <si>
    <t>Пусконаладочные работы, включая опробование, режимную наладку, индивидуальные испытания</t>
  </si>
  <si>
    <t>Строительные работы, включая материалы и комплектующие</t>
  </si>
  <si>
    <t>Монтажные работы, включая материалы и комплектующие</t>
  </si>
  <si>
    <t>№№</t>
  </si>
  <si>
    <t>Начало выполнения работ</t>
  </si>
  <si>
    <t>Продолжительность, дней</t>
  </si>
  <si>
    <t>Окончание выполнения работ</t>
  </si>
  <si>
    <t>Х</t>
  </si>
  <si>
    <t>Х+90</t>
  </si>
  <si>
    <t>Разработка проектной документации</t>
  </si>
  <si>
    <t>Разработка раздела «Основные технические решения»</t>
  </si>
  <si>
    <t>Х+30</t>
  </si>
  <si>
    <t>Х+60</t>
  </si>
  <si>
    <t>Согласование «ОТР» Заказчиком</t>
  </si>
  <si>
    <t>Х+75</t>
  </si>
  <si>
    <t>Разработка проектно-сметной документации</t>
  </si>
  <si>
    <t>Х+140</t>
  </si>
  <si>
    <t>Согласование ПСД Заказчиком</t>
  </si>
  <si>
    <t>Х+150</t>
  </si>
  <si>
    <t>Государственная экспертиза</t>
  </si>
  <si>
    <t>Входной контроль в ФАУ «Главгосэкспертиза России»</t>
  </si>
  <si>
    <t>Х+165</t>
  </si>
  <si>
    <t>Экспертиза проектно-сметной документации</t>
  </si>
  <si>
    <t>Х+255</t>
  </si>
  <si>
    <t>система охлаждения ГПА с выносными радиаторами для контуров охлаждения с фундаментами</t>
  </si>
  <si>
    <t>система маслоснабжения с емкостями для хранения и аварийного слива масла с фундаментами</t>
  </si>
  <si>
    <t>в Здании энергоцентра (2200 м кв) 1 емкость 1.5 м куб уточняется в ОТР</t>
  </si>
  <si>
    <t>Фундаменты для ГПУ</t>
  </si>
  <si>
    <t>м</t>
  </si>
  <si>
    <t>система газоснабжения: трубопроводы технологической обвязки д 80мм</t>
  </si>
  <si>
    <t>система газовыхлопного тракта с дымовыми трубами;</t>
  </si>
  <si>
    <t>Труба отвода выхлопных газов 23 м 10 шт. с фундаментом в пространственной решетке</t>
  </si>
  <si>
    <t>система молниезащиты и заземления</t>
  </si>
  <si>
    <t xml:space="preserve">сливно-наливная установка 1 шт </t>
  </si>
  <si>
    <t> ЛОС - бензо-масло уловитель перед сбросом в систему К2  Q~5 л/с</t>
  </si>
  <si>
    <t>ДГЭУ 3,5 МВт</t>
  </si>
  <si>
    <t> Площадка под размещение ДГУ (35 м2 х 3 шт)</t>
  </si>
  <si>
    <t xml:space="preserve">Площадка с ДГЭУ 3,5 МВт </t>
  </si>
  <si>
    <t>ЗРУ-10кВ</t>
  </si>
  <si>
    <t>Отдельно стоящее одноэтажное сооружение размерами 12,0х3,4 м (40.8 м кв)</t>
  </si>
  <si>
    <t>РУСН-0,4кВ</t>
  </si>
  <si>
    <t>Отдельно стоящее одноэтажное сооружение , размерами 12,0х3,4 м (40.8 м кв)</t>
  </si>
  <si>
    <t>НЦС 81-02-21-2026
21-01-005-11
КТП 10(6)/0,4 кВ тупиковые блочного типа (здания из сэндвич-панелей), количество
Т(АТ) шт. и мощность кВА: 2х1600</t>
  </si>
  <si>
    <t xml:space="preserve"> Отдельно стоящее одноэтажное сооружение контейнерного типа, полной заводской комплектации, размерами 12,0х3,4 м
7500 куб.м./час
</t>
  </si>
  <si>
    <t xml:space="preserve"> Газорегуляторный пункт блочный (ГРПБ): давлением свыше 0,6 МПа, с двумя линиями редуцирования пропускной способностью 7500 м3/час </t>
  </si>
  <si>
    <t>Склад масла в таре: Отдельно стоящее одноэтажное сооружение контейнерного типа 120 м. кв.
объем хранения масла 28.8 тонн</t>
  </si>
  <si>
    <t>Насосная станция пожаротушения: Отдельно стоящее одноэтажное сооружение контейнерного типа, полной заводской комплектации  200м3/ч</t>
  </si>
  <si>
    <t>Мачты молниезащиты  с фундаментами до 25 м</t>
  </si>
  <si>
    <t> Открытая стоянка для транспорта персонала на 7 машиномест</t>
  </si>
  <si>
    <t>НЦС 81-02-19-2026
Газорегуляторные пункты блочные давлением свыше 0,6 МПа, с двумя линиями
редуцирования пропускной способностью:
7500 м3/час
19-01-001-19: 3 000 м3/час
19-01-001-20: 12 000 м3/час
Интерполяция:
Пв=Пс-(с-в)*(Пс-Па)/(с-а), где
Па= 727,55 тыс. руб.;
Пс= 1232,19 тыс. руб.;
а= 3000 м3/час;
в= 7500 м3/час;
с= 12000 м3/час.
Пв=(1232,19-(12000-7500)*(1232,19-727,55)/(12000-3000))*1000=979870 руб.</t>
  </si>
  <si>
    <t>НЦС 81-02-16-2026
16-05-005-02
Ограждения по металлическим столбам из готовых металлических панелей
решетчатых высотой 2,5 м, при массе 1 пог. м ограждения: 80 кг</t>
  </si>
  <si>
    <t>(Апред + (Аслед - Апред) / (Xслед - Xпред) * (X - Xпред)) * Количество * Ктек
(646 576 руб. + (878 729 руб. - 646 576 руб.) / (1 000 000 руб. - 500 000 руб.) * (592 687 руб. - 500 000 руб.)) * 1 * 1.25</t>
  </si>
  <si>
    <t>один отчет</t>
  </si>
  <si>
    <t>НЗ 11.20_0-9-65(3) Таблица 65 п. 20
Aпред = 646 576 руб.; Aслед = 878 729 руб.;
Xпред = 500.0 тыс. руб.; Xслед = 1 000.0 тыс. руб.; 
X = 592.687 тыс. руб.;
Количество = 1;</t>
  </si>
  <si>
    <t>одна программа</t>
  </si>
  <si>
    <t>X * ((Aпред + (Aслед - Aпред) / (Xслед - Xпред) * (X – Xпред)) / 100) * Количество * Ктек
4706.902 * ((9.9 + (6.7 - 9.9) / (5000 - 1000) * (4706.902 - 1000)) / 100) * 1 * 1.25</t>
  </si>
  <si>
    <t>НЗ 11.20_0-2-4(1) Таблица 4
Aпред = 9.9%;
Aслед = 6.7%;
Xпред = 1000 тыс. руб.;
Xслед = 5000 тыс. руб.;
X = 4706.902 тыс. руб.;
СП = 4706902 руб. в базовом уровне цен без учета K2</t>
  </si>
  <si>
    <t>А / 100 * Х * Количество * Ктек
3.7 / 100 * 4706.902 * 1 * 1.25</t>
  </si>
  <si>
    <t>НЗ 11.20_0-2-8(2) Таблица 8
A = 3.7%;
X = 4706.902 тыс. руб.;
СП = 4706902 руб. в базовом уровне цен без учета K2</t>
  </si>
  <si>
    <t>один образец</t>
  </si>
  <si>
    <t>12</t>
  </si>
  <si>
    <t>40</t>
  </si>
  <si>
    <t>60</t>
  </si>
  <si>
    <t>Камеральная обработка результатов лабораторных работ</t>
  </si>
  <si>
    <t>одно испытание</t>
  </si>
  <si>
    <t>A * Количество * Ктек
173 руб. * 150 * 1.25</t>
  </si>
  <si>
    <t>150</t>
  </si>
  <si>
    <t>погонный метр</t>
  </si>
  <si>
    <t>НЗ 11.20_0-6-45-1 Таблица 45 п.1
A = 173 руб.;
Количество = 150 (погонный метр);</t>
  </si>
  <si>
    <t>50</t>
  </si>
  <si>
    <t>A * Количество * Ктек
434 руб. * 993 * 1.25</t>
  </si>
  <si>
    <t>993</t>
  </si>
  <si>
    <t>НЗ 11.20_0-4-33-3 Таблица 33 п.3
A = 434 руб.;
Количество = 993 (погонный метр);</t>
  </si>
  <si>
    <t>одно определение</t>
  </si>
  <si>
    <t>10</t>
  </si>
  <si>
    <t>один образец грунта</t>
  </si>
  <si>
    <t>час</t>
  </si>
  <si>
    <t>A * Количество * Ктек
3872 руб. * 150 * 1.25</t>
  </si>
  <si>
    <t>НЗ 11.20_0-6-43-5 Таблица 43 п.5
A = 3872 руб.;
Количество = 150 (погонный метр);</t>
  </si>
  <si>
    <t xml:space="preserve">Полевые испытания грунтов методом статического зондирования непрерывным вдавливанием на глубину, метров: от 20 до 25 метров включительно. </t>
  </si>
  <si>
    <t>520</t>
  </si>
  <si>
    <t>A * Количество * Ктек
983 руб. * 99 * 1.25</t>
  </si>
  <si>
    <t>99</t>
  </si>
  <si>
    <t>одно исследование
в одной скважине</t>
  </si>
  <si>
    <t>НЗ 11.20_0-4-26-1 Таблица 26 п.1
A = 983 руб.;
Количество = 99 (одно исследование
в одной скважине);</t>
  </si>
  <si>
    <t>A * Количество * Ктек
2914 руб. * 110 * 1.25</t>
  </si>
  <si>
    <t>110</t>
  </si>
  <si>
    <t>НЗ 11.20_0-4-14-11 Таблица 14 п.11
A = 2914 руб.;
Количество = 110 (погонный метр);</t>
  </si>
  <si>
    <t>A * Количество * Ктек
2756 руб. * 110 * 1.25</t>
  </si>
  <si>
    <t>НЗ 11.20_0-4-14-10 Таблица 14 п.10
A = 2756 руб.;
Количество = 110 (погонный метр);</t>
  </si>
  <si>
    <t>A * Количество * Ктек
2098 руб. * 30 * 1.25</t>
  </si>
  <si>
    <t>30</t>
  </si>
  <si>
    <t>НЗ 11.20_0-4-14-9 Таблица 14 п.9
A = 2098 руб.;
Количество = 30 (погонный метр);</t>
  </si>
  <si>
    <t>Всего 89 скважин глубиной до 15 м</t>
  </si>
  <si>
    <t>A * Количество * Ктек
3300 руб. * 334 * 1.25</t>
  </si>
  <si>
    <t>334</t>
  </si>
  <si>
    <t>НЗ 11.20_0-4-14-3 Таблица 14 п.3
A = 3300 руб.;
Количество = 334 (погонный метр);</t>
  </si>
  <si>
    <t>A * Количество * Ктек
3237 руб. * 334 * 1.25</t>
  </si>
  <si>
    <t>НЗ 11.20_0-4-14-2 Таблица 14 п.2
A = 3237 руб.;
Количество = 334 (погонный метр);</t>
  </si>
  <si>
    <t>A * Количество * Ктек
2858 руб. * 75 * 1.25</t>
  </si>
  <si>
    <t>75</t>
  </si>
  <si>
    <t>НЗ 11.20_0-4-14-1 Таблица 14 п.1
A = 2858 руб.;
Количество = 75 (погонный метр);</t>
  </si>
  <si>
    <t>гектар</t>
  </si>
  <si>
    <t>Ед.изм.</t>
  </si>
  <si>
    <t>Система охранная телевизионная (СОТ)</t>
  </si>
  <si>
    <t>Для обеспечения противопожарной защиты  здания Главного корпуса Энергоцентра и Контрольно-пропускного пункта.
1. Энергоцентр,  2800 м2,
2. Здание КПП, 14 м2
 Уточняется проектом</t>
  </si>
  <si>
    <t> Система контроля и управления доступом транспортных средств (СКУД ТС)</t>
  </si>
  <si>
    <t> Система оперативной диспетчерской связи:  IP-телефон «Набат»</t>
  </si>
  <si>
    <t>система контроля загазованности (СО и СН4)</t>
  </si>
  <si>
    <t>Система наружного электроосвещения по опорам</t>
  </si>
  <si>
    <t>  30 опор, кабель в траншее,подземный</t>
  </si>
  <si>
    <t>Сети газоснабжения высокого давления 0,6-1,2 МПа ПЭ100 SDR9 D200</t>
  </si>
  <si>
    <t>Сети 10 кВ в грунте (5,6 км): 2 линии по 6 кабелей 3хАПвКП2г 1х630/70</t>
  </si>
  <si>
    <t xml:space="preserve">Резервное электроснабжение от ДГЭУ до РУ10/0,4кВ в здании Главного корпуса и до РП-1, РП-2. 
Сети КЛ 10,0 кВ в грунте.
2 линии по  6 кабелей  3хАПвКП2г 1х630/70.
Уточняется проектом в ОТР
</t>
  </si>
  <si>
    <t>РП-2 (потребители ТП-11 - ТП-25) 
тип закрытый
кол-во ячеек до 12 шт.
мощность 17.0 мВт.</t>
  </si>
  <si>
    <t>РП-1 (потребители ТП-1 ТП-10) 
тип закрытый
кол-во ячеек до 12 шт
мощность 18.8 мВт.</t>
  </si>
  <si>
    <t>Разработка проекта санитарно-защитной зоны</t>
  </si>
  <si>
    <t>га</t>
  </si>
  <si>
    <t>Разработка проекта рекультивации земель</t>
  </si>
  <si>
    <t> Камера приема топлива</t>
  </si>
  <si>
    <t> Камера переключения аварийных проливов</t>
  </si>
  <si>
    <t>Резервуары противопожарного запаса воды 200 м3 х 2 шт</t>
  </si>
  <si>
    <t>НЦС 81-02-19-2026
19-03-007-01
Наземные стальные резервуары для воды емкостью 350 м3</t>
  </si>
  <si>
    <t>1 м3/час</t>
  </si>
  <si>
    <t>НЦС 81-02-19-2026
19-03-002-01 (применительно)
Насосные станции второго подъема производительностью: 320 м³/час</t>
  </si>
  <si>
    <t>НЦС 81-02-19-2026
19-07-017-01 (применительно)
Склады хранения реагентов для очистных сооружений
фильтрата общей площадью 112 м²</t>
  </si>
  <si>
    <t>1 м²</t>
  </si>
  <si>
    <t>MACCAFERRI</t>
  </si>
  <si>
    <t>м2 (по габаритным размерам)</t>
  </si>
  <si>
    <t>защитная ограждающая конструкция (ЗОК) - 1 шт
поз №1.1: габариты 102х34х18, 
 сетка 8500 м кв  
мачта из металлических конструкции 18 м 8 шт 3,6 т/шт с фундаментами</t>
  </si>
  <si>
    <t>защитная ограждающая конструкция (ЗОК) - 1 шт 
поз №1.2 и 1.3: габариты 25х14х7 
сетка 1200 м кв 
мачта из металлических конструкции 7м 4 шт 1,4 т/шт с фундаментами</t>
  </si>
  <si>
    <t>защитная ограждающая конструкция (ЗОК) - 1 шт 
поз №1.10: габариты 10х12х7 площадь
  сетка 500 м кв 
мачта из металлических конструкции высотой 7 м 4 шт 1,4 т/шт с фундаментом</t>
  </si>
  <si>
    <t>защитная ограждающая конструкция (ЗОК) - 8 шт 
поз №1.4,1.5,
1.6,1.7,1.8,1.9,1.10,1.12: габариты 10х5х6 
площадь сетка 350 м кв 
мачта из металлических конструкции высотой 6 м 4 шт 1,2 т/шт с фундаментом</t>
  </si>
  <si>
    <t>м3</t>
  </si>
  <si>
    <t>НЦС 81-02-18-2026
18-28-001-02
Навесы для хранения топливозаправщиков</t>
  </si>
  <si>
    <t>Площадка с навесом</t>
  </si>
  <si>
    <t>объект</t>
  </si>
  <si>
    <t>Контейнеры для сбора ТКО: евроконтейнер 1,1 м3 (1100 литров)</t>
  </si>
  <si>
    <t>https://agropak.net/catalog/konteynery-musornye-baki/musornye-kontejnery-na-kolesah/musornyy-konteyner-1100l-seryy/
(с учетом: 1,2% на заготовительно-складские расходы, 3% на транспортные расходы, 2% - непредвиденные затраты)</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</si>
  <si>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02-01-07 Строительно монтажные работы. Подсистема контроля и управления доступом транспортных средств (СКУД ТС)
(в ценах 2 квартала 2019 года)</t>
  </si>
  <si>
    <t>Индексы цен на продукцию (затраты, услуги) инвестиционного назначения с 2017 г. (процент, К предыдущему месяцу)</t>
  </si>
  <si>
    <t>Индексы цен на продукцию (затраты, услуги) инвестиционного назначения с 2017 г.</t>
  </si>
  <si>
    <t>2017</t>
  </si>
  <si>
    <t>2018</t>
  </si>
  <si>
    <t>2019</t>
  </si>
  <si>
    <t>2020</t>
  </si>
  <si>
    <t>2021</t>
  </si>
  <si>
    <t>2022</t>
  </si>
  <si>
    <t>январь</t>
  </si>
  <si>
    <t>февраль</t>
  </si>
  <si>
    <t>март</t>
  </si>
  <si>
    <t>апрель</t>
  </si>
  <si>
    <t>май</t>
  </si>
  <si>
    <t>июнь</t>
  </si>
  <si>
    <t>июль</t>
  </si>
  <si>
    <t>август</t>
  </si>
  <si>
    <t>сентябрь</t>
  </si>
  <si>
    <t>октябрь</t>
  </si>
  <si>
    <t>ноябрь</t>
  </si>
  <si>
    <t>декабрь</t>
  </si>
  <si>
    <t>Российская Федерация</t>
  </si>
  <si>
    <t>СТРОИТЕЛЬСТВО</t>
  </si>
  <si>
    <t xml:space="preserve">    Северо-Кавказский федеральный округ</t>
  </si>
  <si>
    <t xml:space="preserve">        Республика Дагестан</t>
  </si>
  <si>
    <t xml:space="preserve">        Республика Ингушетия</t>
  </si>
  <si>
    <t xml:space="preserve">        Кабардино-Балкарская Республика</t>
  </si>
  <si>
    <t xml:space="preserve">        Карачаево-Черкесская Республика</t>
  </si>
  <si>
    <t xml:space="preserve">        Республика Северная Осетия-Алания</t>
  </si>
  <si>
    <t xml:space="preserve">        Чеченская Республика</t>
  </si>
  <si>
    <t>в виде К</t>
  </si>
  <si>
    <t>К предыдущему месяцу</t>
  </si>
  <si>
    <t>2023</t>
  </si>
  <si>
    <t>2024</t>
  </si>
  <si>
    <t>2025</t>
  </si>
  <si>
    <t>2026</t>
  </si>
  <si>
    <t xml:space="preserve">    СТРОИТЕЛЬСТВО</t>
  </si>
  <si>
    <t>Публикация индексов за май и июнь 2026 отсутствует на момент выполнения расчета, принимается равной последнему опубликованному месяцу.</t>
  </si>
  <si>
    <t>Индекс Росстата за период с 01.07.2019 по 01.07.2026</t>
  </si>
  <si>
    <t>Индекс Росстата за период с 01.01.2021 по 01.07.2026</t>
  </si>
  <si>
    <t>Индекс Росстата за период с 01.01.2022 по 01.07.2026</t>
  </si>
  <si>
    <t>Индекс Росстата за период с 01.04.2023 по 01.07.2026</t>
  </si>
  <si>
    <t>Индекс Росстата за период с 01.04.2017 по 01.07.2026</t>
  </si>
  <si>
    <t>Индекс Росстата за период с 01.04.2024 по 01.07.2026</t>
  </si>
  <si>
    <t>Индекс Росстата за период с 01.01.2024 по 01.07.2026</t>
  </si>
  <si>
    <t>Индекс Росстата за период с 01.01.2023 по 01.07.2026</t>
  </si>
  <si>
    <t>Индекс Росстата за период с 01.01.2026 по 01.07.2026</t>
  </si>
  <si>
    <t>Наименование конструктивных решений (элементов), комплексов (видов) работ, оборудования</t>
  </si>
  <si>
    <t>1. Проектно-изыскательские работы</t>
  </si>
  <si>
    <t>Расчет прогнозных индексов-дефляторов на период выполнения работ</t>
  </si>
  <si>
    <r>
      <t>Индекс прогнозной инфляции к уровню цен на</t>
    </r>
    <r>
      <rPr>
        <sz val="12"/>
        <color rgb="FFFF0000"/>
        <rFont val="Times New Roman"/>
        <family val="1"/>
        <charset val="204"/>
      </rPr>
      <t xml:space="preserve"> </t>
    </r>
    <r>
      <rPr>
        <sz val="12"/>
        <rFont val="Times New Roman"/>
        <family val="1"/>
        <charset val="204"/>
      </rPr>
      <t>период выполнения работ</t>
    </r>
  </si>
  <si>
    <t>- затраты на проектные работы стадии "Проектная документация";</t>
  </si>
  <si>
    <t>Непредвиденные работы и затраты - 2%</t>
  </si>
  <si>
    <t xml:space="preserve">В том числе: </t>
  </si>
  <si>
    <t>непредвиденные работы и затраты</t>
  </si>
  <si>
    <t>инфляционная составляющая за период выполнения работ</t>
  </si>
  <si>
    <t>- непредвиденные работы и затраты в размере 2%;</t>
  </si>
  <si>
    <t>6.224% = 14 413 руб.</t>
  </si>
  <si>
    <t>6% = 13 895 руб.</t>
  </si>
  <si>
    <t>5% = 11 579 руб.</t>
  </si>
  <si>
    <t>1% * (1 + 0.3) [из  63.7%] = 3 011 руб.</t>
  </si>
  <si>
    <t>47% * (1 + 0.3) [из  63.7%] = 141 494 руб.</t>
  </si>
  <si>
    <t>63.7% = 147 515 руб.</t>
  </si>
  <si>
    <t>19% * (1 + 0.3) = 57 200 руб.</t>
  </si>
  <si>
    <t>5.5% * (1 + 0.3) = 16 558 руб.</t>
  </si>
  <si>
    <t>4% * (1 + 0.3) = 12 042 руб.</t>
  </si>
  <si>
    <t>0.5% = 1 158 руб.</t>
  </si>
  <si>
    <t xml:space="preserve">K3 = 1.3 (РПД 2-4,5.1-5.3)
Методика, 707/пр. Приложение 5, табл.5.1, п.2.3 (Усложняющий) </t>
  </si>
  <si>
    <t>K2 = 0.35
Методика, 707/пр. Глава IX, п.152 (Ценообразующий)</t>
  </si>
  <si>
    <t>A * Количество * Ктек * Кст * K1 * K2
1 094 000 руб. * 1 * 1.68 * 0.4 * 0.9 * 0.35 * 1.24474</t>
  </si>
  <si>
    <t>6.224% = 41 181 руб.</t>
  </si>
  <si>
    <t>6% = 39 699 руб.</t>
  </si>
  <si>
    <t>5% = 33 083 руб.</t>
  </si>
  <si>
    <t>1% * (1 + 0.3) [из  63.7%] = 8 601 руб.</t>
  </si>
  <si>
    <t>47% * (1 + 0.3) [из  63.7%] = 404 269 руб.</t>
  </si>
  <si>
    <t>63.7% = 421 472 руб.</t>
  </si>
  <si>
    <t>19% * (1 + 0.3) = 163 428 руб.</t>
  </si>
  <si>
    <t>5.5% * (1 + 0.3) = 47 308 руб.</t>
  </si>
  <si>
    <t>4% * (1 + 0.3) = 34 406 руб.</t>
  </si>
  <si>
    <t>0.5% = 3 308 руб.</t>
  </si>
  <si>
    <t>A * Количество * Ктек * Кст * K1
1 094 000 руб. * 1 * 1.68 * 0.4 * 0.9 * 1.24474</t>
  </si>
  <si>
    <t>6.247% = 135 716 руб.</t>
  </si>
  <si>
    <t>2% = 43 450 руб.</t>
  </si>
  <si>
    <t>7.5% = 162 938 руб.</t>
  </si>
  <si>
    <t>6% = 130 350 руб.</t>
  </si>
  <si>
    <t>76% * (1 + 0.3) = 2 146 432 руб.</t>
  </si>
  <si>
    <t>3% * (1 + 0.3) = 84 728 руб.</t>
  </si>
  <si>
    <t>0.5% = 10 863 руб.</t>
  </si>
  <si>
    <t xml:space="preserve">K3 = 1.3 (РПД 2-3)
Методика, 707/пр. Приложение 5, табл.5.1, п.2.3 (Усложняющий) </t>
  </si>
  <si>
    <t>K2 = 3.4, N1=12(кол-во кабелей)
Табл.3.11.1, п.2 (Ценообразующий)</t>
  </si>
  <si>
    <t>(A + B * Xзад) * Количество * Ктек * Кст * K1 * K2
(93 300 руб. + 172 руб. * 5600) * 1 * 1.68 * 0.4 * 0.9 * 3.4 * 1.24947</t>
  </si>
  <si>
    <t>100% * (1 + 0.3) = 40 655 руб.</t>
  </si>
  <si>
    <t>K1 = 0.7
Глава 1, п.10 (Ценообразующий)</t>
  </si>
  <si>
    <t xml:space="preserve">Стоимость проектирования систем связи и технологических систем с использованием кабельной системы проектируемой или существующей локальной вычислительной сети или структурированной кабельной сети здания определяется на основании параметров цены на проектные работы, приведенных в таблицах, с применением корректирующего коэффициента, если иное не указано в главе III НЗ </t>
  </si>
  <si>
    <t>Полный комплекс работ
(100%):
A * Количество * Ктек * Кст * K1
73 000 руб. * 1 * 1.53 * 0.4 * 0.7 * 1.3</t>
  </si>
  <si>
    <t>100% * (1 + 0.3) = 3 326 руб.</t>
  </si>
  <si>
    <t>Полный комплекс работ
(100%):
(A + B * (0.4 * Xмин + 0.6 * (Xмин / 2))) * Количество * Кпон * Ктек * Кст * K1
(11 900 руб. + 1 283 руб. * (0.4 * 20 + 0.6 * (20 / 2))) * 1 * 0.2 * 1.53 * 0.4 * 0.7 * 1.3</t>
  </si>
  <si>
    <t>100% * (1 + 0.3) = 2 729 руб.</t>
  </si>
  <si>
    <t>Полный комплекс работ
(100%):
(A + B * (0.4 * Xмин + 0.6 * (Xмин / 2))) * Количество * Кпон * Ктек * Кст * K1
(14 000 руб. + 2 000 руб. * (0.4 * 25 + 0.6 * (25 / 2))) * 1 * 0.1 * 1.53 * 0.4 * 0.7 * 1.3</t>
  </si>
  <si>
    <t>9.852% = 50 978 руб.</t>
  </si>
  <si>
    <t>1% = 5 174 руб.</t>
  </si>
  <si>
    <t>6% = 31 046 руб.</t>
  </si>
  <si>
    <t>9% = 46 569 руб.</t>
  </si>
  <si>
    <t>3% = 15 523 руб.</t>
  </si>
  <si>
    <t>18% * (1 + 0.3) [из  66.3%] = 121 079 руб.</t>
  </si>
  <si>
    <t>1% * (1 + 0.3) [из  66.3%] = 6 727 руб.</t>
  </si>
  <si>
    <t>2% * (1 + 0.3) [из  66.3%] = 13 453 руб.</t>
  </si>
  <si>
    <t>10% * (1 + 0.3) [из  66.3%] = 67 266 руб.</t>
  </si>
  <si>
    <t>16% * (1 + 0.3) [из  66.3%] = 107 626 руб.</t>
  </si>
  <si>
    <t>66.3% = 343 058 руб.</t>
  </si>
  <si>
    <t>12% * (1 + 0.3) = 80 720 руб.</t>
  </si>
  <si>
    <t>6% * (1 + 0.3) = 40 360 руб.</t>
  </si>
  <si>
    <t>2% * (1 + 0.3) = 13 453 руб.</t>
  </si>
  <si>
    <t>2% = 10 349 руб.</t>
  </si>
  <si>
    <t xml:space="preserve">K2 = 1.3 (РПД 2-4,5.1-5.7)
Методика, 707/пр. Приложение 5, табл.5.1, п.2.3 (Усложняющий) </t>
  </si>
  <si>
    <t>K1 = 0.7
 (Ценообразующий)</t>
  </si>
  <si>
    <t>В случае, если сметная стоимость строительно-монтажных работ по объекту проектирования составляет менее 30% включительно от сметной стоимости строительства, при определении стоимости проектных работ применяется корректирующий коэффициент (Методика, 707/пр. Глава VIII, п.140))</t>
  </si>
  <si>
    <t>(A + B * Xзад) * Количество * Ктек * Кст * K1
(25 980 руб. + 4 623 руб. * 48) * 1 * 7.1 * 0.42 * 0.7 * 1.23152</t>
  </si>
  <si>
    <t>100% * (1 + 0.3) = 21 064 руб.</t>
  </si>
  <si>
    <t>Полный комплекс работ
(100%):
(A + B * (0.4 * Xмин + 0.6 * (Xмин / 2))) * Количество * Кпон * Ктек * Кст * K1
(52 500 руб. + 3 004 руб. * (0.4 * 20 + 0.6 * (20 / 2))) * 1 * 0.4 * 1.53 * 0.4 * 0.7 * 1.3</t>
  </si>
  <si>
    <t>9.852% = 66 189 руб.</t>
  </si>
  <si>
    <t>1% = 6 718 руб.</t>
  </si>
  <si>
    <t>6% = 40 310 руб.</t>
  </si>
  <si>
    <t>9% = 60 465 руб.</t>
  </si>
  <si>
    <t>3% = 20 155 руб.</t>
  </si>
  <si>
    <t>18% * (1 + 0.3) [из  66.3%] = 157 209 руб.</t>
  </si>
  <si>
    <t>1% * (1 + 0.3) [из  66.3%] = 8 734 руб.</t>
  </si>
  <si>
    <t>2% * (1 + 0.3) [из  66.3%] = 17 468 руб.</t>
  </si>
  <si>
    <t>10% * (1 + 0.3) [из  66.3%] = 87 338 руб.</t>
  </si>
  <si>
    <t>16% * (1 + 0.3) [из  66.3%] = 139 741 руб.</t>
  </si>
  <si>
    <t>66.3% = 445 426 руб.</t>
  </si>
  <si>
    <t>12% * (1 + 0.3) = 104 806 руб.</t>
  </si>
  <si>
    <t>6% * (1 + 0.3) = 52 403 руб.</t>
  </si>
  <si>
    <t>2% * (1 + 0.3) = 17 468 руб.</t>
  </si>
  <si>
    <t>2% = 13 437 руб.</t>
  </si>
  <si>
    <t>(A + B * Xзад) * Количество * Ктек * Кст * K1
(25 980 руб. + 4 623 руб. * 64) * 1 * 7.1 * 0.42 * 0.7 * 1.23152</t>
  </si>
  <si>
    <t>Спо = а * М * (Дпо / 100) * Ктек * Кст_по  * K1 =
663 000 руб. * 12.535 * (26.00 / 100) * 1.68 * 1 * 0.4 = 1 452 046 руб.</t>
  </si>
  <si>
    <t>Смо = а * М * (Дмо / 100) * Ктек * Кст_мо  * K1 =
663 000 руб. * 12.535 * (28.00 / 100) * 1.68 * 1 * 0.4 = 1 563 742 руб.</t>
  </si>
  <si>
    <t>Сто = а * М * (Дто / 100) * Ктек * Кст_то  * K1 =
663 000 руб. * 12.535 * (23.00 / 100) * 1.68 * 0.4 * 0.4 = 513 801 руб.</t>
  </si>
  <si>
    <t>Сио = а * М * (Дио / 100) * Ктек * Кст_ио  * K1 =
663 000 руб. * 12.535 * (10.00 / 100) * 1.68 * 0.4 * 0.4 = 223 392 руб.</t>
  </si>
  <si>
    <t>Соо = а * М * (Доо / 100) * Ктек * Кст_оо  * K1 =
663 000 руб. * 12.535 * (3.00 / 100) * 1.68 * 0.3 * 0.4 = 50 263 руб.</t>
  </si>
  <si>
    <t>Сор = а * М * (Дор / 100) * Ктек * Кст_ор  * K1 =
663 000 руб. * 12.535 * (10.00 / 100) * 1.68 * 0.7 * 0.4 = 390 936 руб.</t>
  </si>
  <si>
    <t>K1 = 0.4
Глава 4, табл.5, п.1 (Ценообразующий)</t>
  </si>
  <si>
    <t xml:space="preserve">Повторное применение базовой АСУ или ее частей путем «привязки» к однотипному объекту (К1) </t>
  </si>
  <si>
    <t>С = Сор + Соо + Сио + Сто + Смо + Спо = 
390 936 + 50 263 + 223 392 + 513 801 + 1 563 742 + 1 452 046</t>
  </si>
  <si>
    <t>6.247% = 2 768 руб.</t>
  </si>
  <si>
    <t>2% = 886 руб.</t>
  </si>
  <si>
    <t>7.5% = 3 323 руб.</t>
  </si>
  <si>
    <t>6% = 2 658 руб.</t>
  </si>
  <si>
    <t>76% * (1 + 0.3) = 43 770 руб.</t>
  </si>
  <si>
    <t>3% * (1 + 0.3) = 1 728 руб.</t>
  </si>
  <si>
    <t>0.5% = 222 руб.</t>
  </si>
  <si>
    <t>(A + B * Xзад) * Количество * Ктек * Кст * K1
(13 400 руб. + 399 руб. * 150) * 1 * 1.68 * 0.4 * 0.9 * 1.24947</t>
  </si>
  <si>
    <t>6.295% = 16 175 руб.</t>
  </si>
  <si>
    <t>5% = 12 848 руб.</t>
  </si>
  <si>
    <t>7.5% = 19 272 руб.</t>
  </si>
  <si>
    <t>79% * (1 + 0.3) = 263 893 руб.</t>
  </si>
  <si>
    <t>3% * (1 + 0.3) = 10 021 руб.</t>
  </si>
  <si>
    <t>0.5% = 1 285 руб.</t>
  </si>
  <si>
    <t>(A + B * (0.4 * Xмакс + 0.6 * Xзад)) * Количество * Ктек * Кст * K1
(103 700 руб. + 62 руб. * (0.4 * 5000 + 0.6 * 5300)) * 1 * 1.68 * 0.4 * 0.9 * 1.25895</t>
  </si>
  <si>
    <t>6.2% = 761 руб.</t>
  </si>
  <si>
    <t>2% = 246 руб.</t>
  </si>
  <si>
    <t>9.5% = 1 166 руб.</t>
  </si>
  <si>
    <t>7% = 859 руб.</t>
  </si>
  <si>
    <t>73% * (1 + 0.3) = 11 651 руб.</t>
  </si>
  <si>
    <t>3% * (1 + 0.3) = 479 руб.</t>
  </si>
  <si>
    <t>0.5% = 61 руб.</t>
  </si>
  <si>
    <t>A * Количество * Ктек * Кст * K1
20 300 руб. * 1 * 1.68 * 0.4 * 0.9 * 1.24</t>
  </si>
  <si>
    <t>6.2% = 16 955 руб.</t>
  </si>
  <si>
    <t>2% = 5 469 руб.</t>
  </si>
  <si>
    <t>9.5% = 25 979 руб.</t>
  </si>
  <si>
    <t>7% = 19 142 руб.</t>
  </si>
  <si>
    <t>73% * (1 + 0.3) = 259 517 руб.</t>
  </si>
  <si>
    <t>3% * (1 + 0.3) = 10 665 руб.</t>
  </si>
  <si>
    <t>0.5% = 1 367 руб.</t>
  </si>
  <si>
    <t>K2 = 1.1
Табл.3.5.1, п.5 (Ценообразующий)</t>
  </si>
  <si>
    <t>(A + B * Xзад) * Количество * Ктек * Кст * K1 * K2
(122 600 руб. + 641 руб. * 450) * 1 * 1.68 * 0.4 * 0.9 * 1.1 * 1.24</t>
  </si>
  <si>
    <t>6.2% = 11 667 руб.</t>
  </si>
  <si>
    <t>2% = 3 763 руб.</t>
  </si>
  <si>
    <t>9.5% = 17 877 руб.</t>
  </si>
  <si>
    <t>7% = 13 172 руб.</t>
  </si>
  <si>
    <t>73% * (1 + 0.3) = 178 578 руб.</t>
  </si>
  <si>
    <t>3% * (1 + 0.3) = 7 339 руб.</t>
  </si>
  <si>
    <t>0.5% = 941 руб.</t>
  </si>
  <si>
    <t>(A + B * Xзад) * Количество * Ктек * Кст * K1 * K2
(122 600 руб. + 641 руб. * 250) * 1 * 1.68 * 0.4 * 0.9 * 1.1 * 1.24</t>
  </si>
  <si>
    <t>6.247% = 1 995 руб.</t>
  </si>
  <si>
    <t>5% = 1 597 руб.</t>
  </si>
  <si>
    <t>6% = 1 916 руб.</t>
  </si>
  <si>
    <t>4.5% = 1 437 руб.</t>
  </si>
  <si>
    <t>77% * (1 + 0.3) = 31 965 руб.</t>
  </si>
  <si>
    <t>2% * (1 + 0.3) = 830 руб.</t>
  </si>
  <si>
    <t>0.5% = 160 руб.</t>
  </si>
  <si>
    <t>A * Количество * Ктек * Кст * K1
52 800 руб. * 1 * 1.68 * 0.4 * 0.9 * 1.24947</t>
  </si>
  <si>
    <t>6.216% = 10 074 руб.</t>
  </si>
  <si>
    <t>5% = 8 103 руб.</t>
  </si>
  <si>
    <t>7.5% = 12 155 руб.</t>
  </si>
  <si>
    <t>74% * (1 + 0.3) = 155 904 руб.</t>
  </si>
  <si>
    <t>3% * (1 + 0.3) = 6 320 руб.</t>
  </si>
  <si>
    <t>0.5% = 810 руб.</t>
  </si>
  <si>
    <t>K2 = 1.1
Табл.3.4.1, п.6 (Ценообразующий)</t>
  </si>
  <si>
    <t>(A + B * Xзад) * Количество * Ктек * Кст * K1 * K2
(30 800 руб. + 608 руб. * 350) * 1 * 1.68 * 0.4 * 0.9 * 1.1 * 1.24316</t>
  </si>
  <si>
    <t>6.216% = 7 559 руб.</t>
  </si>
  <si>
    <t>5% = 6 081 руб.</t>
  </si>
  <si>
    <t>7.5% = 9 121 руб.</t>
  </si>
  <si>
    <t>74% * (1 + 0.3) = 116 992 руб.</t>
  </si>
  <si>
    <t>3% * (1 + 0.3) = 4 743 руб.</t>
  </si>
  <si>
    <t>0.5% = 608 руб.</t>
  </si>
  <si>
    <t>(A + B * Xзад) * Количество * Ктек * Кст * K1 * K2
(30 800 руб. + 608 руб. * 250) * 1 * 1.68 * 0.4 * 0.9 * 1.1 * 1.24316</t>
  </si>
  <si>
    <t>6.247% = 2 657 руб.</t>
  </si>
  <si>
    <t>2% = 851 руб.</t>
  </si>
  <si>
    <t>7.5% = 3 190 руб.</t>
  </si>
  <si>
    <t>6% = 2 552 руб.</t>
  </si>
  <si>
    <t>76% * (1 + 0.3) = 42 019 руб.</t>
  </si>
  <si>
    <t>3% * (1 + 0.3) = 1 659 руб.</t>
  </si>
  <si>
    <t>0.5% = 213 руб.</t>
  </si>
  <si>
    <t>K2 = 0.8
Табл.3.11.1, п.3 (Ценообразующий)</t>
  </si>
  <si>
    <t>(A + B * Xзад) * Количество * Ктек * Кст * K1 * K2
(17 700 руб. + 234 руб. * 300) * 1 * 1.68 * 0.4 * 0.9 * 0.8 * 1.24947</t>
  </si>
  <si>
    <t>6.255% = 7 617 руб.</t>
  </si>
  <si>
    <t>0.5% = 609 руб.</t>
  </si>
  <si>
    <t>2% = 2 435 руб.</t>
  </si>
  <si>
    <t>5% = 6 089 руб.</t>
  </si>
  <si>
    <t>7% = 8 524 руб.</t>
  </si>
  <si>
    <t>6% * (1 + 0.3) [из  70.85%] = 9 498 руб.</t>
  </si>
  <si>
    <t>7% * (1 + 0.3) [из  70.85%] = 11 081 руб.</t>
  </si>
  <si>
    <t>3.5% * (1 + 0.3) [из  70.85%] = 5 541 руб.</t>
  </si>
  <si>
    <t>34.5% * (1 + 0.3) [из  70.85%] = 54 614 руб.</t>
  </si>
  <si>
    <t>70.85% = 86 274 руб.</t>
  </si>
  <si>
    <t>13% * (1 + 0.3) = 20 579 руб.</t>
  </si>
  <si>
    <t>10% * (1 + 0.3) = 15 830 руб.</t>
  </si>
  <si>
    <t>2% * (1 + 0.3) = 3 166 руб.</t>
  </si>
  <si>
    <t xml:space="preserve">При проектировании с внесением в привязываемую повторно применяемую проектную документацию изменений в подземную часть здания (сооружения) размер корректирующего коэффициента принимается </t>
  </si>
  <si>
    <t>(A + B * Xзад) * Количество * Ктек * Кст * K1 * K2
(473 500 руб. + 2 666 руб. * 200) * 1 * 1.68 * 0.4 * 0.9 * 0.2 * 1.25105</t>
  </si>
  <si>
    <t>11.7% = 6 270 руб.</t>
  </si>
  <si>
    <t>2% * (1 + 0.3) = 1 393 руб.</t>
  </si>
  <si>
    <t>11% * (1 + 0.3) = 7 663 руб.</t>
  </si>
  <si>
    <t>3% * (1 + 0.3) = 2 090 руб.</t>
  </si>
  <si>
    <t>8% * (1 + 0.3) = 5 573 руб.</t>
  </si>
  <si>
    <t>41% * (1 + 0.3) = 28 564 руб.</t>
  </si>
  <si>
    <t>16% * (1 + 0.3) = 11 147 руб.</t>
  </si>
  <si>
    <t xml:space="preserve">K2 = 1.3 (РПД 1-8)
Методика, 707/пр. Приложение 5, табл.5.1, п.2.3 (Усложняющий) </t>
  </si>
  <si>
    <t>K1 = 0.2
Методика, 707/пр. Глава IX, п.152 (Ценообразующий)</t>
  </si>
  <si>
    <t>(A + B * (0.4 * Xмин + 0.6 * (Xмин / 2))) * Количество * Кпон * Ктек * Кст * K1
(344 400 руб. + 69 600 руб. * (0.4 * 1 + 0.6 * (1 / 2))) * 1 * 0.24 * 7.1 * 0.4 * 0.2 * 1.3</t>
  </si>
  <si>
    <t>12.417% = 10 267 руб.</t>
  </si>
  <si>
    <t>0.5% = 413 руб.</t>
  </si>
  <si>
    <t>4% = 3 307 руб.</t>
  </si>
  <si>
    <t>6% = 4 961 руб.</t>
  </si>
  <si>
    <t>35% * (1 + 0.3) = 37 620 руб.</t>
  </si>
  <si>
    <t>14.5% * (1 + 0.3) = 15 586 руб.</t>
  </si>
  <si>
    <t>8% * (1 + 0.3) = 8 599 руб.</t>
  </si>
  <si>
    <t>12% * (1 + 0.3) = 12 898 руб.</t>
  </si>
  <si>
    <t>3% * (1 + 0.3) = 3 225 руб.</t>
  </si>
  <si>
    <t>1% = 827 руб.</t>
  </si>
  <si>
    <t xml:space="preserve">K2 = 1.3 (РПД 2-6)
Методика, 707/пр. Приложение 5, табл.5.1, п.2.3 (Усложняющий) </t>
  </si>
  <si>
    <t>(A + B * Xзад) * Количество * Ктек * Кст * K1
(626 300 руб. + 25 руб. * 7500) * 1 * 1.27 * 0.4 * 0.2 * 1.24167</t>
  </si>
  <si>
    <t>6.168% = 9 317 руб.</t>
  </si>
  <si>
    <t>1% = 1 511 руб.</t>
  </si>
  <si>
    <t>5% = 7 553 руб.</t>
  </si>
  <si>
    <t>9% = 13 595 руб.</t>
  </si>
  <si>
    <t>20% * (1 + 0.3) = 39 276 руб.</t>
  </si>
  <si>
    <t>7% * (1 + 0.3) [из  39%] = 13 747 руб.</t>
  </si>
  <si>
    <t>3% * (1 + 0.3) [из  39%] = 5 891 руб.</t>
  </si>
  <si>
    <t>5% * (1 + 0.3) [из  39%] = 9 819 руб.</t>
  </si>
  <si>
    <t>39% = 58 914 руб.</t>
  </si>
  <si>
    <t>13% * (1 + 0.3) = 25 529 руб.</t>
  </si>
  <si>
    <t>8% * (1 + 0.3) = 15 710 руб.</t>
  </si>
  <si>
    <t>3% * (1 + 0.3) = 5 891 руб.</t>
  </si>
  <si>
    <t xml:space="preserve">K2 = 1.3 (РПД 2-4,5.1-5.6,6)
Методика, 707/пр. Приложение 5, табл.5.1, п.2.3 (Усложняющий) </t>
  </si>
  <si>
    <t>(A + B * (0.4 * Xмин + 0.6 * Xзад)) * Количество * Ктек * Кст * K1
(1 349 200 руб. + 299 689 руб. * (0.4 * 0.5 + 0.6 * 0.432)) * 1 * 1.27 * 0.4 * 0.2 * 1.23368</t>
  </si>
  <si>
    <t>НЗ 11.17_0-3-3.12-6-1 НЗ №53/пр Строительство, реконструкция и капитальный ремонт объектов водоснабжения, водоотведения и водоочистки. 2025 г. Таблица 3.12. Сооружение очистки сточных вод, сооружение очистки воды для хозяйственно-бытовых целей, п.6
A = 1 349.2 тыс.руб; B = 299.689 тыс.руб;
Xмин = 0.5;
Xзад = 0.005*60*60*24/1000 = 0.432(тысяч кубических метров/сутки);
Количество = 1</t>
  </si>
  <si>
    <t>7.474% = 6 938 руб.</t>
  </si>
  <si>
    <t>2% = 1 856 руб.</t>
  </si>
  <si>
    <t>4% = 3 713 руб.</t>
  </si>
  <si>
    <t>6% = 5 569 руб.</t>
  </si>
  <si>
    <t>7% * (1 + 0.3) [из  31.2%] = 8 447 руб.</t>
  </si>
  <si>
    <t>2% * (1 + 0.3) [из  31.2%] = 2 413 руб.</t>
  </si>
  <si>
    <t>1% * (1 + 0.3) [из  31.2%] = 1 207 руб.</t>
  </si>
  <si>
    <t>14% * (1 + 0.3) [из  31.2%] = 16 894 руб.</t>
  </si>
  <si>
    <t>31.2% = 28 961 руб.</t>
  </si>
  <si>
    <t>37% * (1 + 0.3) = 44 648 руб.</t>
  </si>
  <si>
    <t>14% * (1 + 0.3) = 16 894 руб.</t>
  </si>
  <si>
    <t>2% * (1 + 0.3) = 2 413 руб.</t>
  </si>
  <si>
    <t>1% = 928 руб.</t>
  </si>
  <si>
    <t xml:space="preserve">K2 = 1.3 (РПД 2-4,5.1-5.4)
Методика, 707/пр. Приложение 5, табл.5.1, п.2.3 (Усложняющий) </t>
  </si>
  <si>
    <t>(A + B * Xзад) * Количество * Ктек * Кст * K1
(757 900 руб. + 26 руб. * 18) * 1 * 1.53 * 0.4 * 0.2 * 1.24574</t>
  </si>
  <si>
    <t xml:space="preserve">K4 = 1.3 (РПД 2-4,5.1-5.6)
Методика, 707/пр. Приложение 5, табл.5.1, п.2.3 (Усложняющий) </t>
  </si>
  <si>
    <t>K1 = 4.7, N1=8(кол-во труб)
Глава 2, п.2.1.34 (Ценообразующий)</t>
  </si>
  <si>
    <t>17.37% = 1 695 руб.</t>
  </si>
  <si>
    <t>2% = 195 руб.</t>
  </si>
  <si>
    <t>6% = 586 руб.</t>
  </si>
  <si>
    <t>8% = 781 руб.</t>
  </si>
  <si>
    <t>3% * (1 + 0.3) [из  89.7%] = 381 руб.</t>
  </si>
  <si>
    <t>4% * (1 + 0.3) [из  89.7%] = 508 руб.</t>
  </si>
  <si>
    <t>2% * (1 + 0.3) [из  89.7%] = 254 руб.</t>
  </si>
  <si>
    <t>21% * (1 + 0.3) [из  89.7%] = 2 665 руб.</t>
  </si>
  <si>
    <t>36% * (1 + 0.3) [из  89.7%] = 4 568 руб.</t>
  </si>
  <si>
    <t>89.7% = 8 755 руб.</t>
  </si>
  <si>
    <t>1% = 98 руб.</t>
  </si>
  <si>
    <t xml:space="preserve">K2 = 1.3 (РПД 2.1-2.6)
Методика, 707/пр. Приложение 5, табл.5.1, п.2.3 (Усложняющий) </t>
  </si>
  <si>
    <t>(A + B * (0.4 * Xмин + 0.6 * Xзад)) * Количество * Ктек * Кст * K1
(72 700 руб. + 16 руб. * (0.4 * 500 + 0.6 * 400)) * 1 * 1.53 * 0.4 * 0.2 * 1.2407</t>
  </si>
  <si>
    <t>7.474% = 13 885 руб.</t>
  </si>
  <si>
    <t>2% = 3 715 руб.</t>
  </si>
  <si>
    <t>4% = 7 431 руб.</t>
  </si>
  <si>
    <t>6% = 11 146 руб.</t>
  </si>
  <si>
    <t>8% * (1 + 0.3) [из  37.7%] = 19 320 руб.</t>
  </si>
  <si>
    <t>6% * (1 + 0.3) [из  37.7%] = 14 490 руб.</t>
  </si>
  <si>
    <t>4% * (1 + 0.3) [из  37.7%] = 9 660 руб.</t>
  </si>
  <si>
    <t>5% * (1 + 0.3) [из  37.7%] = 12 075 руб.</t>
  </si>
  <si>
    <t>37.7% = 70 037 руб.</t>
  </si>
  <si>
    <t>30% * (1 + 0.3) = 72 452 руб.</t>
  </si>
  <si>
    <t>16% * (1 + 0.3) = 38 641 руб.</t>
  </si>
  <si>
    <t>2% * (1 + 0.3) = 4 830 руб.</t>
  </si>
  <si>
    <t>1% = 1 858 руб.</t>
  </si>
  <si>
    <t xml:space="preserve">K4 = 1.3 (РПД 2-4,5.1-5.5)
Методика, 707/пр. Приложение 5, табл.5.1, п.2.3 (Усложняющий) </t>
  </si>
  <si>
    <t>K3 = 0.8
Табл.3.3.1, п.3 (Ценообразующий)</t>
  </si>
  <si>
    <t>K2 = 0.2
Глава 2, п.15 (Ценообразующий)</t>
  </si>
  <si>
    <t>K1 = 4.5, N1=8(кол-во послед. аналог. объектов)
Глава 2, п.14 (Ценообразующий)</t>
  </si>
  <si>
    <t>A * Количество * Ктек * Кст * K1 * K2 * K3
421 600 руб. * 1 * 1.53 * 0.4 * 4.5 * 0.2 * 0.8 * 1.24574</t>
  </si>
  <si>
    <t>6.389% = 22 193 руб.</t>
  </si>
  <si>
    <t>6.5% = 22 579 руб.</t>
  </si>
  <si>
    <t>1% * (1 + 0.3) [из  67.6%] = 4 516 руб.</t>
  </si>
  <si>
    <t>50% * (1 + 0.3) [из  67.6%] = 225 788 руб.</t>
  </si>
  <si>
    <t>67.6% = 234 820 руб.</t>
  </si>
  <si>
    <t>25% * (1 + 0.3) = 112 894 руб.</t>
  </si>
  <si>
    <t>8% * (1 + 0.3) = 36 126 руб.</t>
  </si>
  <si>
    <t>3% * (1 + 0.3) = 13 547 руб.</t>
  </si>
  <si>
    <t>0.5% = 1 737 руб.</t>
  </si>
  <si>
    <t>A * Количество * Ктек * Кст * K1 * K2
1 094 000 руб. * 1 * 1.68 * 0.6 * 0.9 * 0.35 * 1.27789</t>
  </si>
  <si>
    <t>6.389% = 63 409 руб.</t>
  </si>
  <si>
    <t>6.5% = 64 511 руб.</t>
  </si>
  <si>
    <t>1% * (1 + 0.3) [из  67.6%] = 12 902 руб.</t>
  </si>
  <si>
    <t>50% * (1 + 0.3) [из  67.6%] = 645 110 руб.</t>
  </si>
  <si>
    <t>67.6% = 670 914 руб.</t>
  </si>
  <si>
    <t>25% * (1 + 0.3) = 322 555 руб.</t>
  </si>
  <si>
    <t>8% * (1 + 0.3) = 103 218 руб.</t>
  </si>
  <si>
    <t>3% * (1 + 0.3) = 38 707 руб.</t>
  </si>
  <si>
    <t>0.5% = 4 962 руб.</t>
  </si>
  <si>
    <t>A * Количество * Ктек * Кст * K1
1 094 000 руб. * 1 * 1.68 * 0.6 * 0.9 * 1.27789</t>
  </si>
  <si>
    <t>6.445% = 210 027 руб.</t>
  </si>
  <si>
    <t>3% = 97 763 руб.</t>
  </si>
  <si>
    <t>89.5% * (1 + 0.3) = 3 791 559 руб.</t>
  </si>
  <si>
    <t>2% * (1 + 0.3) = 84 728 руб.</t>
  </si>
  <si>
    <t>0.5% = 16 294 руб.</t>
  </si>
  <si>
    <t>(A + B * Xзад) * Количество * Ктек * Кст * K1 * K2
(93 300 руб. + 172 руб. * 5600) * 1 * 1.68 * 0.6 * 0.9 * 3.4 * 1.28895</t>
  </si>
  <si>
    <t>100% * (1 + 0.3) = 60 983 руб.</t>
  </si>
  <si>
    <t>Полный комплекс работ
(100%):
A * Количество * Ктек * Кст * K1
73 000 руб. * 1 * 1.53 * 0.6 * 0.7 * 1.3</t>
  </si>
  <si>
    <t>100% * (1 + 0.3) = 4 989 руб.</t>
  </si>
  <si>
    <t>Полный комплекс работ
(100%):
(A + B * (0.4 * Xмин + 0.6 * (Xмин / 2))) * Количество * Кпон * Ктек * Кст * K1
(11 900 руб. + 1 283 руб. * (0.4 * 20 + 0.6 * (20 / 2))) * 1 * 0.2 * 1.53 * 0.6 * 0.7 * 1.3</t>
  </si>
  <si>
    <t>100% * (1 + 0.3) = 4 093 руб.</t>
  </si>
  <si>
    <t>Полный комплекс работ
(100%):
(A + B * (0.4 * Xмин + 0.6 * (Xмин / 2))) * Количество * Кпон * Ктек * Кст * K1
(14 000 руб. + 2 000 руб. * (0.4 * 25 + 0.6 * (25 / 2))) * 1 * 0.1 * 1.53 * 0.6 * 0.7 * 1.3</t>
  </si>
  <si>
    <t>10.113% = 72 262 руб.</t>
  </si>
  <si>
    <t>1% = 7 146 руб.</t>
  </si>
  <si>
    <t>10% = 71 455 руб.</t>
  </si>
  <si>
    <t>20% * (1 + 0.3) [из  74.1%] = 185 783 руб.</t>
  </si>
  <si>
    <t>1% * (1 + 0.3) [из  74.1%] = 9 289 руб.</t>
  </si>
  <si>
    <t>2% * (1 + 0.3) [из  74.1%] = 18 578 руб.</t>
  </si>
  <si>
    <t>11% * (1 + 0.3) [из  74.1%] = 102 181 руб.</t>
  </si>
  <si>
    <t>3% * (1 + 0.3) [из  74.1%] = 27 867 руб.</t>
  </si>
  <si>
    <t>17% * (1 + 0.3) [из  74.1%] = 157 916 руб.</t>
  </si>
  <si>
    <t>74.1% = 529 482 руб.</t>
  </si>
  <si>
    <t>16% * (1 + 0.3) = 148 626 руб.</t>
  </si>
  <si>
    <t>6% * (1 + 0.3) = 55 735 руб.</t>
  </si>
  <si>
    <t>2% * (1 + 0.3) = 18 578 руб.</t>
  </si>
  <si>
    <t xml:space="preserve">K2 = 1.3 (РПД 1-3,4.1-4.7)
Методика, 707/пр. Приложение 5, табл.5.1, п.2.3 (Усложняющий) </t>
  </si>
  <si>
    <t>(A + B * Xзад) * Количество * Ктек * Кст * K1
(25 980 руб. + 4 623 руб. * 48) * 1 * 7.1 * 0.58 * 0.7 * 1.26413</t>
  </si>
  <si>
    <t>100% * (1 + 0.3) = 31 596 руб.</t>
  </si>
  <si>
    <t>Полный комплекс работ
(100%):
(A + B * (0.4 * Xмин + 0.6 * (Xмин / 2))) * Количество * Кпон * Ктек * Кст * K1
(52 500 руб. + 3 004 руб. * (0.4 * 20 + 0.6 * (20 / 2))) * 1 * 0.4 * 1.53 * 0.6 * 0.7 * 1.3</t>
  </si>
  <si>
    <t>10.113% = 93 825 руб.</t>
  </si>
  <si>
    <t>1% = 9 278 руб.</t>
  </si>
  <si>
    <t>10% = 92 777 руб.</t>
  </si>
  <si>
    <t>20% * (1 + 0.3) [из  74.1%] = 241 220 руб.</t>
  </si>
  <si>
    <t>1% * (1 + 0.3) [из  74.1%] = 12 061 руб.</t>
  </si>
  <si>
    <t>2% * (1 + 0.3) [из  74.1%] = 24 122 руб.</t>
  </si>
  <si>
    <t>11% * (1 + 0.3) [из  74.1%] = 132 671 руб.</t>
  </si>
  <si>
    <t>3% * (1 + 0.3) [из  74.1%] = 36 183 руб.</t>
  </si>
  <si>
    <t>17% * (1 + 0.3) [из  74.1%] = 205 037 руб.</t>
  </si>
  <si>
    <t>74.1% = 687 478 руб.</t>
  </si>
  <si>
    <t>16% * (1 + 0.3) = 192 976 руб.</t>
  </si>
  <si>
    <t>6% * (1 + 0.3) = 72 366 руб.</t>
  </si>
  <si>
    <t>2% * (1 + 0.3) = 24 122 руб.</t>
  </si>
  <si>
    <t>(A + B * Xзад) * Количество * Ктек * Кст * K1
(25 980 руб. + 4 623 руб. * 64) * 1 * 7.1 * 0.58 * 0.7 * 1.26413</t>
  </si>
  <si>
    <t>Сто = а * М * (Дто / 100) * Ктек * Кст_то  * K1 =
663 000 руб. * 12.535 * (23.00 / 100) * 1.68 * 0.6 * 0.4 = 770 702 руб.</t>
  </si>
  <si>
    <t>Сио = а * М * (Дио / 100) * Ктек * Кст_ио  * K1 =
663 000 руб. * 12.535 * (10.00 / 100) * 1.68 * 0.6 * 0.4 = 335 088 руб.</t>
  </si>
  <si>
    <t>Соо = а * М * (Доо / 100) * Ктек * Кст_оо  * K1 =
663 000 руб. * 12.535 * (3.00 / 100) * 1.68 * 0.7 * 0.4 = 117 281 руб.</t>
  </si>
  <si>
    <t>Сор = а * М * (Дор / 100) * Ктек * Кст_ор  * K1 =
663 000 руб. * 12.535 * (10.00 / 100) * 1.68 * 0.3 * 0.4 = 167 544 руб.</t>
  </si>
  <si>
    <t>С = Сор + Соо + Сио + Сто + Смо + Спо = 
167 544 + 117 281 + 335 088 + 770 702 + 0 + 0</t>
  </si>
  <si>
    <t>6.445% = 4 283 руб.</t>
  </si>
  <si>
    <t>3% = 1 994 руб.</t>
  </si>
  <si>
    <t>89.5% * (1 + 0.3) = 77 317 руб.</t>
  </si>
  <si>
    <t>2% * (1 + 0.3) = 1 728 руб.</t>
  </si>
  <si>
    <t>0.5% = 332 руб.</t>
  </si>
  <si>
    <t>(A + B * Xзад) * Количество * Ктек * Кст * K1
(13 400 руб. + 399 руб. * 150) * 1 * 1.68 * 0.6 * 0.9 * 1.28895</t>
  </si>
  <si>
    <t>6.492% = 25 022 руб.</t>
  </si>
  <si>
    <t>92.5% * (1 + 0.3) = 463 483 руб.</t>
  </si>
  <si>
    <t>2% * (1 + 0.3) = 10 021 руб.</t>
  </si>
  <si>
    <t>0.5% = 1 927 руб.</t>
  </si>
  <si>
    <t>(A + B * (0.4 * Xмакс + 0.6 * Xзад)) * Количество * Ктек * Кст * K1
(103 700 руб. + 62 руб. * (0.4 * 5000 + 0.6 * 5300)) * 1 * 1.68 * 0.6 * 0.9 * 1.29842</t>
  </si>
  <si>
    <t>6.405% = 1 180 руб.</t>
  </si>
  <si>
    <t>5.5% = 1 013 руб.</t>
  </si>
  <si>
    <t>86.5% * (1 + 0.3) = 20 709 руб.</t>
  </si>
  <si>
    <t>2.5% * (1 + 0.3) = 599 руб.</t>
  </si>
  <si>
    <t>0.5% = 92 руб.</t>
  </si>
  <si>
    <t>A * Количество * Ктек * Кст * K1
20 300 руб. * 1 * 1.68 * 0.6 * 0.9 * 1.28105</t>
  </si>
  <si>
    <t>6.405% = 26 273 руб.</t>
  </si>
  <si>
    <t>5.5% = 22 561 руб.</t>
  </si>
  <si>
    <t>86.5% * (1 + 0.3) = 461 264 руб.</t>
  </si>
  <si>
    <t>2.5% * (1 + 0.3) = 13 331 руб.</t>
  </si>
  <si>
    <t>0.5% = 2 051 руб.</t>
  </si>
  <si>
    <t>(A + B * Xзад) * Количество * Ктек * Кст * K1 * K2
(122 600 руб. + 641 руб. * 450) * 1 * 1.68 * 0.6 * 0.9 * 1.1 * 1.28105</t>
  </si>
  <si>
    <t>6.405% = 18 079 руб.</t>
  </si>
  <si>
    <t>5.5% = 15 524 руб.</t>
  </si>
  <si>
    <t>86.5% * (1 + 0.3) = 317 403 руб.</t>
  </si>
  <si>
    <t>2.5% * (1 + 0.3) = 9 174 руб.</t>
  </si>
  <si>
    <t>0.5% = 1 411 руб.</t>
  </si>
  <si>
    <t>(A + B * Xзад) * Количество * Ктек * Кст * K1 * K2
(122 600 руб. + 641 руб. * 250) * 1 * 1.68 * 0.6 * 0.9 * 1.1 * 1.28105</t>
  </si>
  <si>
    <t>6.413% = 3 072 руб.</t>
  </si>
  <si>
    <t>5% = 2 395 руб.</t>
  </si>
  <si>
    <t>87.5% * (1 + 0.3) = 54 486 руб.</t>
  </si>
  <si>
    <t>2% * (1 + 0.3) = 1 245 руб.</t>
  </si>
  <si>
    <t>0.5% = 240 руб.</t>
  </si>
  <si>
    <t>A * Количество * Ктек * Кст * K1
52 800 руб. * 1 * 1.68 * 0.6 * 0.9 * 1.28263</t>
  </si>
  <si>
    <t>6.413% = 15 590 руб.</t>
  </si>
  <si>
    <t>5% = 12 155 руб.</t>
  </si>
  <si>
    <t>87.5% * (1 + 0.3) = 276 519 руб.</t>
  </si>
  <si>
    <t>2% * (1 + 0.3) = 6 320 руб.</t>
  </si>
  <si>
    <t>0.5% = 1 215 руб.</t>
  </si>
  <si>
    <t>(A + B * Xзад) * Количество * Ктек * Кст * K1 * K2
(30 800 руб. + 608 руб. * 350) * 1 * 1.68 * 0.6 * 0.9 * 1.1 * 1.28263</t>
  </si>
  <si>
    <t>6.413% = 11 699 руб.</t>
  </si>
  <si>
    <t>5% = 9 121 руб.</t>
  </si>
  <si>
    <t>87.5% * (1 + 0.3) = 207 502 руб.</t>
  </si>
  <si>
    <t>2% * (1 + 0.3) = 4 743 руб.</t>
  </si>
  <si>
    <t>0.5% = 912 руб.</t>
  </si>
  <si>
    <t>(A + B * Xзад) * Количество * Ктек * Кст * K1 * K2
(30 800 руб. + 608 руб. * 250) * 1 * 1.68 * 0.6 * 0.9 * 1.1 * 1.28263</t>
  </si>
  <si>
    <t>6.445% = 4 112 руб.</t>
  </si>
  <si>
    <t>3% = 1 914 руб.</t>
  </si>
  <si>
    <t>89.5% * (1 + 0.3) = 74 225 руб.</t>
  </si>
  <si>
    <t>2% * (1 + 0.3) = 1 659 руб.</t>
  </si>
  <si>
    <t>0.5% = 319 руб.</t>
  </si>
  <si>
    <t>(A + B * Xзад) * Количество * Ктек * Кст * K1 * K2
(17 700 руб. + 234 руб. * 300) * 1 * 1.68 * 0.6 * 0.9 * 0.8 * 1.28895</t>
  </si>
  <si>
    <t>6.429% = 11 743 руб.</t>
  </si>
  <si>
    <t>4% = 7 306 руб.</t>
  </si>
  <si>
    <t>8.5% * (1 + 0.3) [из  79.95%] = 20 183 руб.</t>
  </si>
  <si>
    <t>11% * (1 + 0.3) [из  79.95%] = 26 120 руб.</t>
  </si>
  <si>
    <t>4.5% * (1 + 0.3) [из  79.95%] = 10 685 руб.</t>
  </si>
  <si>
    <t>33% * (1 + 0.3) [из  79.95%] = 78 359 руб.</t>
  </si>
  <si>
    <t>79.95% = 146 033 руб.</t>
  </si>
  <si>
    <t>15% * (1 + 0.3) = 35 618 руб.</t>
  </si>
  <si>
    <t>13% * (1 + 0.3) = 30 869 руб.</t>
  </si>
  <si>
    <t>1% * (1 + 0.3) = 2 375 руб.</t>
  </si>
  <si>
    <t>0.5% = 913 руб.</t>
  </si>
  <si>
    <t>(A + B * Xзад) * Количество * Ктек * Кст * K1 * K2
(473 500 руб. + 2 666 руб. * 200) * 1 * 1.68 * 0.6 * 0.9 * 0.2 * 1.28579</t>
  </si>
  <si>
    <t>2% * (1 + 0.3) = 2 090 руб.</t>
  </si>
  <si>
    <t>12% * (1 + 0.3) = 12 540 руб.</t>
  </si>
  <si>
    <t>3% * (1 + 0.3) = 3 135 руб.</t>
  </si>
  <si>
    <t>8% * (1 + 0.3) = 8 360 руб.</t>
  </si>
  <si>
    <t>50% * (1 + 0.3) = 52 250 руб.</t>
  </si>
  <si>
    <t>17% * (1 + 0.3) = 17 765 руб.</t>
  </si>
  <si>
    <t xml:space="preserve">K2 = 1.3 (РПД 1-7)
Методика, 707/пр. Приложение 5, табл.5.1, п.2.3 (Усложняющий) </t>
  </si>
  <si>
    <t>(A + B * (0.4 * Xмин + 0.6 * (Xмин / 2))) * Количество * Кпон * Ктек * Кст * K1
(344 400 руб. + 69 600 руб. * (0.4 * 1 + 0.6 * (1 / 2))) * 1 * 0.24 * 7.1 * 0.6 * 0.2 * 1.3</t>
  </si>
  <si>
    <t>12.956% = 16 068 руб.</t>
  </si>
  <si>
    <t>39.7% * (1 + 0.3) = 64 008 руб.</t>
  </si>
  <si>
    <t>20.59% * (1 + 0.3) = 33 197 руб.</t>
  </si>
  <si>
    <t>11.36% * (1 + 0.3) = 18 316 руб.</t>
  </si>
  <si>
    <t>17.04% * (1 + 0.3) = 27 474 руб.</t>
  </si>
  <si>
    <t>1.31% = 1 625 руб.</t>
  </si>
  <si>
    <t xml:space="preserve">K2 = 1.3 (РПД 2-5)
Методика, 707/пр. Приложение 5, табл.5.1, п.2.3 (Усложняющий) </t>
  </si>
  <si>
    <t>(A + B * Xзад) * Количество * Ктек * Кст * K1
(626 300 руб. + 25 руб. * 7500) * 1 * 1.27 * 0.6 * 0.2 * 1.29563</t>
  </si>
  <si>
    <t>9.1% = 20 620 руб.</t>
  </si>
  <si>
    <t>25% * (1 + 0.3) = 73 642 руб.</t>
  </si>
  <si>
    <t>8% * (1 + 0.3) [из  46.8%] = 23 565 руб.</t>
  </si>
  <si>
    <t>4% * (1 + 0.3) [из  46.8%] = 11 783 руб.</t>
  </si>
  <si>
    <t>6% * (1 + 0.3) [из  46.8%] = 17 674 руб.</t>
  </si>
  <si>
    <t>46.8% = 106 045 руб.</t>
  </si>
  <si>
    <t>18% * (1 + 0.3) = 53 022 руб.</t>
  </si>
  <si>
    <t>10% * (1 + 0.3) = 29 457 руб.</t>
  </si>
  <si>
    <t>4% * (1 + 0.3) = 11 783 руб.</t>
  </si>
  <si>
    <t xml:space="preserve">K2 = 1.3 (РПД 1-3,4.1-4.6,5)
Методика, 707/пр. Приложение 5, табл.5.1, п.2.3 (Усложняющий) </t>
  </si>
  <si>
    <t>(A + B * (0.4 * Xмин + 0.6 * Xзад)) * Количество * Ктек * Кст * K1
(1 349 200 руб. + 299 689 руб. * (0.4 * 0.5 + 0.6 * 0.432)) * 1 * 1.27 * 0.6 * 0.2 * 1.3</t>
  </si>
  <si>
    <t>9.1% = 12 671 руб.</t>
  </si>
  <si>
    <t>8% * (1 + 0.3) [из  41.6%] = 14 481 руб.</t>
  </si>
  <si>
    <t>4% * (1 + 0.3) [из  41.6%] = 7 240 руб.</t>
  </si>
  <si>
    <t>2% * (1 + 0.3) [из  41.6%] = 3 620 руб.</t>
  </si>
  <si>
    <t>18% * (1 + 0.3) [из  41.6%] = 32 581 руб.</t>
  </si>
  <si>
    <t>41.6% = 57 922 руб.</t>
  </si>
  <si>
    <t>43% * (1 + 0.3) = 77 833 руб.</t>
  </si>
  <si>
    <t>18% * (1 + 0.3) = 32 581 руб.</t>
  </si>
  <si>
    <t xml:space="preserve">K2 = 1.3 (РПД 1-2,3.1-3.4)
Методика, 707/пр. Приложение 5, табл.5.1, п.2.3 (Усложняющий) </t>
  </si>
  <si>
    <t>(A + B * Xзад) * Количество * Ктек * Кст * K1
(757 900 руб. + 26 руб. * 18) * 1 * 1.53 * 0.6 * 0.2 * 1.3</t>
  </si>
  <si>
    <t>19.5% = 2 855 руб.</t>
  </si>
  <si>
    <t>4% * (1 + 0.3) [из  110.5%] = 761 руб.</t>
  </si>
  <si>
    <t>5% * (1 + 0.3) [из  110.5%] = 952 руб.</t>
  </si>
  <si>
    <t>3% * (1 + 0.3) [из  110.5%] = 571 руб.</t>
  </si>
  <si>
    <t>21% * (1 + 0.3) [из  110.5%] = 3 997 руб.</t>
  </si>
  <si>
    <t>48% * (1 + 0.3) [из  110.5%] = 9 136 руб.</t>
  </si>
  <si>
    <t>110.5% = 16 177 руб.</t>
  </si>
  <si>
    <t xml:space="preserve">K2 = 1.3 (РПД 1.1-1.6)
Методика, 707/пр. Приложение 5, табл.5.1, п.2.3 (Усложняющий) </t>
  </si>
  <si>
    <t>(A + B * (0.4 * Xмин + 0.6 * Xзад)) * Количество * Ктек * Кст * K1
(72 700 руб. + 16 руб. * (0.4 * 500 + 0.6 * 400)) * 1 * 1.53 * 0.6 * 0.2 * 1.3</t>
  </si>
  <si>
    <t>9.1% = 25 358 руб.</t>
  </si>
  <si>
    <t>9% * (1 + 0.3) [из  44.2%] = 32 603 руб.</t>
  </si>
  <si>
    <t>7% * (1 + 0.3) [из  44.2%] = 25 358 руб.</t>
  </si>
  <si>
    <t>5% * (1 + 0.3) [из  44.2%] = 18 113 руб.</t>
  </si>
  <si>
    <t>6% * (1 + 0.3) [из  44.2%] = 21 736 руб.</t>
  </si>
  <si>
    <t>44.2% = 123 168 руб.</t>
  </si>
  <si>
    <t>39% * (1 + 0.3) = 141 281 руб.</t>
  </si>
  <si>
    <t>20% * (1 + 0.3) = 72 452 руб.</t>
  </si>
  <si>
    <t xml:space="preserve">K4 = 1.3 (РПД 1-2,3.1-3.5)
Методика, 707/пр. Приложение 5, табл.5.1, п.2.3 (Усложняющий) </t>
  </si>
  <si>
    <t>A * Количество * Ктек * Кст * K1 * K2 * K3
421 600 руб. * 1 * 1.53 * 0.6 * 4.5 * 0.2 * 0.8 * 1.3</t>
  </si>
  <si>
    <t>7.551% = 24 239 руб.</t>
  </si>
  <si>
    <t>2% = 6 420 руб.</t>
  </si>
  <si>
    <t>3% = 9 630 руб.</t>
  </si>
  <si>
    <t>5% = 16 050 руб.</t>
  </si>
  <si>
    <t>5% * (1 + 0.3) = 20 866 руб.</t>
  </si>
  <si>
    <t>7% * (1 + 0.3) [из  26%] = 29 212 руб.</t>
  </si>
  <si>
    <t>3% * (1 + 0.3) [из  26%] = 12 519 руб.</t>
  </si>
  <si>
    <t>2% * (1 + 0.3) [из  26%] = 8 346 руб.</t>
  </si>
  <si>
    <t>26% = 83 462 руб.</t>
  </si>
  <si>
    <t>21% * (1 + 0.3) = 87 635 руб.</t>
  </si>
  <si>
    <t>13% * (1 + 0.3) = 54 250 руб.</t>
  </si>
  <si>
    <t>8% * (1 + 0.3) [из  28.6%] = 33 385 руб.</t>
  </si>
  <si>
    <t>9% * (1 + 0.3) [из  28.6%] = 37 558 руб.</t>
  </si>
  <si>
    <t>5% * (1 + 0.3) [из  28.6%] = 20 866 руб.</t>
  </si>
  <si>
    <t>28.6% = 91 808 руб.</t>
  </si>
  <si>
    <t>1% = 3 210 руб.</t>
  </si>
  <si>
    <t xml:space="preserve">K3 = 1.3 (РПД 2.1-2.3,3-4,5.1-5.6,6)
Методика, 707/пр. Приложение 5, табл.5.1, п.2.3 (Усложняющий) </t>
  </si>
  <si>
    <t>(A + B * Xзад) * Количество * Ктек * Кст * K1 * K2
(437 500 руб. + 2 393 руб. * 600) * 1 * 1.53 * 0.4 * 0.8 * 0.35 * 1.25851</t>
  </si>
  <si>
    <t>12.767% = 21 660 руб.</t>
  </si>
  <si>
    <t>6% = 10 179 руб.</t>
  </si>
  <si>
    <t>83% * (1 + 0.3) = 183 056 руб.</t>
  </si>
  <si>
    <t>1% = 1 697 руб.</t>
  </si>
  <si>
    <t xml:space="preserve">K3 = 1.3 (РПД 2)
Методика, 707/пр. Приложение 5, табл.5.1, п.2.3 (Усложняющий) </t>
  </si>
  <si>
    <t>(A + B * Xзад) * Количество * Ктек * Кст * K1 * K2
(59 180 руб. + 190 руб. * 23) * 1 * 7.1 * 0.4 * 4.7 * 0.2 * 1.27667</t>
  </si>
  <si>
    <t>12.767% = 4 642 руб.</t>
  </si>
  <si>
    <t>6% = 2 182 руб.</t>
  </si>
  <si>
    <t>83% * (1 + 0.3) = 39 235 руб.</t>
  </si>
  <si>
    <t>1% = 364 руб.</t>
  </si>
  <si>
    <t>(A + B * Xзад) * Количество * Ктек * Кст * K1 * K2
(3 478 руб. + 441 руб. * 23) * 1 * 7.1 * 0.4 * 4.7 * 0.2 * 1.27667</t>
  </si>
  <si>
    <t>7.474% = 95 095 руб.</t>
  </si>
  <si>
    <t>2% = 25 447 руб.</t>
  </si>
  <si>
    <t>4% = 50 894 руб.</t>
  </si>
  <si>
    <t>6% = 76 341 руб.</t>
  </si>
  <si>
    <t>16% * (1 + 0.3) [из  55.9%] = 264 648 руб.</t>
  </si>
  <si>
    <t>5% * (1 + 0.3) [из  55.9%] = 82 702 руб.</t>
  </si>
  <si>
    <t>3% * (1 + 0.3) [из  55.9%] = 49 621 руб.</t>
  </si>
  <si>
    <t>55.9% = 711 241 руб.</t>
  </si>
  <si>
    <t>10% * (1 + 0.3) = 165 405 руб.</t>
  </si>
  <si>
    <t>22% * (1 + 0.3) = 363 891 руб.</t>
  </si>
  <si>
    <t>2% * (1 + 0.3) = 33 081 руб.</t>
  </si>
  <si>
    <t>1% = 12 723 руб.</t>
  </si>
  <si>
    <t xml:space="preserve">K2 = 1.3 (РПД 2-4,5.1-5.5)
Методика, 707/пр. Приложение 5, табл.5.1, п.2.3 (Усложняющий) </t>
  </si>
  <si>
    <t>(A + B * (0.4 * Xмакс + 0.6 * Xзад)) * Количество * Ктек * Кст * K1
(741 700 руб. + 6 188 руб. * (0.4 * 600 + 0.6 * 2200)) * 1 * 1.53 * 0.4 * 0.2 * 1.24574</t>
  </si>
  <si>
    <t>9.1% = 43 818 руб.</t>
  </si>
  <si>
    <t>6% * (1 + 0.3) = 37 558 руб.</t>
  </si>
  <si>
    <t>8% * (1 + 0.3) [из  33.8%] = 50 077 руб.</t>
  </si>
  <si>
    <t>4% * (1 + 0.3) [из  33.8%] = 25 039 руб.</t>
  </si>
  <si>
    <t>3% * (1 + 0.3) [из  33.8%] = 18 779 руб.</t>
  </si>
  <si>
    <t>33.8% = 162 751 руб.</t>
  </si>
  <si>
    <t>21% * (1 + 0.3) = 131 453 руб.</t>
  </si>
  <si>
    <t>15% * (1 + 0.3) = 93 895 руб.</t>
  </si>
  <si>
    <t>9% * (1 + 0.3) [из  32.5%] = 56 337 руб.</t>
  </si>
  <si>
    <t>10% * (1 + 0.3) [из  32.5%] = 62 597 руб.</t>
  </si>
  <si>
    <t>6% * (1 + 0.3) [из  32.5%] = 37 558 руб.</t>
  </si>
  <si>
    <t>32.5% = 156 492 руб.</t>
  </si>
  <si>
    <t xml:space="preserve">K3 = 1.3 (РПД 1.1-1.3,2-3,4.1-4.6,5)
Методика, 707/пр. Приложение 5, табл.5.1, п.2.3 (Усложняющий) </t>
  </si>
  <si>
    <t>(A + B * Xзад) * Количество * Ктек * Кст * K1 * K2
(437 500 руб. + 2 393 руб. * 600) * 1 * 1.53 * 0.6 * 0.8 * 0.35 * 1.3</t>
  </si>
  <si>
    <t>12.8% = 32 573 руб.</t>
  </si>
  <si>
    <t>6% = 15 269 руб.</t>
  </si>
  <si>
    <t>84% * (1 + 0.3) = 277 892 руб.</t>
  </si>
  <si>
    <t xml:space="preserve">K3 = 1.3 (РПД 1)
Методика, 707/пр. Приложение 5, табл.5.1, п.2.3 (Усложняющий) </t>
  </si>
  <si>
    <t>(A + B * Xзад) * Количество * Ктек * Кст * K1 * K2
(59 180 руб. + 190 руб. * 23) * 1 * 7.1 * 0.6 * 4.7 * 0.2 * 1.28</t>
  </si>
  <si>
    <t>12.8% = 6 982 руб.</t>
  </si>
  <si>
    <t>6% = 3 273 руб.</t>
  </si>
  <si>
    <t>84% * (1 + 0.3) = 59 562 руб.</t>
  </si>
  <si>
    <t>(A + B * Xзад) * Количество * Ктек * Кст * K1 * K2
(3 478 руб. + 441 руб. * 23) * 1 * 7.1 * 0.6 * 4.7 * 0.2 * 1.28</t>
  </si>
  <si>
    <t>9.1% = 173 675 руб.</t>
  </si>
  <si>
    <t>19% * (1 + 0.3) [из  70.2%] = 471 404 руб.</t>
  </si>
  <si>
    <t>7% * (1 + 0.3) [из  70.2%] = 173 675 руб.</t>
  </si>
  <si>
    <t>4% * (1 + 0.3) [из  70.2%] = 99 243 руб.</t>
  </si>
  <si>
    <t>20% * (1 + 0.3) [из  70.2%] = 496 215 руб.</t>
  </si>
  <si>
    <t>70.2% = 1 339 780 руб.</t>
  </si>
  <si>
    <t>13% * (1 + 0.3) = 322 540 руб.</t>
  </si>
  <si>
    <t>26% * (1 + 0.3) = 645 079 руб.</t>
  </si>
  <si>
    <t>(A + B * (0.4 * Xмакс + 0.6 * Xзад)) * Количество * Ктек * Кст * K1
(741 700 руб. + 6 188 руб. * (0.4 * 600 + 0.6 * 2200)) * 1 * 1.53 * 0.6 * 0.2 * 1.3</t>
  </si>
  <si>
    <t>6.523% = 39 074 руб.</t>
  </si>
  <si>
    <t>1% = 5 990 руб.</t>
  </si>
  <si>
    <t>2% = 11 980 руб.</t>
  </si>
  <si>
    <t>5% = 29 951 руб.</t>
  </si>
  <si>
    <t>6% * 1.06 = 38 098 руб.</t>
  </si>
  <si>
    <t>10% * 1.06 * (1 + 0.3) [из  83.369%] = 82 546 руб.</t>
  </si>
  <si>
    <t>1% * 1.06 * (1 + 0.3) [из  83.369%] = 8 255 руб.</t>
  </si>
  <si>
    <t>10.2% * 1.06 * (1 + 0.3) [из  83.369%] = 84 197 руб.</t>
  </si>
  <si>
    <t>2.9% * 1.06 * (1 + 0.3) [из  83.369%] = 23 938 руб.</t>
  </si>
  <si>
    <t>33.5% * 1.06 * (1 + 0.3) [из  83.369%] = 276 528 руб.</t>
  </si>
  <si>
    <t>83.369% = 499 401 руб.</t>
  </si>
  <si>
    <t>13.6% * (1 + 0.3) = 105 908 руб.</t>
  </si>
  <si>
    <t>4.4% * (1 + 0.3) = 34 264 руб.</t>
  </si>
  <si>
    <t>1% * (1 + 0.3) = 7 787 руб.</t>
  </si>
  <si>
    <t>0.5% = 2 995 руб.</t>
  </si>
  <si>
    <t>K5 = 1.06 (РПД 5.1-5.6,6)
Глава 2, п.24 (Ценообразующий)</t>
  </si>
  <si>
    <t>K3 = 0.2
Методика, 707/пр. Глава IX, п.152 (Ценообразующий)</t>
  </si>
  <si>
    <t>K2 = 1.2
Прим. к табл.3.15, п.2 (Ценообразующий)</t>
  </si>
  <si>
    <t>(A + B * (0.4 * Xмакс + 0.6 * Xзад)) * Количество * Ктек * Кст * K1 * K2 * K3
(463 700 руб. + 1 299 руб. * (0.4 * 1800 + 0.6 * 3500)) * 1 * 1.68 * 0.4 * 0.9 * 1.2 * 0.2 * 1.30452</t>
  </si>
  <si>
    <t>6.413% = 57 623 руб.</t>
  </si>
  <si>
    <t>5% = 44 927 руб.</t>
  </si>
  <si>
    <t>11.3% * (1 + 0.3) [из  81.25%] = 131 995 руб.</t>
  </si>
  <si>
    <t>1% * (1 + 0.3) [из  81.25%] = 11 681 руб.</t>
  </si>
  <si>
    <t>10.4% * (1 + 0.3) [из  81.25%] = 121 482 руб.</t>
  </si>
  <si>
    <t>2.9% * (1 + 0.3) [из  81.25%] = 33 875 руб.</t>
  </si>
  <si>
    <t>34% * (1 + 0.3) [из  81.25%] = 397 153 руб.</t>
  </si>
  <si>
    <t>81.25% = 730 062 руб.</t>
  </si>
  <si>
    <t>18% * (1 + 0.3) = 210 258 руб.</t>
  </si>
  <si>
    <t>8% * (1 + 0.3) = 93 448 руб.</t>
  </si>
  <si>
    <t>1% * (1 + 0.3) = 11 681 руб.</t>
  </si>
  <si>
    <t>0.5% = 4 493 руб.</t>
  </si>
  <si>
    <t>(A + B * (0.4 * Xмакс + 0.6 * Xзад)) * Количество * Ктек * Кст * K1 * K2 * K3
(463 700 руб. + 1 299 руб. * (0.4 * 1800 + 0.6 * 3500)) * 1 * 1.68 * 0.6 * 0.9 * 1.2 * 0.2 * 1.28263</t>
  </si>
  <si>
    <t>Для определения цены проектных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нормативов затрат на работы по подготовке проектной документации,  справочников базовых цен  на проектные работы в строительстве, Методики определения стоимости работ
по подготовке проектной документации, утвержденной приказом Минстрой РФ от 01.10.2021 № 707/пр, Методических указаний по применению справочников базовых цен на проектные работы в строительстве, утвержденных приказом Минрегионразвития РФ от 29.12. 2009 № 620.</t>
  </si>
  <si>
    <t>Итоговая начальная максимальная цена работ  составляет:</t>
  </si>
  <si>
    <t>Непредвиденные работы и затраты - 2%;</t>
  </si>
  <si>
    <t>Налог на добавленную стоимость - 22 %.</t>
  </si>
  <si>
    <t>на выполнение проектно-изыскательских работ: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</si>
</sst>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0.00_-;\-* #,##0.00_-;_-* &quot;-&quot;??_-;_-@_-"/>
    <numFmt numFmtId="164" formatCode="_-* #,##0.00\ _₽_-;\-* #,##0.00\ _₽_-;_-* &quot;-&quot;??\ _₽_-;_-@_-"/>
    <numFmt numFmtId="165" formatCode="0.0"/>
    <numFmt numFmtId="166" formatCode="0.0000"/>
    <numFmt numFmtId="167" formatCode="0_)"/>
    <numFmt numFmtId="168" formatCode="#,##0.000"/>
    <numFmt numFmtId="169" formatCode="_-* #,##0.00_р_._-;\-* #,##0.00_р_._-;_-* &quot;-&quot;??_р_._-;_-@_-"/>
    <numFmt numFmtId="170" formatCode="_-* #,##0_р_._-;\-* #,##0_р_._-;_-* &quot;-&quot;_р_._-;_-@_-"/>
    <numFmt numFmtId="171" formatCode="#,##0.0000000"/>
    <numFmt numFmtId="172" formatCode="_-* #,##0.00&quot;р.&quot;_-;\-* #,##0.00&quot;р.&quot;_-;_-* &quot;-&quot;??&quot;р.&quot;_-;_-@_-"/>
    <numFmt numFmtId="173" formatCode="#,##0.0000"/>
    <numFmt numFmtId="174" formatCode="#,##0.00&quot;р.&quot;"/>
    <numFmt numFmtId="175" formatCode="_-* #,##0.0000_-;\-* #,##0.0000_-;_-* &quot;-&quot;??_-;_-@_-"/>
    <numFmt numFmtId="176" formatCode="#,##0.0"/>
    <numFmt numFmtId="177" formatCode="0.000"/>
    <numFmt numFmtId="178" formatCode="#,##0.####"/>
  </numFmts>
  <fonts count="67" x14ac:knownFonts="1">
    <font>
      <sz val="11"/>
      <color theme="1"/>
      <name val="Calibri"/>
      <family val="2"/>
      <charset val="204"/>
      <scheme val="minor"/>
    </font>
    <font>
      <sz val="11"/>
      <color theme="1"/>
      <name val="Calibri"/>
      <family val="2"/>
      <charset val="204"/>
      <scheme val="minor"/>
    </font>
    <font>
      <b/>
      <sz val="12"/>
      <color theme="1"/>
      <name val="Times New Roman"/>
      <family val="1"/>
      <charset val="204"/>
    </font>
    <font>
      <sz val="12"/>
      <color theme="1"/>
      <name val="Times New Roman"/>
      <family val="1"/>
      <charset val="204"/>
    </font>
    <font>
      <sz val="12"/>
      <color rgb="FFFF0000"/>
      <name val="Times New Roman"/>
      <family val="1"/>
      <charset val="204"/>
    </font>
    <font>
      <sz val="10"/>
      <name val="Times New Roman"/>
      <family val="1"/>
      <charset val="204"/>
    </font>
    <font>
      <sz val="8"/>
      <color theme="1"/>
      <name val="Arial"/>
      <family val="2"/>
      <charset val="204"/>
    </font>
    <font>
      <sz val="10"/>
      <name val="Arial Cyr"/>
      <charset val="204"/>
    </font>
    <font>
      <sz val="10"/>
      <name val="Arial"/>
      <family val="2"/>
      <charset val="204"/>
    </font>
    <font>
      <b/>
      <sz val="10"/>
      <name val="Arial"/>
      <family val="2"/>
      <charset val="204"/>
    </font>
    <font>
      <sz val="11"/>
      <color theme="1"/>
      <name val="Calibri"/>
      <family val="2"/>
      <scheme val="minor"/>
    </font>
    <font>
      <sz val="10"/>
      <name val="Courier"/>
      <family val="1"/>
      <charset val="204"/>
    </font>
    <font>
      <b/>
      <sz val="12"/>
      <name val="Times New Roman"/>
      <family val="1"/>
      <charset val="204"/>
    </font>
    <font>
      <sz val="12"/>
      <color theme="1"/>
      <name val="Arial"/>
      <family val="2"/>
      <charset val="204"/>
    </font>
    <font>
      <b/>
      <sz val="10"/>
      <color theme="1"/>
      <name val="Arial"/>
      <family val="2"/>
      <charset val="204"/>
    </font>
    <font>
      <sz val="12"/>
      <name val="Times New Roman"/>
      <family val="1"/>
      <charset val="204"/>
    </font>
    <font>
      <sz val="12"/>
      <color indexed="10"/>
      <name val="Times New Roman"/>
      <family val="1"/>
      <charset val="204"/>
    </font>
    <font>
      <b/>
      <sz val="8"/>
      <color theme="1"/>
      <name val="Arial"/>
      <family val="2"/>
      <charset val="204"/>
    </font>
    <font>
      <sz val="10"/>
      <color theme="1"/>
      <name val="Calibri"/>
      <family val="2"/>
      <charset val="204"/>
      <scheme val="minor"/>
    </font>
    <font>
      <sz val="11"/>
      <color indexed="8"/>
      <name val="Calibri"/>
      <family val="2"/>
      <charset val="204"/>
    </font>
    <font>
      <i/>
      <sz val="12"/>
      <color theme="1"/>
      <name val="Times New Roman"/>
      <family val="1"/>
      <charset val="204"/>
    </font>
    <font>
      <sz val="11"/>
      <color rgb="FFFF0000"/>
      <name val="Calibri"/>
      <family val="2"/>
      <scheme val="minor"/>
    </font>
    <font>
      <b/>
      <sz val="10"/>
      <name val="Arial Cyr"/>
      <charset val="204"/>
    </font>
    <font>
      <sz val="12"/>
      <name val="Times New Roman CYR"/>
      <family val="1"/>
      <charset val="204"/>
    </font>
    <font>
      <sz val="11"/>
      <color rgb="FF000000"/>
      <name val="Calibri"/>
      <family val="2"/>
      <charset val="204"/>
    </font>
    <font>
      <sz val="11"/>
      <color theme="1"/>
      <name val="Calibri"/>
      <family val="2"/>
      <charset val="204"/>
    </font>
    <font>
      <sz val="11"/>
      <color rgb="FF000000"/>
      <name val="Calibri"/>
      <family val="2"/>
      <charset val="204"/>
    </font>
    <font>
      <sz val="10"/>
      <name val="Arial"/>
      <family val="2"/>
      <charset val="204"/>
    </font>
    <font>
      <b/>
      <sz val="11"/>
      <color theme="1"/>
      <name val="Calibri"/>
      <family val="2"/>
      <charset val="204"/>
      <scheme val="minor"/>
    </font>
    <font>
      <sz val="11"/>
      <name val="Times New Roman"/>
      <family val="1"/>
      <charset val="204"/>
    </font>
    <font>
      <sz val="11"/>
      <name val="Calibri"/>
      <family val="2"/>
      <scheme val="minor"/>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b/>
      <sz val="12"/>
      <color rgb="FFFF0000"/>
      <name val="Times New Roman"/>
      <family val="1"/>
      <charset val="204"/>
    </font>
    <font>
      <sz val="7"/>
      <name val="Arial"/>
      <family val="2"/>
      <charset val="204"/>
    </font>
    <font>
      <u/>
      <sz val="10"/>
      <name val="Arial"/>
      <family val="2"/>
      <charset val="204"/>
    </font>
    <font>
      <i/>
      <sz val="10"/>
      <name val="Arial"/>
      <family val="2"/>
      <charset val="204"/>
    </font>
    <font>
      <sz val="11"/>
      <name val="Calibri"/>
      <family val="2"/>
      <charset val="204"/>
    </font>
    <font>
      <vertAlign val="subscript"/>
      <sz val="12"/>
      <name val="Times New Roman"/>
      <family val="1"/>
      <charset val="204"/>
    </font>
    <font>
      <i/>
      <u/>
      <sz val="12"/>
      <name val="Times New Roman"/>
      <family val="1"/>
      <charset val="204"/>
    </font>
    <font>
      <sz val="11"/>
      <name val="Calibri"/>
      <family val="2"/>
      <charset val="204"/>
    </font>
    <font>
      <b/>
      <sz val="14"/>
      <name val="Arial"/>
      <family val="2"/>
      <charset val="204"/>
    </font>
    <font>
      <sz val="14"/>
      <name val="Arial"/>
      <family val="2"/>
      <charset val="204"/>
    </font>
    <font>
      <b/>
      <sz val="12"/>
      <name val="Arial"/>
      <family val="2"/>
      <charset val="204"/>
    </font>
    <font>
      <sz val="12"/>
      <name val="Arial"/>
      <family val="2"/>
      <charset val="204"/>
    </font>
    <font>
      <b/>
      <i/>
      <sz val="10"/>
      <name val="Arial"/>
      <family val="2"/>
      <charset val="204"/>
    </font>
    <font>
      <b/>
      <sz val="10"/>
      <color indexed="8"/>
      <name val="Arial"/>
      <family val="2"/>
      <charset val="204"/>
    </font>
    <font>
      <sz val="10"/>
      <name val="Calibri"/>
      <family val="2"/>
      <charset val="204"/>
    </font>
    <font>
      <b/>
      <sz val="10"/>
      <name val="Arial"/>
      <family val="2"/>
    </font>
    <font>
      <sz val="10"/>
      <color indexed="8"/>
      <name val="Arial"/>
      <family val="2"/>
      <charset val="204"/>
    </font>
    <font>
      <b/>
      <sz val="10"/>
      <name val="Arial Cyr"/>
      <family val="2"/>
      <charset val="204"/>
    </font>
    <font>
      <sz val="11"/>
      <color theme="1"/>
      <name val="Times New Roman"/>
      <family val="1"/>
      <charset val="204"/>
    </font>
    <font>
      <sz val="9"/>
      <color rgb="FF000000"/>
      <name val="Arial"/>
      <family val="2"/>
      <charset val="204"/>
    </font>
    <font>
      <sz val="11"/>
      <color indexed="8"/>
      <name val="Arial"/>
      <family val="2"/>
      <charset val="204"/>
    </font>
    <font>
      <sz val="12"/>
      <color rgb="FF000000"/>
      <name val="Times New Roman"/>
      <family val="1"/>
      <charset val="204"/>
    </font>
    <font>
      <b/>
      <u/>
      <sz val="12"/>
      <color theme="1"/>
      <name val="Times New Roman"/>
      <family val="1"/>
      <charset val="204"/>
    </font>
    <font>
      <vertAlign val="superscript"/>
      <sz val="12"/>
      <name val="Times New Roman"/>
      <family val="1"/>
      <charset val="204"/>
    </font>
    <font>
      <sz val="11"/>
      <color theme="1"/>
      <name val="Arial"/>
      <family val="2"/>
      <charset val="204"/>
    </font>
    <font>
      <vertAlign val="subscript"/>
      <sz val="12"/>
      <color theme="1"/>
      <name val="Times New Roman"/>
      <family val="1"/>
      <charset val="204"/>
    </font>
    <font>
      <i/>
      <sz val="10"/>
      <color rgb="FF0070C0"/>
      <name val="Arial"/>
      <family val="2"/>
      <charset val="204"/>
    </font>
    <font>
      <sz val="10"/>
      <color rgb="FFFF0000"/>
      <name val="Arial Cyr"/>
      <charset val="204"/>
    </font>
    <font>
      <sz val="11"/>
      <name val="Calibri"/>
      <family val="2"/>
      <charset val="204"/>
    </font>
    <font>
      <u/>
      <sz val="11"/>
      <color theme="10"/>
      <name val="Calibri"/>
      <family val="2"/>
      <charset val="204"/>
      <scheme val="minor"/>
    </font>
    <font>
      <sz val="10"/>
      <color indexed="18"/>
      <name val="Arial"/>
      <family val="2"/>
      <charset val="204"/>
    </font>
  </fonts>
  <fills count="1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FFCC"/>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indexed="29"/>
        <bgColor indexed="64"/>
      </patternFill>
    </fill>
    <fill>
      <patternFill patternType="solid">
        <fgColor theme="7" tint="0.59999389629810485"/>
        <bgColor indexed="64"/>
      </patternFill>
    </fill>
  </fills>
  <borders count="7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medium">
        <color indexed="8"/>
      </top>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style="medium">
        <color indexed="8"/>
      </right>
      <top style="medium">
        <color indexed="8"/>
      </top>
      <bottom/>
      <diagonal/>
    </border>
    <border>
      <left/>
      <right/>
      <top style="medium">
        <color indexed="8"/>
      </top>
      <bottom/>
      <diagonal/>
    </border>
    <border>
      <left style="thin">
        <color indexed="8"/>
      </left>
      <right style="medium">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bottom style="thin">
        <color auto="1"/>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auto="1"/>
      </left>
      <right style="thin">
        <color auto="1"/>
      </right>
      <top/>
      <bottom/>
      <diagonal/>
    </border>
  </borders>
  <cellStyleXfs count="85">
    <xf numFmtId="0" fontId="0" fillId="0" borderId="0"/>
    <xf numFmtId="0" fontId="6" fillId="0" borderId="1">
      <alignment horizontal="left" vertical="top"/>
    </xf>
    <xf numFmtId="0" fontId="1" fillId="0" borderId="0"/>
    <xf numFmtId="0" fontId="7" fillId="0" borderId="0"/>
    <xf numFmtId="0" fontId="7" fillId="0" borderId="0" applyFill="0" applyProtection="0"/>
    <xf numFmtId="0" fontId="5" fillId="0" borderId="0">
      <alignment horizontal="center"/>
    </xf>
    <xf numFmtId="0" fontId="5" fillId="0" borderId="2">
      <alignment horizontal="center" wrapText="1"/>
    </xf>
    <xf numFmtId="0" fontId="5" fillId="0" borderId="0">
      <alignment horizontal="right" vertical="top" wrapText="1"/>
    </xf>
    <xf numFmtId="0" fontId="5" fillId="0" borderId="0">
      <alignment horizontal="left" vertical="top"/>
    </xf>
    <xf numFmtId="0" fontId="10" fillId="0" borderId="0"/>
    <xf numFmtId="0" fontId="7" fillId="0" borderId="0"/>
    <xf numFmtId="167" fontId="11" fillId="0" borderId="0"/>
    <xf numFmtId="0" fontId="1" fillId="0" borderId="0"/>
    <xf numFmtId="167" fontId="11" fillId="0" borderId="0"/>
    <xf numFmtId="0" fontId="8" fillId="0" borderId="0"/>
    <xf numFmtId="0" fontId="1" fillId="0" borderId="0"/>
    <xf numFmtId="0" fontId="14" fillId="0" borderId="0">
      <alignment horizontal="center" vertical="center"/>
    </xf>
    <xf numFmtId="0" fontId="6" fillId="0" borderId="0">
      <alignment horizontal="center" vertical="top"/>
    </xf>
    <xf numFmtId="0" fontId="17" fillId="0" borderId="0">
      <alignment horizontal="left" vertical="top"/>
    </xf>
    <xf numFmtId="0" fontId="6" fillId="0" borderId="0">
      <alignment horizontal="left" vertical="top"/>
    </xf>
    <xf numFmtId="0" fontId="6" fillId="0" borderId="0">
      <alignment horizontal="left" vertical="center"/>
    </xf>
    <xf numFmtId="0" fontId="17" fillId="0" borderId="0">
      <alignment horizontal="left" vertical="center"/>
    </xf>
    <xf numFmtId="0" fontId="6" fillId="0" borderId="2">
      <alignment horizontal="center" vertical="center"/>
    </xf>
    <xf numFmtId="0" fontId="6" fillId="0" borderId="2">
      <alignment horizontal="left" vertical="center"/>
    </xf>
    <xf numFmtId="0" fontId="6" fillId="0" borderId="7">
      <alignment horizontal="left" vertical="top"/>
    </xf>
    <xf numFmtId="169" fontId="10" fillId="0" borderId="0" applyFont="0" applyFill="0" applyBorder="0" applyAlignment="0" applyProtection="0"/>
    <xf numFmtId="9" fontId="10" fillId="0" borderId="0" applyFont="0" applyFill="0" applyBorder="0" applyAlignment="0" applyProtection="0"/>
    <xf numFmtId="0" fontId="10" fillId="0" borderId="0"/>
    <xf numFmtId="9" fontId="7" fillId="0" borderId="0" applyFont="0" applyFill="0" applyBorder="0" applyAlignment="0" applyProtection="0"/>
    <xf numFmtId="170" fontId="7" fillId="0" borderId="0" applyFont="0" applyFill="0" applyBorder="0" applyAlignment="0" applyProtection="0"/>
    <xf numFmtId="0" fontId="1" fillId="0" borderId="0"/>
    <xf numFmtId="164" fontId="10" fillId="0" borderId="0" applyFont="0" applyFill="0" applyBorder="0" applyAlignment="0" applyProtection="0"/>
    <xf numFmtId="169" fontId="19" fillId="0" borderId="0" applyFont="0" applyFill="0" applyBorder="0" applyAlignment="0" applyProtection="0"/>
    <xf numFmtId="0" fontId="19" fillId="0" borderId="0"/>
    <xf numFmtId="9" fontId="7" fillId="0" borderId="0" applyFont="0" applyFill="0" applyBorder="0" applyAlignment="0" applyProtection="0"/>
    <xf numFmtId="0" fontId="1" fillId="0" borderId="0"/>
    <xf numFmtId="0" fontId="7" fillId="0" borderId="0"/>
    <xf numFmtId="0" fontId="1" fillId="0" borderId="0"/>
    <xf numFmtId="0" fontId="1" fillId="0" borderId="0"/>
    <xf numFmtId="172" fontId="7" fillId="0" borderId="0" applyFont="0" applyFill="0" applyBorder="0" applyAlignment="0" applyProtection="0"/>
    <xf numFmtId="0" fontId="8" fillId="0" borderId="2" applyBorder="0" applyAlignment="0">
      <alignment horizontal="center" wrapText="1"/>
    </xf>
    <xf numFmtId="0" fontId="8" fillId="0" borderId="0"/>
    <xf numFmtId="43" fontId="1" fillId="0" borderId="0" applyFont="0" applyFill="0" applyBorder="0" applyAlignment="0" applyProtection="0"/>
    <xf numFmtId="43" fontId="10" fillId="0" borderId="0" applyFont="0" applyFill="0" applyBorder="0" applyAlignment="0" applyProtection="0"/>
    <xf numFmtId="0" fontId="10" fillId="0" borderId="0"/>
    <xf numFmtId="0" fontId="8" fillId="0" borderId="0"/>
    <xf numFmtId="0" fontId="1" fillId="0" borderId="0"/>
    <xf numFmtId="0" fontId="8" fillId="0" borderId="0"/>
    <xf numFmtId="0" fontId="8" fillId="0" borderId="0"/>
    <xf numFmtId="0" fontId="8" fillId="0" borderId="0"/>
    <xf numFmtId="0" fontId="24" fillId="0" borderId="0"/>
    <xf numFmtId="0" fontId="10" fillId="0" borderId="0"/>
    <xf numFmtId="0" fontId="10" fillId="0" borderId="0"/>
    <xf numFmtId="0" fontId="8" fillId="0" borderId="0"/>
    <xf numFmtId="0" fontId="25" fillId="0" borderId="0"/>
    <xf numFmtId="0" fontId="8" fillId="0" borderId="13" applyBorder="0" applyAlignment="0">
      <alignment horizontal="center" wrapText="1"/>
    </xf>
    <xf numFmtId="0" fontId="23" fillId="0" borderId="0"/>
    <xf numFmtId="169" fontId="1" fillId="0" borderId="0" applyFont="0" applyFill="0" applyBorder="0" applyAlignment="0" applyProtection="0"/>
    <xf numFmtId="169" fontId="7" fillId="0" borderId="0" applyFont="0" applyFill="0" applyBorder="0" applyAlignment="0" applyProtection="0"/>
    <xf numFmtId="0" fontId="8" fillId="0" borderId="0"/>
    <xf numFmtId="0" fontId="1" fillId="0" borderId="0"/>
    <xf numFmtId="43" fontId="24" fillId="0" borderId="0" applyFont="0" applyFill="0" applyBorder="0" applyAlignment="0" applyProtection="0"/>
    <xf numFmtId="0" fontId="26" fillId="0" borderId="0"/>
    <xf numFmtId="164" fontId="1" fillId="0" borderId="0" applyFont="0" applyFill="0" applyBorder="0" applyAlignment="0" applyProtection="0"/>
    <xf numFmtId="164" fontId="10" fillId="0" borderId="0" applyFont="0" applyFill="0" applyBorder="0" applyAlignment="0" applyProtection="0"/>
    <xf numFmtId="0" fontId="7" fillId="0" borderId="0"/>
    <xf numFmtId="0" fontId="27" fillId="0" borderId="0"/>
    <xf numFmtId="43" fontId="10" fillId="0" borderId="0" applyFont="0" applyFill="0" applyBorder="0" applyAlignment="0" applyProtection="0"/>
    <xf numFmtId="0" fontId="1" fillId="0" borderId="0"/>
    <xf numFmtId="0" fontId="31" fillId="0" borderId="0"/>
    <xf numFmtId="0" fontId="32" fillId="0" borderId="0"/>
    <xf numFmtId="0" fontId="33" fillId="0" borderId="0"/>
    <xf numFmtId="0" fontId="34" fillId="0" borderId="0"/>
    <xf numFmtId="0" fontId="35" fillId="0" borderId="0"/>
    <xf numFmtId="0" fontId="7" fillId="0" borderId="0"/>
    <xf numFmtId="0" fontId="40" fillId="0" borderId="0"/>
    <xf numFmtId="0" fontId="43" fillId="0" borderId="0"/>
    <xf numFmtId="43" fontId="1" fillId="0" borderId="0" applyFont="0" applyFill="0" applyBorder="0" applyAlignment="0" applyProtection="0"/>
    <xf numFmtId="0" fontId="23" fillId="0" borderId="0"/>
    <xf numFmtId="0" fontId="7" fillId="0" borderId="0"/>
    <xf numFmtId="0" fontId="11" fillId="0" borderId="0"/>
    <xf numFmtId="43" fontId="7" fillId="0" borderId="0" applyFont="0" applyFill="0" applyBorder="0" applyAlignment="0" applyProtection="0"/>
    <xf numFmtId="0" fontId="19" fillId="0" borderId="0"/>
    <xf numFmtId="0" fontId="64" fillId="0" borderId="0"/>
    <xf numFmtId="0" fontId="65" fillId="0" borderId="0" applyNumberFormat="0" applyFill="0" applyBorder="0" applyAlignment="0" applyProtection="0"/>
  </cellStyleXfs>
  <cellXfs count="927">
    <xf numFmtId="0" fontId="0" fillId="0" borderId="0" xfId="0"/>
    <xf numFmtId="0" fontId="0" fillId="0" borderId="0" xfId="0" applyFill="1"/>
    <xf numFmtId="0" fontId="15" fillId="5" borderId="0" xfId="14" applyFont="1" applyFill="1"/>
    <xf numFmtId="0" fontId="5" fillId="5" borderId="0" xfId="14" applyFont="1" applyFill="1"/>
    <xf numFmtId="0" fontId="5" fillId="5" borderId="0" xfId="14" applyFont="1" applyFill="1" applyAlignment="1">
      <alignment vertical="center"/>
    </xf>
    <xf numFmtId="0" fontId="15" fillId="5" borderId="1" xfId="14" applyFont="1" applyFill="1" applyBorder="1"/>
    <xf numFmtId="0" fontId="15" fillId="5" borderId="0" xfId="14" applyFont="1" applyFill="1" applyAlignment="1">
      <alignment vertical="center"/>
    </xf>
    <xf numFmtId="0" fontId="12" fillId="5" borderId="1" xfId="14" applyFont="1" applyFill="1" applyBorder="1" applyAlignment="1">
      <alignment horizontal="right"/>
    </xf>
    <xf numFmtId="49" fontId="15" fillId="5" borderId="2" xfId="14" applyNumberFormat="1" applyFont="1" applyFill="1" applyBorder="1" applyAlignment="1">
      <alignment horizontal="center" vertical="center" wrapText="1"/>
    </xf>
    <xf numFmtId="0" fontId="15" fillId="5" borderId="2" xfId="14" applyFont="1" applyFill="1" applyBorder="1" applyAlignment="1">
      <alignment horizontal="center" vertical="center" wrapText="1"/>
    </xf>
    <xf numFmtId="4" fontId="16" fillId="5" borderId="2" xfId="14" applyNumberFormat="1" applyFont="1" applyFill="1" applyBorder="1" applyAlignment="1">
      <alignment horizontal="center" vertical="center" wrapText="1"/>
    </xf>
    <xf numFmtId="0" fontId="15" fillId="5" borderId="11" xfId="14" applyNumberFormat="1" applyFont="1" applyFill="1" applyBorder="1" applyAlignment="1">
      <alignment horizontal="left" vertical="center" wrapText="1"/>
    </xf>
    <xf numFmtId="0" fontId="3" fillId="0" borderId="0" xfId="15" applyFont="1" applyFill="1" applyAlignment="1">
      <alignment horizontal="center"/>
    </xf>
    <xf numFmtId="0" fontId="3" fillId="0" borderId="0" xfId="15" applyFont="1" applyFill="1"/>
    <xf numFmtId="4" fontId="3" fillId="0" borderId="0" xfId="15" applyNumberFormat="1" applyFont="1" applyFill="1"/>
    <xf numFmtId="0" fontId="3" fillId="0" borderId="2" xfId="23" quotePrefix="1" applyFont="1" applyFill="1" applyBorder="1" applyAlignment="1">
      <alignment horizontal="left" vertical="top" wrapText="1"/>
    </xf>
    <xf numFmtId="169" fontId="3" fillId="0" borderId="2" xfId="19" quotePrefix="1" applyNumberFormat="1" applyFont="1" applyFill="1" applyBorder="1" applyAlignment="1">
      <alignment horizontal="center" vertical="center" wrapText="1"/>
    </xf>
    <xf numFmtId="0" fontId="3" fillId="0" borderId="2" xfId="15" applyFont="1" applyFill="1" applyBorder="1" applyAlignment="1">
      <alignment wrapText="1"/>
    </xf>
    <xf numFmtId="2" fontId="3" fillId="0" borderId="2" xfId="19" quotePrefix="1" applyNumberFormat="1" applyFont="1" applyFill="1" applyBorder="1" applyAlignment="1">
      <alignment horizontal="center" vertical="center" wrapText="1"/>
    </xf>
    <xf numFmtId="0" fontId="3" fillId="0" borderId="2" xfId="19" quotePrefix="1" applyFont="1" applyFill="1" applyBorder="1" applyAlignment="1">
      <alignment horizontal="center" vertical="center" wrapText="1"/>
    </xf>
    <xf numFmtId="0" fontId="15" fillId="7" borderId="2" xfId="23" quotePrefix="1" applyFont="1" applyFill="1" applyBorder="1" applyAlignment="1">
      <alignment horizontal="left" vertical="center" wrapText="1"/>
    </xf>
    <xf numFmtId="169" fontId="15" fillId="7" borderId="2" xfId="19" quotePrefix="1" applyNumberFormat="1" applyFont="1" applyFill="1" applyBorder="1" applyAlignment="1">
      <alignment horizontal="center" vertical="center" wrapText="1"/>
    </xf>
    <xf numFmtId="0" fontId="15" fillId="7" borderId="2" xfId="15" applyFont="1" applyFill="1" applyBorder="1" applyAlignment="1">
      <alignment vertical="center" wrapText="1"/>
    </xf>
    <xf numFmtId="0" fontId="15" fillId="0" borderId="2" xfId="23" quotePrefix="1" applyFont="1" applyFill="1" applyBorder="1" applyAlignment="1">
      <alignment horizontal="left" vertical="center" wrapText="1"/>
    </xf>
    <xf numFmtId="0" fontId="15" fillId="0" borderId="2" xfId="19" quotePrefix="1" applyFont="1" applyFill="1" applyBorder="1" applyAlignment="1">
      <alignment horizontal="left" vertical="center" wrapText="1"/>
    </xf>
    <xf numFmtId="0" fontId="15" fillId="0" borderId="2" xfId="15" applyFont="1" applyFill="1" applyBorder="1" applyAlignment="1">
      <alignment vertical="center" wrapText="1"/>
    </xf>
    <xf numFmtId="0" fontId="15" fillId="0" borderId="2" xfId="15" applyFont="1" applyFill="1" applyBorder="1" applyAlignment="1">
      <alignment horizontal="center" wrapText="1"/>
    </xf>
    <xf numFmtId="0" fontId="15" fillId="0" borderId="2" xfId="19" quotePrefix="1" applyFont="1" applyFill="1" applyBorder="1" applyAlignment="1">
      <alignment horizontal="left" vertical="top" wrapText="1"/>
    </xf>
    <xf numFmtId="0" fontId="15" fillId="0" borderId="2" xfId="15" applyFont="1" applyFill="1" applyBorder="1" applyAlignment="1">
      <alignment wrapText="1"/>
    </xf>
    <xf numFmtId="0" fontId="10" fillId="0" borderId="0" xfId="27"/>
    <xf numFmtId="0" fontId="2" fillId="0" borderId="0" xfId="27" quotePrefix="1" applyFont="1" applyAlignment="1">
      <alignment horizontal="center" vertical="center" wrapText="1"/>
    </xf>
    <xf numFmtId="0" fontId="2" fillId="0" borderId="0" xfId="27" applyFont="1" applyAlignment="1">
      <alignment horizontal="center" vertical="center" wrapText="1"/>
    </xf>
    <xf numFmtId="0" fontId="2" fillId="0" borderId="0" xfId="27" applyFont="1" applyAlignment="1">
      <alignment vertical="center"/>
    </xf>
    <xf numFmtId="0" fontId="3" fillId="0" borderId="0" xfId="27" applyFont="1"/>
    <xf numFmtId="0" fontId="3" fillId="7" borderId="2" xfId="27" applyFont="1" applyFill="1" applyBorder="1" applyAlignment="1">
      <alignment horizontal="center" vertical="center" wrapText="1"/>
    </xf>
    <xf numFmtId="0" fontId="3" fillId="5" borderId="2" xfId="27" applyFont="1" applyFill="1" applyBorder="1" applyAlignment="1">
      <alignment horizontal="center" vertical="center" wrapText="1"/>
    </xf>
    <xf numFmtId="0" fontId="3" fillId="5" borderId="2" xfId="27" applyFont="1" applyFill="1" applyBorder="1" applyAlignment="1">
      <alignment horizontal="left" vertical="center" wrapText="1"/>
    </xf>
    <xf numFmtId="4" fontId="3" fillId="5" borderId="2" xfId="27" applyNumberFormat="1" applyFont="1" applyFill="1" applyBorder="1" applyAlignment="1">
      <alignment horizontal="center" vertical="center" wrapText="1"/>
    </xf>
    <xf numFmtId="0" fontId="2" fillId="7" borderId="2" xfId="27" applyFont="1" applyFill="1" applyBorder="1" applyAlignment="1">
      <alignment vertical="center" wrapText="1"/>
    </xf>
    <xf numFmtId="4" fontId="2" fillId="7" borderId="2" xfId="27" applyNumberFormat="1" applyFont="1" applyFill="1" applyBorder="1" applyAlignment="1">
      <alignment horizontal="center" vertical="center" wrapText="1"/>
    </xf>
    <xf numFmtId="0" fontId="4" fillId="0" borderId="0" xfId="27" applyFont="1"/>
    <xf numFmtId="0" fontId="15" fillId="0" borderId="0" xfId="14" applyFont="1"/>
    <xf numFmtId="0" fontId="15" fillId="0" borderId="0" xfId="27" applyFont="1" applyAlignment="1">
      <alignment vertical="center"/>
    </xf>
    <xf numFmtId="0" fontId="15" fillId="0" borderId="0" xfId="27" applyFont="1"/>
    <xf numFmtId="0" fontId="15" fillId="0" borderId="0" xfId="27" applyFont="1" applyFill="1"/>
    <xf numFmtId="4" fontId="3" fillId="0" borderId="2" xfId="27" applyNumberFormat="1" applyFont="1" applyBorder="1" applyAlignment="1">
      <alignment horizontal="center" vertical="center"/>
    </xf>
    <xf numFmtId="0" fontId="15" fillId="0" borderId="0" xfId="27" applyFont="1" applyBorder="1"/>
    <xf numFmtId="4" fontId="3" fillId="0" borderId="0" xfId="27" applyNumberFormat="1" applyFont="1" applyBorder="1" applyAlignment="1">
      <alignment horizontal="center" vertical="center"/>
    </xf>
    <xf numFmtId="0" fontId="12" fillId="0" borderId="0" xfId="27" applyFont="1" applyAlignment="1">
      <alignment vertical="center"/>
    </xf>
    <xf numFmtId="0" fontId="3" fillId="6" borderId="2" xfId="27" applyFont="1" applyFill="1" applyBorder="1" applyAlignment="1">
      <alignment horizontal="center"/>
    </xf>
    <xf numFmtId="1" fontId="3" fillId="6" borderId="2" xfId="27" applyNumberFormat="1" applyFont="1" applyFill="1" applyBorder="1" applyAlignment="1">
      <alignment horizontal="center"/>
    </xf>
    <xf numFmtId="0" fontId="12" fillId="0" borderId="0" xfId="14" applyFont="1"/>
    <xf numFmtId="4" fontId="12" fillId="0" borderId="0" xfId="14" applyNumberFormat="1" applyFont="1" applyAlignment="1">
      <alignment vertical="center" wrapText="1"/>
    </xf>
    <xf numFmtId="49" fontId="15" fillId="0" borderId="0" xfId="14" applyNumberFormat="1" applyFont="1"/>
    <xf numFmtId="49" fontId="4" fillId="0" borderId="0" xfId="14" applyNumberFormat="1" applyFont="1"/>
    <xf numFmtId="9" fontId="15" fillId="0" borderId="0" xfId="14" applyNumberFormat="1" applyFont="1" applyAlignment="1">
      <alignment horizontal="left" vertical="center"/>
    </xf>
    <xf numFmtId="49" fontId="15" fillId="0" borderId="0" xfId="14" applyNumberFormat="1" applyFont="1" applyAlignment="1">
      <alignment vertical="center"/>
    </xf>
    <xf numFmtId="3" fontId="3" fillId="0" borderId="0" xfId="27" applyNumberFormat="1" applyFont="1"/>
    <xf numFmtId="0" fontId="15" fillId="5" borderId="2" xfId="9" applyFont="1" applyFill="1" applyBorder="1" applyAlignment="1">
      <alignment vertical="center"/>
    </xf>
    <xf numFmtId="0" fontId="3" fillId="0" borderId="0" xfId="15" applyFont="1" applyFill="1" applyAlignment="1">
      <alignment wrapText="1"/>
    </xf>
    <xf numFmtId="4" fontId="15" fillId="5" borderId="2" xfId="14" applyNumberFormat="1" applyFont="1" applyFill="1" applyBorder="1" applyAlignment="1">
      <alignment horizontal="center" vertical="center" wrapText="1"/>
    </xf>
    <xf numFmtId="4" fontId="15" fillId="5" borderId="2" xfId="14" applyNumberFormat="1" applyFont="1" applyFill="1" applyBorder="1" applyAlignment="1">
      <alignment horizontal="center" vertical="center"/>
    </xf>
    <xf numFmtId="4" fontId="12" fillId="5" borderId="2" xfId="14" applyNumberFormat="1" applyFont="1" applyFill="1" applyBorder="1" applyAlignment="1">
      <alignment horizontal="center" vertical="center" wrapText="1"/>
    </xf>
    <xf numFmtId="0" fontId="12" fillId="6" borderId="2" xfId="14" applyFont="1" applyFill="1" applyBorder="1" applyAlignment="1">
      <alignment horizontal="center" vertical="center" wrapText="1"/>
    </xf>
    <xf numFmtId="49" fontId="12" fillId="6" borderId="2" xfId="14" applyNumberFormat="1" applyFont="1" applyFill="1" applyBorder="1" applyAlignment="1">
      <alignment horizontal="center" vertical="center" wrapText="1"/>
    </xf>
    <xf numFmtId="4" fontId="3" fillId="0" borderId="2" xfId="19" quotePrefix="1" applyNumberFormat="1" applyFont="1" applyFill="1" applyBorder="1" applyAlignment="1">
      <alignment horizontal="center" vertical="center" wrapText="1"/>
    </xf>
    <xf numFmtId="0" fontId="15" fillId="7" borderId="2" xfId="0" applyFont="1" applyFill="1" applyBorder="1" applyAlignment="1">
      <alignment horizontal="center" wrapText="1"/>
    </xf>
    <xf numFmtId="0" fontId="15" fillId="7" borderId="2" xfId="0" applyFont="1" applyFill="1" applyBorder="1" applyAlignment="1">
      <alignment horizontal="left" vertical="center" wrapText="1"/>
    </xf>
    <xf numFmtId="4" fontId="15" fillId="7" borderId="2" xfId="19" quotePrefix="1" applyNumberFormat="1" applyFont="1" applyFill="1" applyBorder="1" applyAlignment="1">
      <alignment horizontal="center" vertical="center" wrapText="1"/>
    </xf>
    <xf numFmtId="0" fontId="15" fillId="7" borderId="2" xfId="0" applyFont="1" applyFill="1" applyBorder="1" applyAlignment="1">
      <alignment horizontal="center" vertical="center" wrapText="1"/>
    </xf>
    <xf numFmtId="4" fontId="15" fillId="7" borderId="2" xfId="43" applyNumberFormat="1" applyFont="1" applyFill="1" applyBorder="1" applyAlignment="1">
      <alignment wrapText="1"/>
    </xf>
    <xf numFmtId="0" fontId="15" fillId="0" borderId="2" xfId="0" applyFont="1" applyBorder="1" applyAlignment="1">
      <alignment horizontal="center" wrapText="1"/>
    </xf>
    <xf numFmtId="0" fontId="15" fillId="0" borderId="2" xfId="0" quotePrefix="1" applyFont="1" applyFill="1" applyBorder="1" applyAlignment="1">
      <alignment vertical="center" wrapText="1"/>
    </xf>
    <xf numFmtId="4" fontId="15" fillId="0" borderId="2" xfId="15" applyNumberFormat="1"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4" fontId="15" fillId="0" borderId="2" xfId="43" applyNumberFormat="1" applyFont="1" applyFill="1" applyBorder="1" applyAlignment="1">
      <alignment horizontal="center" vertical="center" wrapText="1"/>
    </xf>
    <xf numFmtId="0" fontId="18" fillId="0" borderId="0" xfId="0" applyFont="1" applyFill="1" applyAlignment="1">
      <alignment horizontal="center"/>
    </xf>
    <xf numFmtId="0" fontId="18" fillId="0" borderId="0" xfId="0" applyFont="1" applyFill="1"/>
    <xf numFmtId="0" fontId="3" fillId="0" borderId="0" xfId="0" applyFont="1" applyFill="1" applyAlignment="1">
      <alignment horizontal="center"/>
    </xf>
    <xf numFmtId="4" fontId="3" fillId="0" borderId="0" xfId="0" applyNumberFormat="1" applyFont="1" applyFill="1" applyAlignment="1">
      <alignment horizontal="center"/>
    </xf>
    <xf numFmtId="0" fontId="3" fillId="0" borderId="0" xfId="0" applyFont="1" applyFill="1"/>
    <xf numFmtId="4" fontId="3" fillId="0" borderId="0" xfId="0" applyNumberFormat="1" applyFont="1" applyFill="1"/>
    <xf numFmtId="0" fontId="13" fillId="0" borderId="2" xfId="0" applyFont="1" applyBorder="1" applyAlignment="1">
      <alignment horizontal="center" vertical="center" wrapText="1"/>
    </xf>
    <xf numFmtId="4" fontId="18" fillId="0" borderId="0" xfId="0" applyNumberFormat="1" applyFont="1" applyFill="1"/>
    <xf numFmtId="0" fontId="13" fillId="5" borderId="2" xfId="0" applyFont="1" applyFill="1" applyBorder="1" applyAlignment="1">
      <alignment horizontal="center" vertical="center" wrapText="1"/>
    </xf>
    <xf numFmtId="0" fontId="0" fillId="0" borderId="0" xfId="0" applyFill="1" applyAlignment="1">
      <alignment horizontal="center"/>
    </xf>
    <xf numFmtId="4" fontId="0" fillId="0" borderId="0" xfId="0" applyNumberFormat="1" applyFill="1"/>
    <xf numFmtId="4" fontId="12" fillId="6" borderId="2" xfId="14" applyNumberFormat="1" applyFont="1" applyFill="1" applyBorder="1" applyAlignment="1">
      <alignment horizontal="center" vertical="center" wrapText="1"/>
    </xf>
    <xf numFmtId="0" fontId="15" fillId="0" borderId="2" xfId="27" applyFont="1" applyBorder="1" applyAlignment="1">
      <alignment vertical="center" wrapText="1"/>
    </xf>
    <xf numFmtId="0" fontId="15" fillId="6" borderId="2" xfId="27" applyFont="1" applyFill="1" applyBorder="1"/>
    <xf numFmtId="168" fontId="3" fillId="6" borderId="2" xfId="27" applyNumberFormat="1" applyFont="1" applyFill="1" applyBorder="1" applyAlignment="1">
      <alignment horizontal="center" vertical="center"/>
    </xf>
    <xf numFmtId="171" fontId="3" fillId="6" borderId="2" xfId="27" applyNumberFormat="1" applyFont="1" applyFill="1" applyBorder="1" applyAlignment="1">
      <alignment horizontal="center" vertical="center"/>
    </xf>
    <xf numFmtId="4" fontId="3" fillId="6" borderId="2" xfId="27" applyNumberFormat="1" applyFont="1" applyFill="1" applyBorder="1" applyAlignment="1">
      <alignment horizontal="center" vertical="center"/>
    </xf>
    <xf numFmtId="0" fontId="3" fillId="0" borderId="0" xfId="27" applyFont="1" applyBorder="1"/>
    <xf numFmtId="0" fontId="15" fillId="0" borderId="0" xfId="27" applyFont="1" applyBorder="1" applyAlignment="1">
      <alignment horizontal="center"/>
    </xf>
    <xf numFmtId="0" fontId="15" fillId="5" borderId="0" xfId="27" applyFont="1" applyFill="1" applyBorder="1" applyAlignment="1">
      <alignment horizontal="center" vertical="center" wrapText="1"/>
    </xf>
    <xf numFmtId="9" fontId="12" fillId="5" borderId="0" xfId="27" applyNumberFormat="1" applyFont="1" applyFill="1" applyBorder="1" applyAlignment="1">
      <alignment horizontal="center" vertical="center" wrapText="1"/>
    </xf>
    <xf numFmtId="0" fontId="15" fillId="5" borderId="0" xfId="27" applyFont="1" applyFill="1" applyBorder="1" applyAlignment="1">
      <alignment horizontal="center"/>
    </xf>
    <xf numFmtId="3" fontId="15" fillId="5" borderId="0" xfId="27" applyNumberFormat="1" applyFont="1" applyFill="1" applyBorder="1" applyAlignment="1">
      <alignment horizontal="center" vertical="center"/>
    </xf>
    <xf numFmtId="3" fontId="3" fillId="5" borderId="0" xfId="27" applyNumberFormat="1" applyFont="1" applyFill="1" applyBorder="1" applyAlignment="1">
      <alignment horizontal="center" vertical="center"/>
    </xf>
    <xf numFmtId="4" fontId="15" fillId="5" borderId="0" xfId="27" applyNumberFormat="1" applyFont="1" applyFill="1" applyBorder="1" applyAlignment="1">
      <alignment horizontal="center"/>
    </xf>
    <xf numFmtId="0" fontId="3" fillId="0" borderId="0" xfId="44" applyFont="1" applyAlignment="1">
      <alignment horizontal="right"/>
    </xf>
    <xf numFmtId="173" fontId="3" fillId="0" borderId="2" xfId="27" applyNumberFormat="1" applyFont="1" applyBorder="1" applyAlignment="1">
      <alignment horizontal="center" vertical="center"/>
    </xf>
    <xf numFmtId="4" fontId="15" fillId="5" borderId="2" xfId="27" applyNumberFormat="1" applyFont="1" applyFill="1" applyBorder="1" applyAlignment="1">
      <alignment horizontal="center" vertical="center" wrapText="1"/>
    </xf>
    <xf numFmtId="0" fontId="20" fillId="0" borderId="2" xfId="27" applyFont="1" applyBorder="1" applyAlignment="1">
      <alignment vertical="center" wrapText="1"/>
    </xf>
    <xf numFmtId="0" fontId="20" fillId="0" borderId="2" xfId="27" applyFont="1" applyBorder="1" applyAlignment="1">
      <alignment horizontal="justify" vertical="center" wrapText="1"/>
    </xf>
    <xf numFmtId="4" fontId="20" fillId="0" borderId="2" xfId="27" applyNumberFormat="1" applyFont="1" applyBorder="1" applyAlignment="1">
      <alignment horizontal="center" vertical="center" wrapText="1"/>
    </xf>
    <xf numFmtId="0" fontId="3" fillId="0" borderId="0" xfId="44" applyFont="1" applyBorder="1" applyAlignment="1">
      <alignment horizontal="right"/>
    </xf>
    <xf numFmtId="0" fontId="3" fillId="6" borderId="2" xfId="22" quotePrefix="1" applyFont="1" applyFill="1" applyBorder="1" applyAlignment="1">
      <alignment horizontal="center" vertical="center" wrapText="1"/>
    </xf>
    <xf numFmtId="4" fontId="3" fillId="6" borderId="2" xfId="22" quotePrefix="1" applyNumberFormat="1" applyFont="1" applyFill="1" applyBorder="1" applyAlignment="1">
      <alignment horizontal="center" vertical="center" wrapText="1"/>
    </xf>
    <xf numFmtId="0" fontId="15" fillId="0" borderId="2" xfId="19" quotePrefix="1" applyFont="1" applyFill="1" applyBorder="1" applyAlignment="1">
      <alignment horizontal="center" vertical="center" wrapText="1"/>
    </xf>
    <xf numFmtId="0" fontId="15" fillId="5" borderId="2" xfId="9" applyFont="1" applyFill="1" applyBorder="1" applyAlignment="1">
      <alignment vertical="center" wrapText="1"/>
    </xf>
    <xf numFmtId="0" fontId="12" fillId="0" borderId="0" xfId="27" applyFont="1" applyAlignment="1">
      <alignment vertical="center" wrapText="1"/>
    </xf>
    <xf numFmtId="0" fontId="13" fillId="0" borderId="2" xfId="0" applyFont="1" applyFill="1" applyBorder="1" applyAlignment="1">
      <alignment horizontal="center" vertical="center" wrapText="1"/>
    </xf>
    <xf numFmtId="10" fontId="10" fillId="0" borderId="0" xfId="27" applyNumberFormat="1"/>
    <xf numFmtId="4" fontId="21" fillId="0" borderId="0" xfId="27" applyNumberFormat="1" applyFont="1"/>
    <xf numFmtId="0" fontId="3" fillId="0" borderId="0" xfId="0" applyFont="1"/>
    <xf numFmtId="4" fontId="15" fillId="0" borderId="2" xfId="14" applyNumberFormat="1" applyFont="1" applyFill="1" applyBorder="1" applyAlignment="1">
      <alignment horizontal="center" vertical="center" wrapText="1"/>
    </xf>
    <xf numFmtId="0" fontId="7" fillId="0" borderId="0" xfId="65"/>
    <xf numFmtId="0" fontId="15" fillId="0" borderId="0" xfId="0" applyFont="1" applyAlignment="1"/>
    <xf numFmtId="166" fontId="15" fillId="0" borderId="0" xfId="27" applyNumberFormat="1" applyFont="1" applyAlignment="1">
      <alignment horizontal="center" vertical="center" wrapText="1"/>
    </xf>
    <xf numFmtId="0" fontId="21" fillId="0" borderId="0" xfId="27" applyFont="1"/>
    <xf numFmtId="4" fontId="15" fillId="5" borderId="0" xfId="14" applyNumberFormat="1" applyFont="1" applyFill="1" applyBorder="1" applyAlignment="1">
      <alignment horizontal="center" vertical="center" wrapText="1"/>
    </xf>
    <xf numFmtId="4" fontId="3" fillId="0" borderId="14" xfId="27" applyNumberFormat="1" applyFont="1" applyBorder="1" applyAlignment="1">
      <alignment horizontal="center" vertical="center"/>
    </xf>
    <xf numFmtId="0" fontId="30" fillId="0" borderId="0" xfId="27" applyFont="1"/>
    <xf numFmtId="0" fontId="15" fillId="0" borderId="0" xfId="27" applyFont="1" applyFill="1" applyBorder="1" applyAlignment="1">
      <alignment horizontal="left" indent="3"/>
    </xf>
    <xf numFmtId="165" fontId="12" fillId="0" borderId="0" xfId="27" applyNumberFormat="1" applyFont="1" applyFill="1" applyAlignment="1">
      <alignment horizontal="center" vertical="center"/>
    </xf>
    <xf numFmtId="0" fontId="15" fillId="0" borderId="0" xfId="0" applyFont="1" applyAlignment="1">
      <alignment horizontal="left" wrapText="1"/>
    </xf>
    <xf numFmtId="0" fontId="2" fillId="0" borderId="0" xfId="27" applyFont="1" applyAlignment="1">
      <alignment horizontal="center" vertical="center"/>
    </xf>
    <xf numFmtId="3" fontId="4" fillId="5" borderId="0" xfId="27" applyNumberFormat="1" applyFont="1" applyFill="1" applyBorder="1" applyAlignment="1">
      <alignment horizontal="center" vertical="center"/>
    </xf>
    <xf numFmtId="0" fontId="3" fillId="0" borderId="0" xfId="27" applyFont="1" applyAlignment="1">
      <alignment horizontal="left"/>
    </xf>
    <xf numFmtId="4" fontId="3" fillId="0" borderId="0" xfId="27" applyNumberFormat="1" applyFont="1" applyAlignment="1">
      <alignment horizontal="center" vertical="center"/>
    </xf>
    <xf numFmtId="0" fontId="3" fillId="0" borderId="0" xfId="27" applyFont="1" applyAlignment="1">
      <alignment horizontal="center" vertical="center"/>
    </xf>
    <xf numFmtId="0" fontId="1" fillId="0" borderId="0" xfId="27" applyFont="1"/>
    <xf numFmtId="0" fontId="2" fillId="0" borderId="0" xfId="27" applyFont="1" applyAlignment="1">
      <alignment horizontal="center"/>
    </xf>
    <xf numFmtId="4" fontId="2" fillId="0" borderId="0" xfId="27" applyNumberFormat="1" applyFont="1" applyAlignment="1">
      <alignment horizontal="center" vertical="center"/>
    </xf>
    <xf numFmtId="0" fontId="3" fillId="0" borderId="0" xfId="27" applyFont="1" applyAlignment="1">
      <alignment horizontal="justify"/>
    </xf>
    <xf numFmtId="0" fontId="15" fillId="4" borderId="0" xfId="0" applyFont="1" applyFill="1" applyBorder="1" applyAlignment="1">
      <alignment horizontal="left" vertical="center" wrapText="1"/>
    </xf>
    <xf numFmtId="0" fontId="15" fillId="0" borderId="0" xfId="0" applyFont="1" applyFill="1" applyBorder="1" applyAlignment="1">
      <alignment horizontal="center" vertical="center" wrapText="1"/>
    </xf>
    <xf numFmtId="166" fontId="15" fillId="0" borderId="0" xfId="27" applyNumberFormat="1" applyFont="1" applyFill="1" applyBorder="1" applyAlignment="1">
      <alignment horizontal="right" vertical="center"/>
    </xf>
    <xf numFmtId="166" fontId="12" fillId="0" borderId="13" xfId="0" applyNumberFormat="1" applyFont="1" applyFill="1" applyBorder="1"/>
    <xf numFmtId="0" fontId="15" fillId="0" borderId="0" xfId="0" applyFont="1"/>
    <xf numFmtId="14" fontId="36" fillId="0" borderId="0" xfId="27" applyNumberFormat="1" applyFont="1" applyFill="1" applyBorder="1" applyAlignment="1">
      <alignment horizontal="center" vertical="center" wrapText="1"/>
    </xf>
    <xf numFmtId="0" fontId="3" fillId="0" borderId="0" xfId="27" applyFont="1" applyAlignment="1">
      <alignment vertical="center"/>
    </xf>
    <xf numFmtId="0" fontId="15" fillId="0" borderId="0" xfId="0" applyFont="1" applyAlignment="1">
      <alignment vertical="center"/>
    </xf>
    <xf numFmtId="0" fontId="3" fillId="0" borderId="0" xfId="44" applyFont="1" applyBorder="1" applyAlignment="1">
      <alignment horizontal="right" vertical="center"/>
    </xf>
    <xf numFmtId="0" fontId="15" fillId="0" borderId="0" xfId="0" applyFont="1" applyAlignment="1">
      <alignment horizontal="left" vertical="center" wrapText="1"/>
    </xf>
    <xf numFmtId="0" fontId="3" fillId="0" borderId="0" xfId="27" applyFont="1" applyAlignment="1">
      <alignment horizontal="left" vertical="center"/>
    </xf>
    <xf numFmtId="0" fontId="2" fillId="0" borderId="0" xfId="27" applyFont="1" applyBorder="1" applyAlignment="1">
      <alignment horizontal="left" vertical="center"/>
    </xf>
    <xf numFmtId="4" fontId="2" fillId="0" borderId="0" xfId="27" applyNumberFormat="1" applyFont="1" applyBorder="1" applyAlignment="1">
      <alignment horizontal="center" vertical="center"/>
    </xf>
    <xf numFmtId="0" fontId="2" fillId="0" borderId="0" xfId="27" applyFont="1" applyBorder="1" applyAlignment="1">
      <alignment horizontal="center" vertical="center"/>
    </xf>
    <xf numFmtId="0" fontId="15" fillId="0" borderId="0" xfId="14" applyFont="1" applyAlignment="1">
      <alignment vertical="center"/>
    </xf>
    <xf numFmtId="49" fontId="15" fillId="5" borderId="14" xfId="14" applyNumberFormat="1" applyFont="1" applyFill="1" applyBorder="1" applyAlignment="1">
      <alignment horizontal="center" vertical="center" wrapText="1"/>
    </xf>
    <xf numFmtId="4" fontId="15" fillId="5" borderId="14" xfId="14" applyNumberFormat="1" applyFont="1" applyFill="1" applyBorder="1" applyAlignment="1">
      <alignment horizontal="center" vertical="center"/>
    </xf>
    <xf numFmtId="0" fontId="15" fillId="5" borderId="14" xfId="9" applyFont="1" applyFill="1" applyBorder="1" applyAlignment="1">
      <alignment vertical="center" wrapText="1"/>
    </xf>
    <xf numFmtId="0" fontId="0" fillId="0" borderId="0" xfId="0" applyAlignment="1">
      <alignment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9" fontId="0" fillId="0" borderId="14" xfId="0" applyNumberFormat="1" applyBorder="1" applyAlignment="1">
      <alignment horizontal="center"/>
    </xf>
    <xf numFmtId="0" fontId="0" fillId="0" borderId="14" xfId="0" applyBorder="1" applyAlignment="1">
      <alignment horizontal="center"/>
    </xf>
    <xf numFmtId="9" fontId="0" fillId="0" borderId="0" xfId="0" applyNumberFormat="1"/>
    <xf numFmtId="4" fontId="0" fillId="0" borderId="0" xfId="0" applyNumberFormat="1" applyAlignment="1">
      <alignment vertical="center"/>
    </xf>
    <xf numFmtId="0" fontId="15" fillId="0" borderId="0" xfId="27" applyFont="1" applyFill="1" applyBorder="1" applyAlignment="1">
      <alignment horizontal="left" vertical="center"/>
    </xf>
    <xf numFmtId="0" fontId="30" fillId="0" borderId="0" xfId="27" applyFont="1" applyAlignment="1">
      <alignment vertical="center"/>
    </xf>
    <xf numFmtId="0" fontId="40" fillId="0" borderId="0" xfId="75"/>
    <xf numFmtId="0" fontId="5" fillId="0" borderId="0" xfId="14" applyFont="1" applyFill="1"/>
    <xf numFmtId="173" fontId="15" fillId="0" borderId="2" xfId="27" applyNumberFormat="1" applyFont="1" applyBorder="1" applyAlignment="1">
      <alignment horizontal="center" vertical="center"/>
    </xf>
    <xf numFmtId="0" fontId="8" fillId="0" borderId="0" xfId="75" applyFont="1" applyAlignment="1">
      <alignment horizontal="left" vertical="top" wrapText="1"/>
    </xf>
    <xf numFmtId="0" fontId="9" fillId="0" borderId="22" xfId="75" applyFont="1" applyBorder="1" applyAlignment="1">
      <alignment horizontal="left" vertical="top" wrapText="1"/>
    </xf>
    <xf numFmtId="0" fontId="8" fillId="0" borderId="22" xfId="75" applyFont="1" applyBorder="1" applyAlignment="1">
      <alignment horizontal="left" vertical="top" wrapText="1"/>
    </xf>
    <xf numFmtId="0" fontId="9" fillId="0" borderId="14" xfId="75" applyFont="1" applyBorder="1" applyAlignment="1">
      <alignment horizontal="left" vertical="top" wrapText="1"/>
    </xf>
    <xf numFmtId="0" fontId="8" fillId="0" borderId="14" xfId="75" applyFont="1" applyBorder="1" applyAlignment="1">
      <alignment horizontal="center" vertical="center" wrapText="1"/>
    </xf>
    <xf numFmtId="0" fontId="45" fillId="0" borderId="0" xfId="56" applyFont="1" applyAlignment="1">
      <alignment horizontal="center" vertical="center" wrapText="1"/>
    </xf>
    <xf numFmtId="0" fontId="45" fillId="0" borderId="0" xfId="56" applyFont="1" applyAlignment="1">
      <alignment horizontal="left"/>
    </xf>
    <xf numFmtId="0" fontId="44" fillId="0" borderId="0" xfId="56" applyFont="1" applyAlignment="1">
      <alignment horizontal="center" vertical="center" wrapText="1"/>
    </xf>
    <xf numFmtId="2" fontId="45" fillId="0" borderId="0" xfId="56" applyNumberFormat="1" applyFont="1" applyAlignment="1">
      <alignment horizontal="center" vertical="center" wrapText="1"/>
    </xf>
    <xf numFmtId="0" fontId="45" fillId="0" borderId="23" xfId="56" applyFont="1" applyBorder="1" applyAlignment="1">
      <alignment horizontal="center" vertical="center" wrapText="1"/>
    </xf>
    <xf numFmtId="0" fontId="45" fillId="0" borderId="24" xfId="56" applyFont="1" applyBorder="1" applyAlignment="1">
      <alignment horizontal="center" vertical="center" wrapText="1"/>
    </xf>
    <xf numFmtId="2" fontId="45" fillId="0" borderId="24" xfId="56" applyNumberFormat="1" applyFont="1" applyBorder="1" applyAlignment="1">
      <alignment horizontal="center" vertical="center" wrapText="1"/>
    </xf>
    <xf numFmtId="2" fontId="45" fillId="0" borderId="25" xfId="56" applyNumberFormat="1" applyFont="1" applyBorder="1" applyAlignment="1">
      <alignment horizontal="center" vertical="center" wrapText="1"/>
    </xf>
    <xf numFmtId="1" fontId="45" fillId="0" borderId="24" xfId="56" applyNumberFormat="1" applyFont="1" applyBorder="1" applyAlignment="1">
      <alignment horizontal="center" vertical="center" wrapText="1"/>
    </xf>
    <xf numFmtId="1" fontId="45" fillId="0" borderId="25" xfId="56" applyNumberFormat="1" applyFont="1" applyBorder="1" applyAlignment="1">
      <alignment horizontal="center" vertical="center" wrapText="1"/>
    </xf>
    <xf numFmtId="0" fontId="45" fillId="0" borderId="28" xfId="56" applyFont="1" applyBorder="1" applyAlignment="1">
      <alignment vertical="center" wrapText="1"/>
    </xf>
    <xf numFmtId="0" fontId="45" fillId="0" borderId="28" xfId="56" applyFont="1" applyBorder="1" applyAlignment="1">
      <alignment horizontal="center" vertical="center" wrapText="1"/>
    </xf>
    <xf numFmtId="0" fontId="45" fillId="0" borderId="29" xfId="56" applyFont="1" applyBorder="1" applyAlignment="1">
      <alignment horizontal="center" vertical="center" wrapText="1"/>
    </xf>
    <xf numFmtId="0" fontId="45" fillId="0" borderId="28" xfId="56" applyNumberFormat="1" applyFont="1" applyFill="1" applyBorder="1" applyAlignment="1">
      <alignment horizontal="center" vertical="center" wrapText="1"/>
    </xf>
    <xf numFmtId="174" fontId="45" fillId="0" borderId="29" xfId="56" applyNumberFormat="1" applyFont="1" applyBorder="1" applyAlignment="1">
      <alignment horizontal="center" vertical="center" wrapText="1"/>
    </xf>
    <xf numFmtId="4" fontId="45" fillId="0" borderId="27" xfId="56" applyNumberFormat="1" applyFont="1" applyBorder="1" applyAlignment="1">
      <alignment horizontal="right" vertical="center" wrapText="1"/>
    </xf>
    <xf numFmtId="0" fontId="45" fillId="0" borderId="0" xfId="56" applyFont="1" applyBorder="1" applyAlignment="1">
      <alignment horizontal="center" vertical="center" wrapText="1"/>
    </xf>
    <xf numFmtId="0" fontId="45" fillId="0" borderId="28" xfId="56" applyFont="1" applyBorder="1" applyAlignment="1">
      <alignment horizontal="left" vertical="center" wrapText="1"/>
    </xf>
    <xf numFmtId="0" fontId="45" fillId="0" borderId="30" xfId="56" applyFont="1" applyBorder="1" applyAlignment="1">
      <alignment horizontal="center" vertical="center" wrapText="1"/>
    </xf>
    <xf numFmtId="9" fontId="45" fillId="0" borderId="14" xfId="56" applyNumberFormat="1" applyFont="1" applyBorder="1" applyAlignment="1">
      <alignment horizontal="center" vertical="center" wrapText="1"/>
    </xf>
    <xf numFmtId="1" fontId="45" fillId="0" borderId="31" xfId="56" applyNumberFormat="1" applyFont="1" applyBorder="1" applyAlignment="1">
      <alignment horizontal="center" vertical="center" wrapText="1"/>
    </xf>
    <xf numFmtId="2" fontId="45" fillId="0" borderId="14" xfId="56" applyNumberFormat="1" applyFont="1" applyBorder="1" applyAlignment="1">
      <alignment horizontal="center" vertical="center" wrapText="1"/>
    </xf>
    <xf numFmtId="4" fontId="45" fillId="0" borderId="32" xfId="56" applyNumberFormat="1" applyFont="1" applyBorder="1" applyAlignment="1">
      <alignment horizontal="right" vertical="center"/>
    </xf>
    <xf numFmtId="0" fontId="45" fillId="0" borderId="28" xfId="56" applyFont="1" applyFill="1" applyBorder="1" applyAlignment="1">
      <alignment vertical="center" wrapText="1"/>
    </xf>
    <xf numFmtId="0" fontId="45" fillId="0" borderId="19" xfId="56" applyFont="1" applyBorder="1" applyAlignment="1">
      <alignment horizontal="center" vertical="center" wrapText="1"/>
    </xf>
    <xf numFmtId="0" fontId="45" fillId="0" borderId="28" xfId="56" applyFont="1" applyFill="1" applyBorder="1" applyAlignment="1">
      <alignment horizontal="center" vertical="center" wrapText="1"/>
    </xf>
    <xf numFmtId="174" fontId="45" fillId="0" borderId="19" xfId="78" applyNumberFormat="1" applyFont="1" applyBorder="1" applyAlignment="1">
      <alignment horizontal="center" vertical="center" wrapText="1"/>
    </xf>
    <xf numFmtId="4" fontId="44" fillId="0" borderId="27" xfId="56" applyNumberFormat="1" applyFont="1" applyBorder="1" applyAlignment="1">
      <alignment horizontal="right" vertical="center" wrapText="1"/>
    </xf>
    <xf numFmtId="0" fontId="45" fillId="0" borderId="30" xfId="56" applyFont="1" applyBorder="1" applyAlignment="1">
      <alignment horizontal="left" vertical="center" wrapText="1"/>
    </xf>
    <xf numFmtId="174" fontId="45" fillId="0" borderId="28" xfId="56" applyNumberFormat="1" applyFont="1" applyFill="1" applyBorder="1" applyAlignment="1">
      <alignment horizontal="center" vertical="center" wrapText="1"/>
    </xf>
    <xf numFmtId="1" fontId="45" fillId="0" borderId="28" xfId="56" applyNumberFormat="1" applyFont="1" applyBorder="1" applyAlignment="1">
      <alignment horizontal="center" vertical="center" wrapText="1"/>
    </xf>
    <xf numFmtId="174" fontId="45" fillId="0" borderId="28" xfId="56" applyNumberFormat="1" applyFont="1" applyBorder="1" applyAlignment="1">
      <alignment horizontal="center" vertical="center" wrapText="1"/>
    </xf>
    <xf numFmtId="4" fontId="45" fillId="0" borderId="27" xfId="56" applyNumberFormat="1" applyFont="1" applyBorder="1" applyAlignment="1">
      <alignment horizontal="right" vertical="center"/>
    </xf>
    <xf numFmtId="4" fontId="44" fillId="0" borderId="35" xfId="56" applyNumberFormat="1" applyFont="1" applyBorder="1" applyAlignment="1">
      <alignment horizontal="right" vertical="center" wrapText="1"/>
    </xf>
    <xf numFmtId="4" fontId="44" fillId="0" borderId="38" xfId="56" applyNumberFormat="1" applyFont="1" applyBorder="1" applyAlignment="1">
      <alignment horizontal="right" vertical="center" wrapText="1"/>
    </xf>
    <xf numFmtId="0" fontId="45" fillId="0" borderId="0" xfId="56" applyFont="1"/>
    <xf numFmtId="4" fontId="44" fillId="0" borderId="39" xfId="56" applyNumberFormat="1" applyFont="1" applyFill="1" applyBorder="1" applyAlignment="1">
      <alignment horizontal="right" vertical="center" wrapText="1"/>
    </xf>
    <xf numFmtId="174" fontId="45" fillId="0" borderId="29" xfId="56" applyNumberFormat="1" applyFont="1" applyFill="1" applyBorder="1" applyAlignment="1">
      <alignment horizontal="center" vertical="center" wrapText="1"/>
    </xf>
    <xf numFmtId="4" fontId="44" fillId="0" borderId="42" xfId="56" applyNumberFormat="1" applyFont="1" applyBorder="1" applyAlignment="1">
      <alignment horizontal="right" vertical="center"/>
    </xf>
    <xf numFmtId="0" fontId="45" fillId="0" borderId="14" xfId="56" applyFont="1" applyBorder="1"/>
    <xf numFmtId="4" fontId="45" fillId="0" borderId="14" xfId="56" applyNumberFormat="1" applyFont="1" applyBorder="1" applyAlignment="1">
      <alignment horizontal="right"/>
    </xf>
    <xf numFmtId="0" fontId="44" fillId="0" borderId="15" xfId="56" applyFont="1" applyBorder="1" applyAlignment="1">
      <alignment horizontal="center" vertical="center" wrapText="1"/>
    </xf>
    <xf numFmtId="0" fontId="44" fillId="0" borderId="17" xfId="56" applyFont="1" applyBorder="1" applyAlignment="1">
      <alignment horizontal="center" vertical="center" wrapText="1"/>
    </xf>
    <xf numFmtId="0" fontId="45" fillId="0" borderId="16" xfId="56" applyFont="1" applyBorder="1" applyAlignment="1">
      <alignment horizontal="center" vertical="center" wrapText="1"/>
    </xf>
    <xf numFmtId="2" fontId="45" fillId="0" borderId="16" xfId="56" applyNumberFormat="1" applyFont="1" applyBorder="1" applyAlignment="1">
      <alignment horizontal="center" vertical="center" wrapText="1"/>
    </xf>
    <xf numFmtId="4" fontId="44" fillId="0" borderId="14" xfId="56" applyNumberFormat="1" applyFont="1" applyBorder="1" applyAlignment="1">
      <alignment horizontal="right" vertical="center" wrapText="1"/>
    </xf>
    <xf numFmtId="0" fontId="9" fillId="0" borderId="43" xfId="75" applyFont="1" applyBorder="1" applyAlignment="1">
      <alignment horizontal="left" vertical="top" wrapText="1"/>
    </xf>
    <xf numFmtId="0" fontId="8" fillId="0" borderId="0" xfId="45"/>
    <xf numFmtId="49" fontId="9" fillId="0" borderId="0" xfId="45" applyNumberFormat="1" applyFont="1" applyAlignment="1">
      <alignment horizontal="center"/>
    </xf>
    <xf numFmtId="0" fontId="8" fillId="0" borderId="0" xfId="45" applyFont="1"/>
    <xf numFmtId="0" fontId="8" fillId="0" borderId="0" xfId="45" quotePrefix="1" applyFont="1" applyAlignment="1">
      <alignment horizontal="left"/>
    </xf>
    <xf numFmtId="0" fontId="8" fillId="0" borderId="0" xfId="79" applyFont="1" applyAlignment="1">
      <alignment horizontal="right" vertical="top"/>
    </xf>
    <xf numFmtId="2" fontId="8" fillId="0" borderId="0" xfId="45" applyNumberFormat="1" applyFont="1" applyAlignment="1"/>
    <xf numFmtId="165" fontId="8" fillId="0" borderId="0" xfId="45" applyNumberFormat="1" applyFont="1" applyAlignment="1">
      <alignment horizontal="center"/>
    </xf>
    <xf numFmtId="0" fontId="8" fillId="0" borderId="16" xfId="45" applyFont="1" applyBorder="1" applyAlignment="1">
      <alignment horizontal="left" vertical="center"/>
    </xf>
    <xf numFmtId="0" fontId="8" fillId="0" borderId="0" xfId="45" applyFont="1" applyAlignment="1">
      <alignment horizontal="left" vertical="center"/>
    </xf>
    <xf numFmtId="0" fontId="8" fillId="0" borderId="17" xfId="45" applyFont="1" applyBorder="1" applyAlignment="1">
      <alignment horizontal="left" vertical="center"/>
    </xf>
    <xf numFmtId="0" fontId="48" fillId="0" borderId="0" xfId="80" applyFont="1" applyFill="1" applyAlignment="1" applyProtection="1">
      <alignment horizontal="left" wrapText="1"/>
      <protection locked="0"/>
    </xf>
    <xf numFmtId="0" fontId="8" fillId="0" borderId="17" xfId="45" applyBorder="1" applyAlignment="1">
      <alignment horizontal="left" vertical="center"/>
    </xf>
    <xf numFmtId="49" fontId="8" fillId="0" borderId="15" xfId="45" applyNumberFormat="1" applyBorder="1"/>
    <xf numFmtId="49" fontId="8" fillId="0" borderId="14" xfId="45" applyNumberFormat="1" applyFont="1" applyFill="1" applyBorder="1" applyAlignment="1">
      <alignment horizontal="center" vertical="center" wrapText="1"/>
    </xf>
    <xf numFmtId="0" fontId="8" fillId="0" borderId="14" xfId="45" applyFont="1" applyFill="1" applyBorder="1" applyAlignment="1">
      <alignment horizontal="center" vertical="center" wrapText="1"/>
    </xf>
    <xf numFmtId="0" fontId="8" fillId="0" borderId="14" xfId="45" quotePrefix="1" applyNumberFormat="1" applyFont="1" applyFill="1" applyBorder="1" applyAlignment="1">
      <alignment horizontal="center" vertical="center" wrapText="1"/>
    </xf>
    <xf numFmtId="0" fontId="8" fillId="0" borderId="14" xfId="46" applyFont="1" applyFill="1" applyBorder="1" applyAlignment="1">
      <alignment horizontal="center" vertical="center" wrapText="1"/>
    </xf>
    <xf numFmtId="4" fontId="8" fillId="0" borderId="14" xfId="45" applyNumberFormat="1" applyFont="1" applyFill="1" applyBorder="1" applyAlignment="1">
      <alignment horizontal="center" vertical="center" wrapText="1"/>
    </xf>
    <xf numFmtId="4" fontId="8" fillId="0" borderId="14" xfId="45" applyNumberFormat="1" applyFont="1" applyFill="1" applyBorder="1" applyAlignment="1">
      <alignment horizontal="right" vertical="center" wrapText="1"/>
    </xf>
    <xf numFmtId="16" fontId="8" fillId="0" borderId="14" xfId="45" quotePrefix="1" applyNumberFormat="1" applyFont="1" applyFill="1" applyBorder="1" applyAlignment="1">
      <alignment horizontal="center" vertical="center" wrapText="1"/>
    </xf>
    <xf numFmtId="0" fontId="8" fillId="5" borderId="14" xfId="45" applyFont="1" applyFill="1" applyBorder="1" applyAlignment="1">
      <alignment horizontal="center" vertical="center" wrapText="1"/>
    </xf>
    <xf numFmtId="0" fontId="8" fillId="5" borderId="14" xfId="46" applyFont="1" applyFill="1" applyBorder="1" applyAlignment="1">
      <alignment horizontal="center" vertical="center" wrapText="1"/>
    </xf>
    <xf numFmtId="4" fontId="8" fillId="5" borderId="14" xfId="45" applyNumberFormat="1" applyFont="1" applyFill="1" applyBorder="1" applyAlignment="1">
      <alignment horizontal="center" vertical="center" wrapText="1"/>
    </xf>
    <xf numFmtId="4" fontId="8" fillId="5" borderId="14" xfId="45" applyNumberFormat="1" applyFont="1" applyFill="1" applyBorder="1" applyAlignment="1">
      <alignment horizontal="right" vertical="center" wrapText="1"/>
    </xf>
    <xf numFmtId="4" fontId="51" fillId="0" borderId="14" xfId="45" applyNumberFormat="1" applyFont="1" applyFill="1" applyBorder="1" applyAlignment="1">
      <alignment horizontal="right" vertical="center" wrapText="1"/>
    </xf>
    <xf numFmtId="0" fontId="52" fillId="0" borderId="14" xfId="45" applyFont="1" applyFill="1" applyBorder="1" applyAlignment="1">
      <alignment horizontal="center" vertical="center" wrapText="1"/>
    </xf>
    <xf numFmtId="4" fontId="52" fillId="0" borderId="14" xfId="45" applyNumberFormat="1" applyFont="1" applyFill="1" applyBorder="1" applyAlignment="1">
      <alignment horizontal="center" vertical="center" wrapText="1"/>
    </xf>
    <xf numFmtId="4" fontId="52" fillId="0" borderId="14" xfId="45" applyNumberFormat="1" applyFont="1" applyFill="1" applyBorder="1" applyAlignment="1">
      <alignment horizontal="right" vertical="center" wrapText="1"/>
    </xf>
    <xf numFmtId="0" fontId="8" fillId="0" borderId="14" xfId="45" applyFont="1" applyFill="1" applyBorder="1" applyAlignment="1">
      <alignment vertical="center" wrapText="1"/>
    </xf>
    <xf numFmtId="4" fontId="8" fillId="0" borderId="14" xfId="45" applyNumberFormat="1" applyFont="1" applyFill="1" applyBorder="1" applyAlignment="1">
      <alignment vertical="center" wrapText="1"/>
    </xf>
    <xf numFmtId="2" fontId="8" fillId="0" borderId="14" xfId="45" applyNumberFormat="1" applyFont="1" applyFill="1" applyBorder="1" applyAlignment="1">
      <alignment horizontal="center" vertical="center" wrapText="1"/>
    </xf>
    <xf numFmtId="0" fontId="8" fillId="0" borderId="14" xfId="45" applyFont="1" applyFill="1" applyBorder="1" applyAlignment="1">
      <alignment horizontal="left" vertical="center" wrapText="1"/>
    </xf>
    <xf numFmtId="0" fontId="8" fillId="0" borderId="16" xfId="45" applyFont="1" applyFill="1" applyBorder="1" applyAlignment="1">
      <alignment horizontal="center" vertical="center" wrapText="1"/>
    </xf>
    <xf numFmtId="0" fontId="29" fillId="0" borderId="14" xfId="74" applyFont="1" applyFill="1" applyBorder="1" applyAlignment="1">
      <alignment horizontal="right" wrapText="1"/>
    </xf>
    <xf numFmtId="0" fontId="8" fillId="0" borderId="15" xfId="45" applyFont="1" applyFill="1" applyBorder="1" applyAlignment="1">
      <alignment horizontal="left" vertical="center" wrapText="1"/>
    </xf>
    <xf numFmtId="0" fontId="8" fillId="0" borderId="17" xfId="45" applyFont="1" applyFill="1" applyBorder="1" applyAlignment="1">
      <alignment horizontal="right" vertical="center" wrapText="1"/>
    </xf>
    <xf numFmtId="4" fontId="8" fillId="0" borderId="16" xfId="45" applyNumberFormat="1" applyFont="1" applyFill="1" applyBorder="1" applyAlignment="1">
      <alignment horizontal="center" vertical="center" wrapText="1"/>
    </xf>
    <xf numFmtId="0" fontId="9" fillId="0" borderId="16" xfId="45" applyFont="1" applyFill="1" applyBorder="1" applyAlignment="1">
      <alignment vertical="center" wrapText="1"/>
    </xf>
    <xf numFmtId="4" fontId="9" fillId="0" borderId="17" xfId="45" applyNumberFormat="1" applyFont="1" applyFill="1" applyBorder="1" applyAlignment="1">
      <alignment vertical="center" wrapText="1"/>
    </xf>
    <xf numFmtId="4" fontId="9" fillId="0" borderId="14" xfId="45" applyNumberFormat="1" applyFont="1" applyFill="1" applyBorder="1" applyAlignment="1">
      <alignment horizontal="right" vertical="center" wrapText="1"/>
    </xf>
    <xf numFmtId="0" fontId="8" fillId="0" borderId="14" xfId="45" quotePrefix="1" applyNumberFormat="1" applyFill="1" applyBorder="1" applyAlignment="1">
      <alignment horizontal="center" vertical="center" wrapText="1"/>
    </xf>
    <xf numFmtId="0" fontId="29" fillId="0" borderId="14" xfId="46" applyFont="1" applyFill="1" applyBorder="1" applyAlignment="1">
      <alignment vertical="top" wrapText="1"/>
    </xf>
    <xf numFmtId="166" fontId="8" fillId="0" borderId="14" xfId="45" applyNumberFormat="1" applyFont="1" applyFill="1" applyBorder="1" applyAlignment="1">
      <alignment horizontal="center" vertical="center" wrapText="1"/>
    </xf>
    <xf numFmtId="4" fontId="53" fillId="0" borderId="14" xfId="45" applyNumberFormat="1" applyFont="1" applyFill="1" applyBorder="1" applyAlignment="1">
      <alignment horizontal="right" vertical="center" wrapText="1"/>
    </xf>
    <xf numFmtId="0" fontId="49" fillId="0" borderId="15" xfId="45" applyFont="1" applyFill="1" applyBorder="1" applyAlignment="1">
      <alignment horizontal="center" vertical="center" wrapText="1"/>
    </xf>
    <xf numFmtId="0" fontId="54" fillId="0" borderId="14" xfId="51" applyFont="1" applyBorder="1" applyAlignment="1">
      <alignment horizontal="center" vertical="center" wrapText="1"/>
    </xf>
    <xf numFmtId="0" fontId="52" fillId="0" borderId="16" xfId="45" applyFont="1" applyFill="1" applyBorder="1" applyAlignment="1">
      <alignment horizontal="center" vertical="center" wrapText="1"/>
    </xf>
    <xf numFmtId="3" fontId="52" fillId="0" borderId="14" xfId="45" applyNumberFormat="1" applyFont="1" applyFill="1" applyBorder="1" applyAlignment="1">
      <alignment horizontal="center" vertical="center" wrapText="1"/>
    </xf>
    <xf numFmtId="4" fontId="52" fillId="0" borderId="17" xfId="45" applyNumberFormat="1" applyFont="1" applyFill="1" applyBorder="1" applyAlignment="1">
      <alignment horizontal="right" vertical="center" wrapText="1"/>
    </xf>
    <xf numFmtId="4" fontId="49" fillId="0" borderId="17" xfId="45" applyNumberFormat="1" applyFont="1" applyFill="1" applyBorder="1" applyAlignment="1">
      <alignment horizontal="right" vertical="center" wrapText="1"/>
    </xf>
    <xf numFmtId="0" fontId="8" fillId="9" borderId="14" xfId="45" quotePrefix="1" applyFont="1" applyFill="1" applyBorder="1" applyAlignment="1">
      <alignment horizontal="center" vertical="center" wrapText="1"/>
    </xf>
    <xf numFmtId="0" fontId="55" fillId="9" borderId="14" xfId="46" applyFont="1" applyFill="1" applyBorder="1" applyAlignment="1">
      <alignment horizontal="center" vertical="center" wrapText="1"/>
    </xf>
    <xf numFmtId="0" fontId="8" fillId="9" borderId="14" xfId="45" applyFont="1" applyFill="1" applyBorder="1" applyAlignment="1">
      <alignment horizontal="center" vertical="center" wrapText="1"/>
    </xf>
    <xf numFmtId="0" fontId="9" fillId="9" borderId="14" xfId="45" applyFont="1" applyFill="1" applyBorder="1" applyAlignment="1">
      <alignment horizontal="center" vertical="top" wrapText="1"/>
    </xf>
    <xf numFmtId="2" fontId="8" fillId="9" borderId="14" xfId="45" applyNumberFormat="1" applyFont="1" applyFill="1" applyBorder="1" applyAlignment="1">
      <alignment horizontal="center" vertical="center" wrapText="1"/>
    </xf>
    <xf numFmtId="2" fontId="7" fillId="9" borderId="14" xfId="45" applyNumberFormat="1" applyFont="1" applyFill="1" applyBorder="1" applyAlignment="1">
      <alignment horizontal="center" vertical="center" wrapText="1"/>
    </xf>
    <xf numFmtId="0" fontId="8" fillId="0" borderId="14" xfId="45" quotePrefix="1" applyFont="1" applyFill="1" applyBorder="1" applyAlignment="1">
      <alignment horizontal="center" vertical="center" wrapText="1"/>
    </xf>
    <xf numFmtId="2" fontId="7" fillId="0" borderId="14" xfId="45" applyNumberFormat="1" applyFont="1" applyFill="1" applyBorder="1" applyAlignment="1">
      <alignment horizontal="center" vertical="center" wrapText="1"/>
    </xf>
    <xf numFmtId="0" fontId="8" fillId="0" borderId="0" xfId="45" applyFill="1"/>
    <xf numFmtId="0" fontId="52" fillId="9" borderId="14" xfId="45" quotePrefix="1" applyFont="1" applyFill="1" applyBorder="1" applyAlignment="1">
      <alignment horizontal="center" vertical="center" wrapText="1"/>
    </xf>
    <xf numFmtId="4" fontId="22" fillId="0" borderId="14" xfId="45" applyNumberFormat="1" applyFont="1" applyFill="1" applyBorder="1" applyAlignment="1">
      <alignment horizontal="right" vertical="center" wrapText="1"/>
    </xf>
    <xf numFmtId="9" fontId="48" fillId="0" borderId="14" xfId="45" applyNumberFormat="1" applyFont="1" applyFill="1" applyBorder="1" applyAlignment="1">
      <alignment horizontal="center" vertical="center" wrapText="1"/>
    </xf>
    <xf numFmtId="0" fontId="48" fillId="0" borderId="14" xfId="45" applyFont="1" applyFill="1" applyBorder="1" applyAlignment="1">
      <alignment horizontal="left" vertical="center" wrapText="1"/>
    </xf>
    <xf numFmtId="2" fontId="48" fillId="0" borderId="14" xfId="45" applyNumberFormat="1" applyFont="1" applyFill="1" applyBorder="1" applyAlignment="1">
      <alignment horizontal="right" vertical="center" wrapText="1"/>
    </xf>
    <xf numFmtId="49" fontId="8" fillId="0" borderId="0" xfId="45" applyNumberFormat="1"/>
    <xf numFmtId="4" fontId="15" fillId="2" borderId="2" xfId="14" applyNumberFormat="1" applyFont="1" applyFill="1" applyBorder="1" applyAlignment="1">
      <alignment horizontal="center" vertical="center" wrapText="1"/>
    </xf>
    <xf numFmtId="0" fontId="2" fillId="0" borderId="0" xfId="51" applyFont="1"/>
    <xf numFmtId="0" fontId="3" fillId="0" borderId="0" xfId="51" applyFont="1"/>
    <xf numFmtId="0" fontId="3" fillId="0" borderId="0" xfId="51" applyFont="1" applyBorder="1" applyAlignment="1">
      <alignment horizontal="center"/>
    </xf>
    <xf numFmtId="0" fontId="3" fillId="0" borderId="0" xfId="51" applyFont="1" applyBorder="1" applyAlignment="1">
      <alignment horizontal="center" vertical="center"/>
    </xf>
    <xf numFmtId="0" fontId="15" fillId="0" borderId="0" xfId="51" applyFont="1"/>
    <xf numFmtId="0" fontId="15" fillId="0" borderId="48" xfId="51" applyNumberFormat="1" applyFont="1" applyFill="1" applyBorder="1" applyAlignment="1">
      <alignment horizontal="center" vertical="center"/>
    </xf>
    <xf numFmtId="0" fontId="15" fillId="4" borderId="49" xfId="51" applyFont="1" applyFill="1" applyBorder="1" applyAlignment="1">
      <alignment vertical="center" wrapText="1"/>
    </xf>
    <xf numFmtId="0" fontId="15" fillId="0" borderId="49" xfId="51" applyFont="1" applyFill="1" applyBorder="1" applyAlignment="1">
      <alignment horizontal="center" vertical="center" wrapText="1"/>
    </xf>
    <xf numFmtId="43" fontId="15" fillId="0" borderId="49" xfId="43" applyFont="1" applyFill="1" applyBorder="1" applyAlignment="1">
      <alignment horizontal="center" vertical="center"/>
    </xf>
    <xf numFmtId="14" fontId="15" fillId="0" borderId="49" xfId="51" applyNumberFormat="1" applyFont="1" applyFill="1" applyBorder="1" applyAlignment="1">
      <alignment horizontal="center" vertical="center" wrapText="1"/>
    </xf>
    <xf numFmtId="175" fontId="15" fillId="0" borderId="49" xfId="43" applyNumberFormat="1" applyFont="1" applyFill="1" applyBorder="1" applyAlignment="1">
      <alignment horizontal="center" vertical="center"/>
    </xf>
    <xf numFmtId="0" fontId="15" fillId="0" borderId="0" xfId="51" applyFont="1" applyFill="1"/>
    <xf numFmtId="0" fontId="3" fillId="0" borderId="0" xfId="51" applyFont="1" applyBorder="1" applyAlignment="1">
      <alignment horizontal="right"/>
    </xf>
    <xf numFmtId="0" fontId="4" fillId="0" borderId="0" xfId="51" applyFont="1"/>
    <xf numFmtId="0" fontId="4" fillId="0" borderId="48" xfId="51" applyNumberFormat="1" applyFont="1" applyFill="1" applyBorder="1" applyAlignment="1">
      <alignment horizontal="center" vertical="center"/>
    </xf>
    <xf numFmtId="43" fontId="4" fillId="0" borderId="49" xfId="43" applyFont="1" applyFill="1" applyBorder="1" applyAlignment="1">
      <alignment horizontal="center" vertical="center"/>
    </xf>
    <xf numFmtId="0" fontId="15" fillId="0" borderId="49" xfId="51" applyFont="1" applyFill="1" applyBorder="1" applyAlignment="1">
      <alignment vertical="center" wrapText="1"/>
    </xf>
    <xf numFmtId="2" fontId="15" fillId="0" borderId="49" xfId="51" applyNumberFormat="1" applyFont="1" applyFill="1" applyBorder="1" applyAlignment="1">
      <alignment horizontal="center" vertical="center" wrapText="1"/>
    </xf>
    <xf numFmtId="166" fontId="15" fillId="0" borderId="49" xfId="51" applyNumberFormat="1" applyFont="1" applyFill="1" applyBorder="1" applyAlignment="1">
      <alignment horizontal="center" vertical="center"/>
    </xf>
    <xf numFmtId="43" fontId="3" fillId="0" borderId="49" xfId="43" applyFont="1" applyFill="1" applyBorder="1" applyAlignment="1">
      <alignment horizontal="center" vertical="center"/>
    </xf>
    <xf numFmtId="165" fontId="15" fillId="0" borderId="49" xfId="51" applyNumberFormat="1" applyFont="1" applyFill="1" applyBorder="1" applyAlignment="1">
      <alignment horizontal="center" vertical="center" wrapText="1"/>
    </xf>
    <xf numFmtId="0" fontId="15" fillId="0" borderId="49" xfId="51" applyFont="1" applyFill="1" applyBorder="1" applyAlignment="1">
      <alignment horizontal="center" vertical="center"/>
    </xf>
    <xf numFmtId="0" fontId="15" fillId="4" borderId="51" xfId="51" applyFont="1" applyFill="1" applyBorder="1" applyAlignment="1">
      <alignment vertical="center" wrapText="1"/>
    </xf>
    <xf numFmtId="0" fontId="15" fillId="0" borderId="51" xfId="51" applyFont="1" applyFill="1" applyBorder="1" applyAlignment="1">
      <alignment horizontal="center" vertical="center" wrapText="1"/>
    </xf>
    <xf numFmtId="164" fontId="3" fillId="0" borderId="0" xfId="51" applyNumberFormat="1" applyFont="1"/>
    <xf numFmtId="0" fontId="3" fillId="0" borderId="0" xfId="51" applyFont="1" applyFill="1"/>
    <xf numFmtId="14" fontId="3" fillId="0" borderId="49" xfId="0" applyNumberFormat="1" applyFont="1" applyFill="1" applyBorder="1" applyAlignment="1">
      <alignment horizontal="center" vertical="center" wrapText="1"/>
    </xf>
    <xf numFmtId="43" fontId="3" fillId="0" borderId="49" xfId="67" applyFont="1" applyFill="1" applyBorder="1" applyAlignment="1">
      <alignment horizontal="center" vertical="center"/>
    </xf>
    <xf numFmtId="43" fontId="3" fillId="0" borderId="51" xfId="67" applyFont="1" applyFill="1" applyBorder="1" applyAlignment="1">
      <alignment horizontal="center" vertical="center"/>
    </xf>
    <xf numFmtId="0" fontId="3" fillId="7" borderId="53" xfId="51" applyFont="1" applyFill="1" applyBorder="1" applyAlignment="1">
      <alignment horizontal="center" vertical="center" wrapText="1"/>
    </xf>
    <xf numFmtId="0" fontId="3" fillId="7" borderId="53" xfId="51" applyFont="1" applyFill="1" applyBorder="1" applyAlignment="1">
      <alignment horizontal="center" vertical="center"/>
    </xf>
    <xf numFmtId="0" fontId="4" fillId="0" borderId="0" xfId="51" applyFont="1" applyAlignment="1">
      <alignment vertical="center" wrapText="1"/>
    </xf>
    <xf numFmtId="0" fontId="4" fillId="0" borderId="0" xfId="51" applyFont="1" applyFill="1" applyAlignment="1">
      <alignment vertical="center" wrapText="1"/>
    </xf>
    <xf numFmtId="0" fontId="2" fillId="7" borderId="53" xfId="51" applyFont="1" applyFill="1" applyBorder="1" applyAlignment="1">
      <alignment horizontal="center" vertical="center"/>
    </xf>
    <xf numFmtId="0" fontId="2" fillId="7" borderId="53" xfId="51" applyFont="1" applyFill="1" applyBorder="1" applyAlignment="1">
      <alignment horizontal="right" vertical="center"/>
    </xf>
    <xf numFmtId="4" fontId="2" fillId="7" borderId="53" xfId="51" applyNumberFormat="1" applyFont="1" applyFill="1" applyBorder="1" applyAlignment="1">
      <alignment horizontal="center" vertical="center"/>
    </xf>
    <xf numFmtId="0" fontId="2" fillId="7" borderId="53" xfId="51" applyFont="1" applyFill="1" applyBorder="1"/>
    <xf numFmtId="0" fontId="3" fillId="7" borderId="53" xfId="51" applyFont="1" applyFill="1" applyBorder="1"/>
    <xf numFmtId="0" fontId="3" fillId="7" borderId="53" xfId="51" applyFont="1" applyFill="1" applyBorder="1" applyAlignment="1">
      <alignment horizontal="right"/>
    </xf>
    <xf numFmtId="0" fontId="2" fillId="7" borderId="53" xfId="51" applyFont="1" applyFill="1" applyBorder="1" applyAlignment="1">
      <alignment horizontal="right"/>
    </xf>
    <xf numFmtId="0" fontId="4" fillId="0" borderId="53" xfId="51" applyFont="1" applyBorder="1" applyAlignment="1">
      <alignment horizontal="left" vertical="center" wrapText="1"/>
    </xf>
    <xf numFmtId="0" fontId="4" fillId="0" borderId="53" xfId="51" applyFont="1" applyBorder="1" applyAlignment="1">
      <alignment horizontal="center" vertical="center"/>
    </xf>
    <xf numFmtId="0" fontId="4" fillId="0" borderId="53" xfId="51" applyFont="1" applyBorder="1" applyAlignment="1">
      <alignment horizontal="center" vertical="center" wrapText="1"/>
    </xf>
    <xf numFmtId="14" fontId="4" fillId="0" borderId="53" xfId="51" applyNumberFormat="1" applyFont="1" applyFill="1" applyBorder="1" applyAlignment="1">
      <alignment horizontal="center" vertical="center" wrapText="1"/>
    </xf>
    <xf numFmtId="4" fontId="4" fillId="0" borderId="53" xfId="51" applyNumberFormat="1" applyFont="1" applyBorder="1" applyAlignment="1">
      <alignment horizontal="center" vertical="center"/>
    </xf>
    <xf numFmtId="175" fontId="4" fillId="0" borderId="53" xfId="43" applyNumberFormat="1" applyFont="1" applyFill="1" applyBorder="1" applyAlignment="1">
      <alignment horizontal="center" vertical="center"/>
    </xf>
    <xf numFmtId="43" fontId="4" fillId="0" borderId="53" xfId="77" applyFont="1" applyBorder="1" applyAlignment="1">
      <alignment horizontal="center" vertical="center"/>
    </xf>
    <xf numFmtId="166" fontId="4" fillId="0" borderId="53" xfId="51" applyNumberFormat="1" applyFont="1" applyFill="1" applyBorder="1" applyAlignment="1">
      <alignment horizontal="center" vertical="center"/>
    </xf>
    <xf numFmtId="175" fontId="4" fillId="0" borderId="53" xfId="43" applyNumberFormat="1" applyFont="1" applyFill="1" applyBorder="1" applyAlignment="1">
      <alignment vertical="center"/>
    </xf>
    <xf numFmtId="4" fontId="4" fillId="0" borderId="53" xfId="51" applyNumberFormat="1" applyFont="1" applyFill="1" applyBorder="1" applyAlignment="1">
      <alignment horizontal="center" vertical="center"/>
    </xf>
    <xf numFmtId="0" fontId="4" fillId="0" borderId="50" xfId="51" applyFont="1" applyFill="1" applyBorder="1" applyAlignment="1">
      <alignment wrapText="1"/>
    </xf>
    <xf numFmtId="0" fontId="15" fillId="0" borderId="54" xfId="51" applyNumberFormat="1" applyFont="1" applyFill="1" applyBorder="1" applyAlignment="1">
      <alignment horizontal="center" vertical="center"/>
    </xf>
    <xf numFmtId="0" fontId="15" fillId="0" borderId="52" xfId="51" applyFont="1" applyFill="1" applyBorder="1" applyAlignment="1">
      <alignment vertical="center" wrapText="1"/>
    </xf>
    <xf numFmtId="0" fontId="15" fillId="0" borderId="52" xfId="51" applyFont="1" applyFill="1" applyBorder="1" applyAlignment="1">
      <alignment horizontal="center" vertical="center" wrapText="1"/>
    </xf>
    <xf numFmtId="2" fontId="15" fillId="0" borderId="52" xfId="51" applyNumberFormat="1" applyFont="1" applyFill="1" applyBorder="1" applyAlignment="1">
      <alignment horizontal="center" vertical="center" wrapText="1"/>
    </xf>
    <xf numFmtId="14" fontId="15" fillId="0" borderId="52" xfId="51" applyNumberFormat="1" applyFont="1" applyFill="1" applyBorder="1" applyAlignment="1">
      <alignment horizontal="center" vertical="center" wrapText="1"/>
    </xf>
    <xf numFmtId="43" fontId="15" fillId="0" borderId="52" xfId="43" applyFont="1" applyFill="1" applyBorder="1" applyAlignment="1">
      <alignment horizontal="center" vertical="center"/>
    </xf>
    <xf numFmtId="175" fontId="15" fillId="0" borderId="52" xfId="43" applyNumberFormat="1" applyFont="1" applyFill="1" applyBorder="1" applyAlignment="1">
      <alignment horizontal="center" vertical="center"/>
    </xf>
    <xf numFmtId="166" fontId="15" fillId="0" borderId="52" xfId="51" applyNumberFormat="1" applyFont="1" applyFill="1" applyBorder="1" applyAlignment="1">
      <alignment horizontal="center" vertical="center"/>
    </xf>
    <xf numFmtId="0" fontId="4" fillId="0" borderId="55" xfId="51" applyFont="1" applyFill="1" applyBorder="1" applyAlignment="1">
      <alignment wrapText="1"/>
    </xf>
    <xf numFmtId="0" fontId="3" fillId="0" borderId="53" xfId="51" applyFont="1" applyBorder="1" applyAlignment="1">
      <alignment horizontal="left" vertical="center" wrapText="1"/>
    </xf>
    <xf numFmtId="0" fontId="3" fillId="0" borderId="53" xfId="51" applyFont="1" applyBorder="1" applyAlignment="1">
      <alignment horizontal="center" vertical="center"/>
    </xf>
    <xf numFmtId="0" fontId="3" fillId="0" borderId="53" xfId="51" applyFont="1" applyBorder="1" applyAlignment="1">
      <alignment horizontal="center" vertical="center" wrapText="1"/>
    </xf>
    <xf numFmtId="14" fontId="15" fillId="0" borderId="53" xfId="51" applyNumberFormat="1" applyFont="1" applyFill="1" applyBorder="1" applyAlignment="1">
      <alignment horizontal="center" vertical="center" wrapText="1"/>
    </xf>
    <xf numFmtId="4" fontId="3" fillId="0" borderId="53" xfId="51" applyNumberFormat="1" applyFont="1" applyFill="1" applyBorder="1" applyAlignment="1">
      <alignment horizontal="center" vertical="center"/>
    </xf>
    <xf numFmtId="4" fontId="3" fillId="0" borderId="53" xfId="51" applyNumberFormat="1" applyFont="1" applyBorder="1" applyAlignment="1">
      <alignment horizontal="center" vertical="center"/>
    </xf>
    <xf numFmtId="175" fontId="15" fillId="0" borderId="53" xfId="43" applyNumberFormat="1" applyFont="1" applyFill="1" applyBorder="1" applyAlignment="1">
      <alignment horizontal="center" vertical="center"/>
    </xf>
    <xf numFmtId="43" fontId="3" fillId="0" borderId="53" xfId="77" applyFont="1" applyBorder="1" applyAlignment="1">
      <alignment horizontal="center" vertical="center"/>
    </xf>
    <xf numFmtId="166" fontId="15" fillId="0" borderId="53" xfId="51" applyNumberFormat="1" applyFont="1" applyFill="1" applyBorder="1" applyAlignment="1">
      <alignment horizontal="center" vertical="center"/>
    </xf>
    <xf numFmtId="4" fontId="3" fillId="2" borderId="53" xfId="51" applyNumberFormat="1" applyFont="1" applyFill="1" applyBorder="1" applyAlignment="1">
      <alignment horizontal="center" vertical="center"/>
    </xf>
    <xf numFmtId="0" fontId="3" fillId="0" borderId="53" xfId="51" applyFont="1" applyFill="1" applyBorder="1" applyAlignment="1">
      <alignment horizontal="left" vertical="center" wrapText="1"/>
    </xf>
    <xf numFmtId="0" fontId="3" fillId="0" borderId="53" xfId="51" applyFont="1" applyFill="1" applyBorder="1" applyAlignment="1">
      <alignment horizontal="center" vertical="center"/>
    </xf>
    <xf numFmtId="0" fontId="3" fillId="0" borderId="53" xfId="51" applyFont="1" applyFill="1" applyBorder="1" applyAlignment="1">
      <alignment horizontal="center" vertical="center" wrapText="1"/>
    </xf>
    <xf numFmtId="43" fontId="3" fillId="0" borderId="53" xfId="77" applyFont="1" applyFill="1" applyBorder="1" applyAlignment="1">
      <alignment horizontal="center" vertical="center"/>
    </xf>
    <xf numFmtId="0" fontId="3" fillId="0" borderId="48" xfId="0" applyNumberFormat="1" applyFont="1" applyFill="1" applyBorder="1" applyAlignment="1">
      <alignment horizontal="center" vertical="center"/>
    </xf>
    <xf numFmtId="0" fontId="57" fillId="4" borderId="49" xfId="0" applyFont="1" applyFill="1" applyBorder="1" applyAlignment="1">
      <alignment vertical="center" wrapText="1"/>
    </xf>
    <xf numFmtId="0" fontId="3" fillId="0" borderId="51" xfId="0" applyFont="1" applyFill="1" applyBorder="1" applyAlignment="1">
      <alignment horizontal="center" vertical="center" wrapText="1"/>
    </xf>
    <xf numFmtId="176" fontId="3" fillId="0" borderId="49" xfId="0" applyNumberFormat="1" applyFont="1" applyFill="1" applyBorder="1" applyAlignment="1">
      <alignment horizontal="center" vertical="center" wrapText="1"/>
    </xf>
    <xf numFmtId="0" fontId="15" fillId="0" borderId="51" xfId="0" applyFont="1" applyFill="1" applyBorder="1" applyAlignment="1">
      <alignment horizontal="center" vertical="center" wrapText="1"/>
    </xf>
    <xf numFmtId="0" fontId="4" fillId="0" borderId="56" xfId="0" applyFont="1" applyFill="1" applyBorder="1" applyAlignment="1">
      <alignment wrapText="1"/>
    </xf>
    <xf numFmtId="176" fontId="15" fillId="0" borderId="51" xfId="51" applyNumberFormat="1" applyFont="1" applyFill="1" applyBorder="1" applyAlignment="1">
      <alignment horizontal="center" vertical="center" wrapText="1"/>
    </xf>
    <xf numFmtId="4" fontId="15" fillId="0" borderId="51" xfId="51" applyNumberFormat="1"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15" fillId="0" borderId="50" xfId="51" applyFont="1" applyBorder="1" applyAlignment="1">
      <alignment wrapText="1"/>
    </xf>
    <xf numFmtId="0" fontId="8" fillId="0" borderId="0" xfId="75" applyFont="1" applyAlignment="1">
      <alignment horizontal="left" vertical="top" wrapText="1"/>
    </xf>
    <xf numFmtId="0" fontId="9" fillId="0" borderId="43" xfId="75" applyFont="1" applyBorder="1" applyAlignment="1">
      <alignment horizontal="left" vertical="top" wrapText="1"/>
    </xf>
    <xf numFmtId="0" fontId="9" fillId="0" borderId="22" xfId="75" applyFont="1" applyBorder="1" applyAlignment="1">
      <alignment horizontal="left" vertical="top" wrapText="1"/>
    </xf>
    <xf numFmtId="0" fontId="8" fillId="0" borderId="22" xfId="75" applyFont="1" applyBorder="1" applyAlignment="1">
      <alignment horizontal="left" vertical="top" wrapText="1"/>
    </xf>
    <xf numFmtId="0" fontId="12" fillId="0" borderId="0" xfId="51" applyFont="1"/>
    <xf numFmtId="0" fontId="36" fillId="0" borderId="0" xfId="51" applyFont="1" applyAlignment="1">
      <alignment vertical="center" wrapText="1"/>
    </xf>
    <xf numFmtId="0" fontId="60" fillId="0" borderId="53" xfId="0" applyFont="1" applyBorder="1" applyAlignment="1">
      <alignment horizontal="center" vertical="center" wrapText="1"/>
    </xf>
    <xf numFmtId="2" fontId="60" fillId="0" borderId="53" xfId="0" applyNumberFormat="1" applyFont="1" applyBorder="1" applyAlignment="1">
      <alignment horizontal="center" vertical="center" wrapText="1"/>
    </xf>
    <xf numFmtId="0" fontId="60" fillId="0" borderId="53" xfId="0" applyFont="1" applyFill="1" applyBorder="1" applyAlignment="1">
      <alignment horizontal="center" vertical="center" wrapText="1"/>
    </xf>
    <xf numFmtId="2" fontId="60" fillId="0" borderId="53" xfId="0" applyNumberFormat="1" applyFont="1" applyFill="1" applyBorder="1" applyAlignment="1">
      <alignment horizontal="center" vertical="center" wrapText="1"/>
    </xf>
    <xf numFmtId="1" fontId="60" fillId="0" borderId="53" xfId="0" applyNumberFormat="1" applyFont="1" applyFill="1" applyBorder="1" applyAlignment="1">
      <alignment horizontal="center" vertical="center" wrapText="1"/>
    </xf>
    <xf numFmtId="0" fontId="3" fillId="0" borderId="53" xfId="0" applyFont="1" applyFill="1" applyBorder="1" applyAlignment="1">
      <alignment horizontal="center" vertical="center" wrapText="1"/>
    </xf>
    <xf numFmtId="14" fontId="3" fillId="0" borderId="53" xfId="0" applyNumberFormat="1" applyFont="1" applyFill="1" applyBorder="1" applyAlignment="1">
      <alignment horizontal="center" vertical="center"/>
    </xf>
    <xf numFmtId="43" fontId="3" fillId="0" borderId="53" xfId="67" applyFont="1" applyFill="1" applyBorder="1" applyAlignment="1">
      <alignment horizontal="center" vertical="center"/>
    </xf>
    <xf numFmtId="0" fontId="12" fillId="0" borderId="0" xfId="51" applyFont="1" applyFill="1"/>
    <xf numFmtId="0" fontId="8" fillId="0" borderId="53" xfId="75" applyFont="1" applyBorder="1" applyAlignment="1">
      <alignment horizontal="center" vertical="center" wrapText="1"/>
    </xf>
    <xf numFmtId="0" fontId="9" fillId="0" borderId="53" xfId="75" applyFont="1" applyBorder="1" applyAlignment="1">
      <alignment horizontal="left" vertical="top" wrapText="1"/>
    </xf>
    <xf numFmtId="43" fontId="15" fillId="0" borderId="0" xfId="77" applyFont="1"/>
    <xf numFmtId="49" fontId="8" fillId="0" borderId="0" xfId="65" applyNumberFormat="1" applyFont="1" applyAlignment="1">
      <alignment horizontal="left" vertical="top"/>
    </xf>
    <xf numFmtId="0" fontId="8" fillId="0" borderId="0" xfId="65" applyFont="1" applyAlignment="1">
      <alignment horizontal="center" vertical="center"/>
    </xf>
    <xf numFmtId="0" fontId="8" fillId="0" borderId="0" xfId="65" applyFont="1"/>
    <xf numFmtId="0" fontId="8" fillId="0" borderId="0" xfId="65" applyFont="1" applyAlignment="1">
      <alignment horizontal="right" vertical="top"/>
    </xf>
    <xf numFmtId="0" fontId="9" fillId="0" borderId="0" xfId="65" applyFont="1" applyAlignment="1">
      <alignment horizontal="center" vertical="center"/>
    </xf>
    <xf numFmtId="0" fontId="8" fillId="0" borderId="0" xfId="65" applyFont="1" applyAlignment="1">
      <alignment horizontal="right" vertical="center"/>
    </xf>
    <xf numFmtId="0" fontId="8" fillId="0" borderId="0" xfId="65" applyFont="1" applyAlignment="1">
      <alignment horizontal="center" vertical="top"/>
    </xf>
    <xf numFmtId="0" fontId="8" fillId="0" borderId="53" xfId="65" applyFont="1" applyBorder="1"/>
    <xf numFmtId="0" fontId="8" fillId="0" borderId="53" xfId="65" applyFont="1" applyBorder="1" applyAlignment="1">
      <alignment horizontal="center" vertical="top" wrapText="1"/>
    </xf>
    <xf numFmtId="49" fontId="8" fillId="0" borderId="53" xfId="65" applyNumberFormat="1" applyFont="1" applyBorder="1" applyAlignment="1">
      <alignment horizontal="left" vertical="top" wrapText="1"/>
    </xf>
    <xf numFmtId="0" fontId="8" fillId="0" borderId="53" xfId="65" applyFont="1" applyBorder="1" applyAlignment="1">
      <alignment horizontal="right" vertical="top"/>
    </xf>
    <xf numFmtId="2" fontId="8" fillId="0" borderId="53" xfId="65" applyNumberFormat="1" applyFont="1" applyBorder="1" applyAlignment="1">
      <alignment horizontal="right" vertical="top" wrapText="1"/>
    </xf>
    <xf numFmtId="0" fontId="8" fillId="0" borderId="53" xfId="65" applyFont="1" applyBorder="1" applyAlignment="1">
      <alignment horizontal="right" vertical="top" wrapText="1"/>
    </xf>
    <xf numFmtId="2" fontId="8" fillId="0" borderId="53" xfId="65" applyNumberFormat="1" applyFont="1" applyBorder="1" applyAlignment="1">
      <alignment horizontal="right" vertical="top"/>
    </xf>
    <xf numFmtId="49" fontId="62" fillId="0" borderId="53" xfId="65" applyNumberFormat="1" applyFont="1" applyBorder="1" applyAlignment="1">
      <alignment horizontal="left" vertical="top" wrapText="1"/>
    </xf>
    <xf numFmtId="0" fontId="62" fillId="0" borderId="53" xfId="65" applyFont="1" applyBorder="1" applyAlignment="1">
      <alignment horizontal="right" vertical="top" wrapText="1"/>
    </xf>
    <xf numFmtId="0" fontId="62" fillId="0" borderId="53" xfId="65" applyFont="1" applyBorder="1" applyAlignment="1">
      <alignment horizontal="right" vertical="top"/>
    </xf>
    <xf numFmtId="2" fontId="62" fillId="0" borderId="53" xfId="65" applyNumberFormat="1" applyFont="1" applyBorder="1" applyAlignment="1">
      <alignment horizontal="right" vertical="top" wrapText="1"/>
    </xf>
    <xf numFmtId="0" fontId="8" fillId="0" borderId="53" xfId="65" applyFont="1" applyBorder="1" applyAlignment="1">
      <alignment horizontal="center" vertical="center" wrapText="1"/>
    </xf>
    <xf numFmtId="0" fontId="7" fillId="0" borderId="53" xfId="65" applyBorder="1" applyAlignment="1">
      <alignment wrapText="1"/>
    </xf>
    <xf numFmtId="2" fontId="7" fillId="0" borderId="53" xfId="65" applyNumberFormat="1" applyBorder="1" applyAlignment="1">
      <alignment wrapText="1"/>
    </xf>
    <xf numFmtId="0" fontId="8" fillId="0" borderId="53" xfId="65" applyFont="1" applyBorder="1" applyAlignment="1">
      <alignment horizontal="right"/>
    </xf>
    <xf numFmtId="49" fontId="8" fillId="0" borderId="53" xfId="65" applyNumberFormat="1" applyFont="1" applyBorder="1" applyAlignment="1">
      <alignment horizontal="left" wrapText="1"/>
    </xf>
    <xf numFmtId="2" fontId="8" fillId="0" borderId="53" xfId="65" applyNumberFormat="1" applyFont="1" applyBorder="1" applyAlignment="1">
      <alignment horizontal="right" wrapText="1"/>
    </xf>
    <xf numFmtId="0" fontId="9" fillId="7" borderId="53" xfId="65" applyFont="1" applyFill="1" applyBorder="1" applyAlignment="1">
      <alignment horizontal="center" vertical="center" wrapText="1"/>
    </xf>
    <xf numFmtId="49" fontId="9" fillId="7" borderId="53" xfId="65" applyNumberFormat="1" applyFont="1" applyFill="1" applyBorder="1" applyAlignment="1">
      <alignment horizontal="left" vertical="top" wrapText="1"/>
    </xf>
    <xf numFmtId="2" fontId="9" fillId="7" borderId="53" xfId="65" applyNumberFormat="1" applyFont="1" applyFill="1" applyBorder="1" applyAlignment="1">
      <alignment horizontal="right" vertical="top" wrapText="1"/>
    </xf>
    <xf numFmtId="49" fontId="9" fillId="0" borderId="0" xfId="65" applyNumberFormat="1" applyFont="1" applyBorder="1" applyAlignment="1">
      <alignment horizontal="center" vertical="top" wrapText="1"/>
    </xf>
    <xf numFmtId="0" fontId="9" fillId="0" borderId="18" xfId="65" applyFont="1" applyBorder="1" applyAlignment="1">
      <alignment horizontal="center"/>
    </xf>
    <xf numFmtId="0" fontId="9" fillId="0" borderId="0" xfId="65" applyFont="1" applyBorder="1" applyAlignment="1">
      <alignment horizontal="center"/>
    </xf>
    <xf numFmtId="0" fontId="8" fillId="0" borderId="53" xfId="65" applyFont="1" applyBorder="1" applyAlignment="1">
      <alignment horizontal="center" vertical="center"/>
    </xf>
    <xf numFmtId="0" fontId="8" fillId="0" borderId="43" xfId="65" applyFont="1" applyBorder="1" applyAlignment="1">
      <alignment horizontal="center" vertical="center"/>
    </xf>
    <xf numFmtId="49" fontId="8" fillId="0" borderId="43" xfId="65" applyNumberFormat="1" applyFont="1" applyBorder="1" applyAlignment="1">
      <alignment horizontal="center" vertical="center"/>
    </xf>
    <xf numFmtId="0" fontId="8" fillId="2" borderId="53" xfId="65" applyFont="1" applyFill="1" applyBorder="1" applyAlignment="1">
      <alignment vertical="top"/>
    </xf>
    <xf numFmtId="0" fontId="8" fillId="0" borderId="53" xfId="65" applyFont="1" applyFill="1" applyBorder="1" applyAlignment="1">
      <alignment vertical="top"/>
    </xf>
    <xf numFmtId="0" fontId="39" fillId="0" borderId="53" xfId="65" applyFont="1" applyFill="1" applyBorder="1" applyAlignment="1">
      <alignment vertical="top"/>
    </xf>
    <xf numFmtId="0" fontId="8" fillId="2" borderId="53" xfId="65" applyFont="1" applyFill="1" applyBorder="1"/>
    <xf numFmtId="0" fontId="9" fillId="0" borderId="53" xfId="65" applyFont="1" applyBorder="1" applyAlignment="1"/>
    <xf numFmtId="0" fontId="9" fillId="0" borderId="53" xfId="65" applyFont="1" applyBorder="1" applyAlignment="1">
      <alignment horizontal="left" vertical="top" wrapText="1"/>
    </xf>
    <xf numFmtId="0" fontId="7" fillId="0" borderId="53" xfId="65" applyBorder="1" applyAlignment="1">
      <alignment horizontal="left" vertical="top" wrapText="1"/>
    </xf>
    <xf numFmtId="2" fontId="8" fillId="2" borderId="53" xfId="65" applyNumberFormat="1" applyFont="1" applyFill="1" applyBorder="1" applyAlignment="1">
      <alignment vertical="top"/>
    </xf>
    <xf numFmtId="2" fontId="8" fillId="0" borderId="53" xfId="65" applyNumberFormat="1" applyFont="1" applyFill="1" applyBorder="1" applyAlignment="1">
      <alignment vertical="top"/>
    </xf>
    <xf numFmtId="177" fontId="8" fillId="2" borderId="53" xfId="65" applyNumberFormat="1" applyFont="1" applyFill="1" applyBorder="1" applyAlignment="1">
      <alignment vertical="top"/>
    </xf>
    <xf numFmtId="3" fontId="8" fillId="2" borderId="53" xfId="65" applyNumberFormat="1" applyFont="1" applyFill="1" applyBorder="1" applyAlignment="1">
      <alignment vertical="top"/>
    </xf>
    <xf numFmtId="2" fontId="39" fillId="0" borderId="53" xfId="65" applyNumberFormat="1" applyFont="1" applyFill="1" applyBorder="1" applyAlignment="1">
      <alignment vertical="top"/>
    </xf>
    <xf numFmtId="3" fontId="8" fillId="2" borderId="53" xfId="65" applyNumberFormat="1" applyFont="1" applyFill="1" applyBorder="1"/>
    <xf numFmtId="0" fontId="9" fillId="11" borderId="53" xfId="65" applyFont="1" applyFill="1" applyBorder="1" applyAlignment="1">
      <alignment horizontal="center" vertical="top"/>
    </xf>
    <xf numFmtId="49" fontId="9" fillId="11" borderId="53" xfId="65" applyNumberFormat="1" applyFont="1" applyFill="1" applyBorder="1" applyAlignment="1">
      <alignment horizontal="right" vertical="top" wrapText="1"/>
    </xf>
    <xf numFmtId="0" fontId="22" fillId="11" borderId="53" xfId="65" applyFont="1" applyFill="1" applyBorder="1" applyAlignment="1">
      <alignment vertical="top" wrapText="1"/>
    </xf>
    <xf numFmtId="0" fontId="9" fillId="11" borderId="53" xfId="65" applyFont="1" applyFill="1" applyBorder="1" applyAlignment="1">
      <alignment horizontal="right" vertical="top" wrapText="1"/>
    </xf>
    <xf numFmtId="2" fontId="9" fillId="11" borderId="53" xfId="65" applyNumberFormat="1" applyFont="1" applyFill="1" applyBorder="1" applyAlignment="1">
      <alignment horizontal="right" vertical="top" wrapText="1"/>
    </xf>
    <xf numFmtId="2" fontId="9" fillId="12" borderId="53" xfId="65" applyNumberFormat="1" applyFont="1" applyFill="1" applyBorder="1" applyAlignment="1">
      <alignment vertical="top"/>
    </xf>
    <xf numFmtId="43" fontId="9" fillId="0" borderId="53" xfId="81" applyFont="1" applyBorder="1" applyAlignment="1"/>
    <xf numFmtId="0" fontId="8" fillId="2" borderId="53" xfId="65" applyFont="1" applyFill="1" applyBorder="1" applyAlignment="1">
      <alignment horizontal="center" vertical="center"/>
    </xf>
    <xf numFmtId="0" fontId="8" fillId="2" borderId="0" xfId="65" applyFont="1" applyFill="1"/>
    <xf numFmtId="2" fontId="9" fillId="3" borderId="53" xfId="65" applyNumberFormat="1" applyFont="1" applyFill="1" applyBorder="1" applyAlignment="1">
      <alignment vertical="top"/>
    </xf>
    <xf numFmtId="2" fontId="9" fillId="2" borderId="53" xfId="65" applyNumberFormat="1" applyFont="1" applyFill="1" applyBorder="1" applyAlignment="1">
      <alignment vertical="top"/>
    </xf>
    <xf numFmtId="0" fontId="9" fillId="2" borderId="53" xfId="65" applyFont="1" applyFill="1" applyBorder="1" applyAlignment="1">
      <alignment vertical="top"/>
    </xf>
    <xf numFmtId="49" fontId="9" fillId="11" borderId="15" xfId="65" applyNumberFormat="1" applyFont="1" applyFill="1" applyBorder="1" applyAlignment="1">
      <alignment horizontal="right" vertical="top" wrapText="1"/>
    </xf>
    <xf numFmtId="49" fontId="9" fillId="11" borderId="17" xfId="65" applyNumberFormat="1" applyFont="1" applyFill="1" applyBorder="1" applyAlignment="1">
      <alignment horizontal="right" vertical="top" wrapText="1"/>
    </xf>
    <xf numFmtId="2" fontId="9" fillId="11" borderId="53" xfId="65" applyNumberFormat="1" applyFont="1" applyFill="1" applyBorder="1" applyAlignment="1">
      <alignment horizontal="right" vertical="top"/>
    </xf>
    <xf numFmtId="0" fontId="9" fillId="11" borderId="53" xfId="65" applyFont="1" applyFill="1" applyBorder="1" applyAlignment="1">
      <alignment horizontal="right" vertical="top"/>
    </xf>
    <xf numFmtId="49" fontId="9" fillId="11" borderId="53" xfId="65" applyNumberFormat="1" applyFont="1" applyFill="1" applyBorder="1" applyAlignment="1">
      <alignment horizontal="left" vertical="top"/>
    </xf>
    <xf numFmtId="2" fontId="9" fillId="11" borderId="53" xfId="65" applyNumberFormat="1" applyFont="1" applyFill="1" applyBorder="1" applyAlignment="1">
      <alignment vertical="top"/>
    </xf>
    <xf numFmtId="3" fontId="9" fillId="11" borderId="53" xfId="65" applyNumberFormat="1" applyFont="1" applyFill="1" applyBorder="1" applyAlignment="1">
      <alignment vertical="top"/>
    </xf>
    <xf numFmtId="0" fontId="9" fillId="0" borderId="15" xfId="65" applyFont="1" applyBorder="1" applyAlignment="1">
      <alignment horizontal="left" vertical="top" wrapText="1"/>
    </xf>
    <xf numFmtId="0" fontId="9" fillId="0" borderId="16" xfId="65" applyFont="1" applyBorder="1" applyAlignment="1">
      <alignment horizontal="left" vertical="top" wrapText="1"/>
    </xf>
    <xf numFmtId="0" fontId="9" fillId="0" borderId="17" xfId="65" applyFont="1" applyBorder="1" applyAlignment="1">
      <alignment horizontal="left" vertical="top" wrapText="1"/>
    </xf>
    <xf numFmtId="2" fontId="8" fillId="0" borderId="53" xfId="65" applyNumberFormat="1" applyFont="1" applyBorder="1" applyAlignment="1">
      <alignment vertical="top"/>
    </xf>
    <xf numFmtId="0" fontId="8" fillId="0" borderId="53" xfId="65" applyFont="1" applyBorder="1" applyAlignment="1">
      <alignment vertical="top"/>
    </xf>
    <xf numFmtId="0" fontId="7" fillId="0" borderId="53" xfId="65" applyBorder="1" applyAlignment="1">
      <alignment vertical="top" wrapText="1"/>
    </xf>
    <xf numFmtId="2" fontId="7" fillId="0" borderId="53" xfId="65" applyNumberFormat="1" applyFont="1" applyBorder="1" applyAlignment="1">
      <alignment wrapText="1"/>
    </xf>
    <xf numFmtId="0" fontId="8" fillId="11" borderId="53" xfId="65" applyFont="1" applyFill="1" applyBorder="1" applyAlignment="1">
      <alignment horizontal="center" vertical="center" wrapText="1"/>
    </xf>
    <xf numFmtId="49" fontId="9" fillId="11" borderId="53" xfId="65" applyNumberFormat="1" applyFont="1" applyFill="1" applyBorder="1" applyAlignment="1">
      <alignment horizontal="left" vertical="top" wrapText="1"/>
    </xf>
    <xf numFmtId="0" fontId="9" fillId="0" borderId="53" xfId="65" applyFont="1" applyBorder="1" applyAlignment="1">
      <alignment vertical="top"/>
    </xf>
    <xf numFmtId="0" fontId="8" fillId="0" borderId="53" xfId="65" applyFont="1" applyBorder="1" applyAlignment="1">
      <alignment horizontal="left" vertical="top" wrapText="1"/>
    </xf>
    <xf numFmtId="0" fontId="7" fillId="0" borderId="53" xfId="65" applyBorder="1"/>
    <xf numFmtId="0" fontId="46" fillId="0" borderId="0" xfId="65" applyFont="1" applyAlignment="1">
      <alignment horizontal="center" vertical="top"/>
    </xf>
    <xf numFmtId="0" fontId="8" fillId="0" borderId="0" xfId="65" applyNumberFormat="1" applyFont="1" applyFill="1" applyBorder="1" applyAlignment="1" applyProtection="1">
      <alignment horizontal="center" vertical="top"/>
    </xf>
    <xf numFmtId="49" fontId="8" fillId="0" borderId="0" xfId="65" applyNumberFormat="1" applyFont="1" applyFill="1" applyBorder="1" applyAlignment="1" applyProtection="1">
      <alignment horizontal="left" vertical="top"/>
    </xf>
    <xf numFmtId="0" fontId="8" fillId="0" borderId="0" xfId="65" applyNumberFormat="1" applyFont="1" applyFill="1" applyBorder="1" applyAlignment="1" applyProtection="1">
      <alignment horizontal="right" vertical="top"/>
    </xf>
    <xf numFmtId="0" fontId="2" fillId="0" borderId="0" xfId="65" applyFont="1" applyAlignment="1">
      <alignment vertical="center"/>
    </xf>
    <xf numFmtId="0" fontId="40" fillId="0" borderId="0" xfId="82" applyFont="1" applyBorder="1"/>
    <xf numFmtId="0" fontId="36" fillId="0" borderId="0" xfId="65" applyFont="1" applyAlignment="1">
      <alignment vertical="center"/>
    </xf>
    <xf numFmtId="0" fontId="28" fillId="7" borderId="15" xfId="65" applyFont="1" applyFill="1" applyBorder="1" applyAlignment="1">
      <alignment horizontal="center" vertical="center"/>
    </xf>
    <xf numFmtId="0" fontId="28" fillId="7" borderId="16" xfId="65" applyFont="1" applyFill="1" applyBorder="1" applyAlignment="1">
      <alignment horizontal="center" vertical="center"/>
    </xf>
    <xf numFmtId="0" fontId="28" fillId="7" borderId="17" xfId="65" applyFont="1" applyFill="1" applyBorder="1" applyAlignment="1">
      <alignment horizontal="center" vertical="center"/>
    </xf>
    <xf numFmtId="0" fontId="1" fillId="7" borderId="15" xfId="65" applyFont="1" applyFill="1" applyBorder="1" applyAlignment="1">
      <alignment horizontal="center" vertical="center"/>
    </xf>
    <xf numFmtId="0" fontId="1" fillId="7" borderId="16" xfId="65" applyFont="1" applyFill="1" applyBorder="1" applyAlignment="1">
      <alignment horizontal="center" vertical="center"/>
    </xf>
    <xf numFmtId="0" fontId="1" fillId="7" borderId="17" xfId="65" applyFont="1" applyFill="1" applyBorder="1" applyAlignment="1">
      <alignment horizontal="center" vertical="center"/>
    </xf>
    <xf numFmtId="0" fontId="19" fillId="0" borderId="0" xfId="82"/>
    <xf numFmtId="0" fontId="1" fillId="0" borderId="53" xfId="65" applyFont="1" applyBorder="1" applyAlignment="1">
      <alignment horizontal="center" vertical="center"/>
    </xf>
    <xf numFmtId="0" fontId="7" fillId="0" borderId="53" xfId="65" applyBorder="1" applyAlignment="1">
      <alignment horizontal="center" vertical="center" wrapText="1"/>
    </xf>
    <xf numFmtId="0" fontId="1" fillId="0" borderId="53" xfId="65" applyFont="1" applyBorder="1" applyAlignment="1">
      <alignment horizontal="center" vertical="center" wrapText="1"/>
    </xf>
    <xf numFmtId="0" fontId="7" fillId="0" borderId="53" xfId="65" applyBorder="1" applyAlignment="1">
      <alignment horizontal="center"/>
    </xf>
    <xf numFmtId="0" fontId="63" fillId="0" borderId="53" xfId="65" applyFont="1" applyBorder="1" applyAlignment="1">
      <alignment horizontal="center"/>
    </xf>
    <xf numFmtId="168" fontId="1" fillId="0" borderId="53" xfId="65" applyNumberFormat="1" applyFont="1" applyBorder="1" applyAlignment="1">
      <alignment horizontal="center"/>
    </xf>
    <xf numFmtId="168" fontId="7" fillId="0" borderId="53" xfId="65" applyNumberFormat="1" applyBorder="1" applyAlignment="1">
      <alignment horizontal="center"/>
    </xf>
    <xf numFmtId="0" fontId="40" fillId="0" borderId="53" xfId="65" applyFont="1" applyBorder="1" applyAlignment="1">
      <alignment horizontal="center" vertical="center" wrapText="1"/>
    </xf>
    <xf numFmtId="0" fontId="7" fillId="0" borderId="53" xfId="65" applyBorder="1" applyAlignment="1"/>
    <xf numFmtId="0" fontId="7" fillId="0" borderId="53" xfId="65" applyBorder="1" applyAlignment="1">
      <alignment vertical="center"/>
    </xf>
    <xf numFmtId="168" fontId="7" fillId="0" borderId="53" xfId="65" applyNumberFormat="1" applyBorder="1" applyAlignment="1">
      <alignment horizontal="center" vertical="center"/>
    </xf>
    <xf numFmtId="0" fontId="7" fillId="5" borderId="53" xfId="65" applyFill="1" applyBorder="1" applyAlignment="1">
      <alignment horizontal="center"/>
    </xf>
    <xf numFmtId="0" fontId="7" fillId="5" borderId="53" xfId="65" applyFill="1" applyBorder="1"/>
    <xf numFmtId="168" fontId="7" fillId="0" borderId="53" xfId="65" applyNumberFormat="1" applyBorder="1" applyAlignment="1">
      <alignment horizontal="center" vertical="center" wrapText="1"/>
    </xf>
    <xf numFmtId="0" fontId="7" fillId="0" borderId="53" xfId="65" applyBorder="1" applyAlignment="1">
      <alignment horizontal="center" vertical="center"/>
    </xf>
    <xf numFmtId="0" fontId="22" fillId="7" borderId="15" xfId="65" applyFont="1" applyFill="1" applyBorder="1" applyAlignment="1">
      <alignment horizontal="center"/>
    </xf>
    <xf numFmtId="0" fontId="22" fillId="7" borderId="16" xfId="65" applyFont="1" applyFill="1" applyBorder="1" applyAlignment="1">
      <alignment horizontal="center"/>
    </xf>
    <xf numFmtId="0" fontId="22" fillId="7" borderId="17" xfId="65" applyFont="1" applyFill="1" applyBorder="1" applyAlignment="1">
      <alignment horizontal="center"/>
    </xf>
    <xf numFmtId="0" fontId="40" fillId="0" borderId="15" xfId="65" applyFont="1" applyBorder="1" applyAlignment="1">
      <alignment horizontal="left"/>
    </xf>
    <xf numFmtId="0" fontId="40" fillId="0" borderId="16" xfId="65" applyFont="1" applyBorder="1" applyAlignment="1">
      <alignment horizontal="left"/>
    </xf>
    <xf numFmtId="0" fontId="40" fillId="0" borderId="17" xfId="65" applyFont="1" applyBorder="1" applyAlignment="1">
      <alignment horizontal="left"/>
    </xf>
    <xf numFmtId="0" fontId="22" fillId="0" borderId="53" xfId="65" applyFont="1" applyBorder="1" applyAlignment="1">
      <alignment horizontal="center"/>
    </xf>
    <xf numFmtId="4" fontId="7" fillId="0" borderId="53" xfId="65" applyNumberFormat="1" applyFont="1" applyBorder="1" applyAlignment="1">
      <alignment horizontal="center"/>
    </xf>
    <xf numFmtId="0" fontId="7" fillId="0" borderId="15" xfId="65" applyFont="1" applyBorder="1" applyAlignment="1">
      <alignment horizontal="left"/>
    </xf>
    <xf numFmtId="0" fontId="7" fillId="0" borderId="16" xfId="65" applyFont="1" applyBorder="1" applyAlignment="1">
      <alignment horizontal="left"/>
    </xf>
    <xf numFmtId="0" fontId="7" fillId="0" borderId="17" xfId="65" applyFont="1" applyBorder="1" applyAlignment="1">
      <alignment horizontal="left"/>
    </xf>
    <xf numFmtId="168" fontId="7" fillId="0" borderId="53" xfId="65" applyNumberFormat="1" applyFont="1" applyBorder="1" applyAlignment="1">
      <alignment horizontal="center"/>
    </xf>
    <xf numFmtId="0" fontId="7" fillId="0" borderId="15" xfId="65" applyBorder="1" applyAlignment="1">
      <alignment horizontal="left"/>
    </xf>
    <xf numFmtId="0" fontId="7" fillId="0" borderId="16" xfId="65" applyBorder="1" applyAlignment="1">
      <alignment horizontal="left"/>
    </xf>
    <xf numFmtId="0" fontId="7" fillId="0" borderId="17" xfId="65" applyBorder="1" applyAlignment="1">
      <alignment horizontal="left"/>
    </xf>
    <xf numFmtId="4" fontId="7" fillId="0" borderId="53" xfId="65" applyNumberFormat="1" applyBorder="1" applyAlignment="1">
      <alignment horizontal="center"/>
    </xf>
    <xf numFmtId="0" fontId="30" fillId="0" borderId="15" xfId="65" applyFont="1" applyBorder="1" applyAlignment="1">
      <alignment horizontal="center" vertical="center" wrapText="1"/>
    </xf>
    <xf numFmtId="0" fontId="30" fillId="0" borderId="17" xfId="65" applyFont="1" applyBorder="1" applyAlignment="1">
      <alignment horizontal="center" vertical="center" wrapText="1"/>
    </xf>
    <xf numFmtId="0" fontId="30" fillId="0" borderId="53" xfId="65" applyFont="1" applyBorder="1" applyAlignment="1">
      <alignment horizontal="center" vertical="center" wrapText="1"/>
    </xf>
    <xf numFmtId="4" fontId="30" fillId="0" borderId="53" xfId="65" applyNumberFormat="1" applyFont="1" applyBorder="1" applyAlignment="1">
      <alignment horizontal="center"/>
    </xf>
    <xf numFmtId="0" fontId="63" fillId="0" borderId="15" xfId="65" applyFont="1" applyFill="1" applyBorder="1" applyAlignment="1">
      <alignment horizontal="center" wrapText="1"/>
    </xf>
    <xf numFmtId="0" fontId="63" fillId="0" borderId="17" xfId="65" applyFont="1" applyFill="1" applyBorder="1" applyAlignment="1">
      <alignment horizontal="center" wrapText="1"/>
    </xf>
    <xf numFmtId="4" fontId="63" fillId="0" borderId="53" xfId="65" applyNumberFormat="1" applyFont="1" applyBorder="1" applyAlignment="1">
      <alignment horizontal="center"/>
    </xf>
    <xf numFmtId="3" fontId="7" fillId="0" borderId="0" xfId="65" applyNumberFormat="1"/>
    <xf numFmtId="4" fontId="8" fillId="0" borderId="0" xfId="65" applyNumberFormat="1" applyFont="1" applyAlignment="1">
      <alignment horizontal="right" vertical="top"/>
    </xf>
    <xf numFmtId="3" fontId="8" fillId="0" borderId="0" xfId="65" applyNumberFormat="1" applyFont="1"/>
    <xf numFmtId="3" fontId="0" fillId="0" borderId="14" xfId="0" applyNumberFormat="1" applyBorder="1" applyAlignment="1">
      <alignment horizontal="right"/>
    </xf>
    <xf numFmtId="4" fontId="0" fillId="0" borderId="14" xfId="0" applyNumberFormat="1" applyBorder="1" applyAlignment="1">
      <alignment horizontal="right"/>
    </xf>
    <xf numFmtId="10" fontId="0" fillId="0" borderId="0" xfId="0" applyNumberFormat="1" applyFill="1"/>
    <xf numFmtId="10" fontId="3" fillId="0" borderId="0" xfId="0" applyNumberFormat="1" applyFont="1" applyFill="1" applyAlignment="1">
      <alignment horizontal="center" vertical="center"/>
    </xf>
    <xf numFmtId="14" fontId="15" fillId="2" borderId="53" xfId="0" applyNumberFormat="1" applyFont="1" applyFill="1" applyBorder="1"/>
    <xf numFmtId="14" fontId="15" fillId="0" borderId="0" xfId="0" applyNumberFormat="1" applyFont="1" applyBorder="1"/>
    <xf numFmtId="14" fontId="15" fillId="0" borderId="0" xfId="0" applyNumberFormat="1" applyFont="1"/>
    <xf numFmtId="165" fontId="15" fillId="0" borderId="53" xfId="0" applyNumberFormat="1" applyFont="1" applyBorder="1"/>
    <xf numFmtId="10" fontId="15" fillId="0" borderId="53" xfId="0" applyNumberFormat="1" applyFont="1" applyBorder="1" applyAlignment="1">
      <alignment vertical="center"/>
    </xf>
    <xf numFmtId="10" fontId="15" fillId="4" borderId="57" xfId="0" applyNumberFormat="1" applyFont="1" applyFill="1" applyBorder="1" applyAlignment="1">
      <alignment vertical="center"/>
    </xf>
    <xf numFmtId="0" fontId="15" fillId="4" borderId="59" xfId="0" applyFont="1" applyFill="1" applyBorder="1" applyAlignment="1">
      <alignment vertical="center"/>
    </xf>
    <xf numFmtId="166" fontId="15" fillId="8" borderId="53" xfId="0" applyNumberFormat="1" applyFont="1" applyFill="1" applyBorder="1" applyAlignment="1">
      <alignment vertical="center"/>
    </xf>
    <xf numFmtId="165" fontId="15" fillId="0" borderId="0" xfId="27" applyNumberFormat="1" applyFont="1" applyFill="1" applyAlignment="1">
      <alignment horizontal="center" vertical="center"/>
    </xf>
    <xf numFmtId="0" fontId="8" fillId="0" borderId="0" xfId="75" applyFont="1" applyAlignment="1">
      <alignment horizontal="left" vertical="top" wrapText="1"/>
    </xf>
    <xf numFmtId="0" fontId="9" fillId="0" borderId="22" xfId="75" applyFont="1" applyBorder="1" applyAlignment="1">
      <alignment horizontal="left" vertical="top" wrapText="1"/>
    </xf>
    <xf numFmtId="0" fontId="8" fillId="0" borderId="22" xfId="75" applyFont="1" applyBorder="1" applyAlignment="1">
      <alignment horizontal="left" vertical="top" wrapText="1"/>
    </xf>
    <xf numFmtId="0" fontId="9" fillId="0" borderId="53" xfId="75" applyFont="1" applyBorder="1" applyAlignment="1">
      <alignment horizontal="left" vertical="top" wrapText="1"/>
    </xf>
    <xf numFmtId="0" fontId="8" fillId="0" borderId="53" xfId="75" applyFont="1" applyBorder="1" applyAlignment="1">
      <alignment horizontal="center" vertical="center" wrapText="1"/>
    </xf>
    <xf numFmtId="0" fontId="3" fillId="7" borderId="53" xfId="51" applyFont="1" applyFill="1" applyBorder="1" applyAlignment="1">
      <alignment horizontal="center" vertical="center" wrapText="1"/>
    </xf>
    <xf numFmtId="0" fontId="3" fillId="7" borderId="53" xfId="51" applyFont="1" applyFill="1" applyBorder="1" applyAlignment="1">
      <alignment horizontal="center" vertical="center"/>
    </xf>
    <xf numFmtId="0" fontId="3" fillId="0" borderId="0" xfId="51" applyFont="1" applyBorder="1" applyAlignment="1">
      <alignment horizontal="center"/>
    </xf>
    <xf numFmtId="0" fontId="9" fillId="0" borderId="60" xfId="75" applyFont="1" applyBorder="1" applyAlignment="1">
      <alignment horizontal="left" vertical="top" wrapText="1"/>
    </xf>
    <xf numFmtId="4" fontId="15" fillId="0" borderId="2" xfId="9" applyNumberFormat="1" applyFont="1" applyFill="1" applyBorder="1" applyAlignment="1">
      <alignment horizontal="center" vertical="center" wrapText="1"/>
    </xf>
    <xf numFmtId="4" fontId="15" fillId="0" borderId="14" xfId="9" applyNumberFormat="1" applyFont="1" applyFill="1" applyBorder="1" applyAlignment="1">
      <alignment horizontal="center" vertical="center" wrapText="1"/>
    </xf>
    <xf numFmtId="0" fontId="3" fillId="0" borderId="0" xfId="51" applyFont="1" applyFill="1" applyBorder="1" applyAlignment="1">
      <alignment horizontal="center" vertical="center"/>
    </xf>
    <xf numFmtId="0" fontId="2" fillId="0" borderId="0" xfId="51" applyFont="1" applyFill="1" applyBorder="1" applyAlignment="1">
      <alignment horizontal="center" vertical="center"/>
    </xf>
    <xf numFmtId="0" fontId="2" fillId="0" borderId="0" xfId="51" applyFont="1" applyFill="1"/>
    <xf numFmtId="0" fontId="12" fillId="8" borderId="53" xfId="51" applyNumberFormat="1" applyFont="1" applyFill="1" applyBorder="1" applyAlignment="1">
      <alignment horizontal="center" vertical="center"/>
    </xf>
    <xf numFmtId="0" fontId="2" fillId="8" borderId="53" xfId="51" applyFont="1" applyFill="1" applyBorder="1" applyAlignment="1">
      <alignment horizontal="center" vertical="center"/>
    </xf>
    <xf numFmtId="0" fontId="2" fillId="8" borderId="53" xfId="51" applyFont="1" applyFill="1" applyBorder="1" applyAlignment="1">
      <alignment horizontal="center" vertical="center" wrapText="1"/>
    </xf>
    <xf numFmtId="14" fontId="2" fillId="8" borderId="53" xfId="51" applyNumberFormat="1" applyFont="1" applyFill="1" applyBorder="1" applyAlignment="1">
      <alignment horizontal="center" vertical="center"/>
    </xf>
    <xf numFmtId="0" fontId="15" fillId="0" borderId="53" xfId="51" applyNumberFormat="1" applyFont="1" applyFill="1" applyBorder="1" applyAlignment="1">
      <alignment horizontal="center" vertical="center"/>
    </xf>
    <xf numFmtId="14" fontId="3" fillId="0" borderId="53" xfId="51" applyNumberFormat="1" applyFont="1" applyFill="1" applyBorder="1" applyAlignment="1">
      <alignment horizontal="center" vertical="center"/>
    </xf>
    <xf numFmtId="0" fontId="3" fillId="8" borderId="53" xfId="51" applyFont="1" applyFill="1" applyBorder="1" applyAlignment="1">
      <alignment horizontal="center" vertical="center" wrapText="1"/>
    </xf>
    <xf numFmtId="4" fontId="2" fillId="8" borderId="53" xfId="51" applyNumberFormat="1" applyFont="1" applyFill="1" applyBorder="1" applyAlignment="1">
      <alignment horizontal="center" vertical="center"/>
    </xf>
    <xf numFmtId="43" fontId="2" fillId="0" borderId="53" xfId="43" applyFont="1" applyFill="1" applyBorder="1" applyAlignment="1">
      <alignment horizontal="center" vertical="center"/>
    </xf>
    <xf numFmtId="0" fontId="15" fillId="10" borderId="53" xfId="51" applyFont="1" applyFill="1" applyBorder="1" applyAlignment="1">
      <alignment horizontal="left" vertical="center" wrapText="1"/>
    </xf>
    <xf numFmtId="0" fontId="15" fillId="10" borderId="53" xfId="51" applyFont="1" applyFill="1" applyBorder="1" applyAlignment="1">
      <alignment horizontal="center" vertical="center"/>
    </xf>
    <xf numFmtId="14" fontId="15" fillId="10" borderId="53" xfId="51" applyNumberFormat="1" applyFont="1" applyFill="1" applyBorder="1" applyAlignment="1">
      <alignment horizontal="center" vertical="center" wrapText="1"/>
    </xf>
    <xf numFmtId="4" fontId="15" fillId="10" borderId="53" xfId="51" applyNumberFormat="1" applyFont="1" applyFill="1" applyBorder="1" applyAlignment="1">
      <alignment horizontal="center" vertical="center"/>
    </xf>
    <xf numFmtId="4" fontId="15" fillId="0" borderId="53" xfId="51" applyNumberFormat="1" applyFont="1" applyBorder="1" applyAlignment="1">
      <alignment horizontal="center" vertical="center"/>
    </xf>
    <xf numFmtId="0" fontId="15" fillId="0" borderId="53" xfId="51" applyFont="1" applyBorder="1" applyAlignment="1">
      <alignment horizontal="center" vertical="center"/>
    </xf>
    <xf numFmtId="175" fontId="15" fillId="2" borderId="53" xfId="43" applyNumberFormat="1" applyFont="1" applyFill="1" applyBorder="1" applyAlignment="1">
      <alignment horizontal="center" vertical="center"/>
    </xf>
    <xf numFmtId="43" fontId="15" fillId="0" borderId="53" xfId="77" applyFont="1" applyBorder="1" applyAlignment="1">
      <alignment horizontal="center" vertical="center"/>
    </xf>
    <xf numFmtId="166" fontId="15" fillId="2" borderId="53" xfId="51" applyNumberFormat="1" applyFont="1" applyFill="1" applyBorder="1" applyAlignment="1">
      <alignment horizontal="center" vertical="center"/>
    </xf>
    <xf numFmtId="0" fontId="15" fillId="0" borderId="53" xfId="51" applyFont="1" applyBorder="1" applyAlignment="1">
      <alignment horizontal="center" vertical="center" wrapText="1"/>
    </xf>
    <xf numFmtId="0" fontId="15" fillId="0" borderId="53" xfId="51" applyFont="1" applyFill="1" applyBorder="1" applyAlignment="1">
      <alignment horizontal="left" vertical="center" wrapText="1"/>
    </xf>
    <xf numFmtId="0" fontId="15" fillId="0" borderId="53" xfId="51" applyFont="1" applyFill="1" applyBorder="1" applyAlignment="1">
      <alignment horizontal="center" vertical="center" wrapText="1"/>
    </xf>
    <xf numFmtId="0" fontId="15" fillId="0" borderId="53" xfId="51" applyFont="1" applyFill="1" applyBorder="1" applyAlignment="1">
      <alignment horizontal="center" vertical="center"/>
    </xf>
    <xf numFmtId="14" fontId="3" fillId="0" borderId="53" xfId="51" applyNumberFormat="1" applyFont="1" applyFill="1" applyBorder="1" applyAlignment="1">
      <alignment horizontal="center" vertical="center" wrapText="1"/>
    </xf>
    <xf numFmtId="4" fontId="15" fillId="0" borderId="53" xfId="51" applyNumberFormat="1" applyFont="1" applyFill="1" applyBorder="1" applyAlignment="1">
      <alignment horizontal="center" vertical="center"/>
    </xf>
    <xf numFmtId="43" fontId="3" fillId="0" borderId="53" xfId="43" applyFont="1" applyFill="1" applyBorder="1" applyAlignment="1">
      <alignment horizontal="center" vertical="center"/>
    </xf>
    <xf numFmtId="0" fontId="3" fillId="2" borderId="53" xfId="51" applyFont="1" applyFill="1" applyBorder="1" applyAlignment="1">
      <alignment horizontal="center" vertical="center" wrapText="1"/>
    </xf>
    <xf numFmtId="14" fontId="15" fillId="2" borderId="53" xfId="51" applyNumberFormat="1" applyFont="1" applyFill="1" applyBorder="1" applyAlignment="1">
      <alignment horizontal="center" vertical="center" wrapText="1"/>
    </xf>
    <xf numFmtId="4" fontId="3" fillId="0" borderId="53" xfId="51" applyNumberFormat="1" applyFont="1" applyFill="1" applyBorder="1" applyAlignment="1">
      <alignment horizontal="center" vertical="center" wrapText="1"/>
    </xf>
    <xf numFmtId="0" fontId="12" fillId="0" borderId="53" xfId="51" applyNumberFormat="1" applyFont="1" applyFill="1" applyBorder="1" applyAlignment="1">
      <alignment horizontal="center" vertical="center"/>
    </xf>
    <xf numFmtId="0" fontId="2" fillId="0" borderId="53" xfId="51" applyFont="1" applyFill="1" applyBorder="1" applyAlignment="1">
      <alignment horizontal="left" vertical="center" wrapText="1"/>
    </xf>
    <xf numFmtId="0" fontId="2" fillId="0" borderId="53" xfId="51" applyFont="1" applyFill="1" applyBorder="1" applyAlignment="1">
      <alignment horizontal="center" vertical="center"/>
    </xf>
    <xf numFmtId="0" fontId="2" fillId="0" borderId="53" xfId="51" applyFont="1" applyFill="1" applyBorder="1" applyAlignment="1">
      <alignment horizontal="center" vertical="center" wrapText="1"/>
    </xf>
    <xf numFmtId="14" fontId="12" fillId="0" borderId="53" xfId="51" applyNumberFormat="1" applyFont="1" applyFill="1" applyBorder="1" applyAlignment="1">
      <alignment horizontal="center" vertical="center" wrapText="1"/>
    </xf>
    <xf numFmtId="4" fontId="2" fillId="0" borderId="53" xfId="51" applyNumberFormat="1" applyFont="1" applyFill="1" applyBorder="1" applyAlignment="1">
      <alignment horizontal="center" vertical="center"/>
    </xf>
    <xf numFmtId="0" fontId="2" fillId="0" borderId="53" xfId="51" applyFont="1" applyBorder="1" applyAlignment="1">
      <alignment horizontal="center" vertical="center" wrapText="1"/>
    </xf>
    <xf numFmtId="43" fontId="15" fillId="0" borderId="53" xfId="77" applyFont="1" applyFill="1" applyBorder="1" applyAlignment="1">
      <alignment horizontal="center" vertical="center"/>
    </xf>
    <xf numFmtId="0" fontId="15" fillId="0" borderId="53" xfId="51" applyFont="1" applyFill="1" applyBorder="1" applyAlignment="1">
      <alignment vertical="center" wrapText="1"/>
    </xf>
    <xf numFmtId="43" fontId="15" fillId="0" borderId="53" xfId="43" applyFont="1" applyFill="1" applyBorder="1" applyAlignment="1">
      <alignment horizontal="center" vertical="center"/>
    </xf>
    <xf numFmtId="0" fontId="15" fillId="0" borderId="53" xfId="51" applyFont="1" applyBorder="1" applyAlignment="1">
      <alignment wrapText="1"/>
    </xf>
    <xf numFmtId="14" fontId="3" fillId="0" borderId="53" xfId="0" applyNumberFormat="1" applyFont="1" applyFill="1" applyBorder="1" applyAlignment="1">
      <alignment horizontal="center" vertical="center" wrapText="1"/>
    </xf>
    <xf numFmtId="2" fontId="3" fillId="0" borderId="53" xfId="51" applyNumberFormat="1" applyFont="1" applyFill="1" applyBorder="1" applyAlignment="1">
      <alignment horizontal="center" vertical="center"/>
    </xf>
    <xf numFmtId="0" fontId="4" fillId="0" borderId="53" xfId="51" applyFont="1" applyFill="1" applyBorder="1" applyAlignment="1">
      <alignment horizontal="center" vertical="center" wrapText="1"/>
    </xf>
    <xf numFmtId="0" fontId="15" fillId="2" borderId="53" xfId="51" applyFont="1" applyFill="1" applyBorder="1" applyAlignment="1">
      <alignment horizontal="center" vertical="center" wrapText="1"/>
    </xf>
    <xf numFmtId="0" fontId="15" fillId="0" borderId="53" xfId="51" applyFont="1" applyBorder="1" applyAlignment="1">
      <alignment horizontal="left" wrapText="1"/>
    </xf>
    <xf numFmtId="0" fontId="15" fillId="0" borderId="53" xfId="51" applyFont="1" applyBorder="1" applyAlignment="1">
      <alignment horizontal="left" vertical="center" wrapText="1"/>
    </xf>
    <xf numFmtId="43" fontId="15" fillId="0" borderId="53" xfId="67" applyFont="1" applyFill="1" applyBorder="1" applyAlignment="1">
      <alignment horizontal="center" vertical="center"/>
    </xf>
    <xf numFmtId="0" fontId="3" fillId="7" borderId="53" xfId="51" quotePrefix="1" applyFont="1" applyFill="1" applyBorder="1" applyAlignment="1">
      <alignment horizontal="center" vertical="center"/>
    </xf>
    <xf numFmtId="4" fontId="2" fillId="8" borderId="53" xfId="51" applyNumberFormat="1" applyFont="1" applyFill="1" applyBorder="1" applyAlignment="1">
      <alignment horizontal="center" vertical="center" wrapText="1"/>
    </xf>
    <xf numFmtId="0" fontId="12" fillId="0" borderId="53" xfId="51" applyFont="1" applyFill="1" applyBorder="1" applyAlignment="1">
      <alignment horizontal="left" vertical="center" wrapText="1"/>
    </xf>
    <xf numFmtId="0" fontId="12" fillId="0" borderId="53" xfId="51" applyFont="1" applyFill="1" applyBorder="1" applyAlignment="1">
      <alignment horizontal="center" vertical="center"/>
    </xf>
    <xf numFmtId="0" fontId="12" fillId="0" borderId="53" xfId="51" applyFont="1" applyFill="1" applyBorder="1" applyAlignment="1">
      <alignment horizontal="center" vertical="center" wrapText="1"/>
    </xf>
    <xf numFmtId="4" fontId="12" fillId="0" borderId="53" xfId="51" applyNumberFormat="1" applyFont="1" applyFill="1" applyBorder="1" applyAlignment="1">
      <alignment horizontal="center" vertical="center"/>
    </xf>
    <xf numFmtId="175" fontId="12" fillId="0" borderId="53" xfId="43" applyNumberFormat="1" applyFont="1" applyFill="1" applyBorder="1" applyAlignment="1">
      <alignment horizontal="center" vertical="center"/>
    </xf>
    <xf numFmtId="166" fontId="12" fillId="0" borderId="53" xfId="51" applyNumberFormat="1" applyFont="1" applyFill="1" applyBorder="1" applyAlignment="1">
      <alignment horizontal="center" vertical="center"/>
    </xf>
    <xf numFmtId="43" fontId="15" fillId="0" borderId="0" xfId="77" applyFont="1" applyFill="1"/>
    <xf numFmtId="0" fontId="36" fillId="2" borderId="0" xfId="51" applyFont="1" applyFill="1"/>
    <xf numFmtId="0" fontId="4" fillId="2" borderId="53" xfId="51" applyNumberFormat="1" applyFont="1" applyFill="1" applyBorder="1" applyAlignment="1">
      <alignment horizontal="center" vertical="center"/>
    </xf>
    <xf numFmtId="0" fontId="4" fillId="2" borderId="53" xfId="51" applyFont="1" applyFill="1" applyBorder="1" applyAlignment="1">
      <alignment horizontal="left" vertical="center" wrapText="1"/>
    </xf>
    <xf numFmtId="0" fontId="4" fillId="2" borderId="53" xfId="51" applyFont="1" applyFill="1" applyBorder="1" applyAlignment="1">
      <alignment horizontal="center" vertical="center" wrapText="1"/>
    </xf>
    <xf numFmtId="0" fontId="4" fillId="2" borderId="53" xfId="51" applyFont="1" applyFill="1" applyBorder="1" applyAlignment="1">
      <alignment horizontal="center" vertical="center"/>
    </xf>
    <xf numFmtId="14" fontId="4" fillId="2" borderId="53" xfId="51" applyNumberFormat="1" applyFont="1" applyFill="1" applyBorder="1" applyAlignment="1">
      <alignment horizontal="center" vertical="center"/>
    </xf>
    <xf numFmtId="4" fontId="4" fillId="2" borderId="53" xfId="51" applyNumberFormat="1" applyFont="1" applyFill="1" applyBorder="1" applyAlignment="1">
      <alignment horizontal="center" vertical="center"/>
    </xf>
    <xf numFmtId="4" fontId="36" fillId="2" borderId="53" xfId="51" applyNumberFormat="1" applyFont="1" applyFill="1" applyBorder="1" applyAlignment="1">
      <alignment horizontal="center" vertical="center"/>
    </xf>
    <xf numFmtId="0" fontId="36" fillId="2" borderId="53" xfId="51" applyFont="1" applyFill="1" applyBorder="1" applyAlignment="1">
      <alignment horizontal="center" vertical="center"/>
    </xf>
    <xf numFmtId="4" fontId="4" fillId="2" borderId="53" xfId="51" applyNumberFormat="1" applyFont="1" applyFill="1" applyBorder="1" applyAlignment="1">
      <alignment horizontal="center" vertical="center" wrapText="1"/>
    </xf>
    <xf numFmtId="43" fontId="4" fillId="2" borderId="53" xfId="77" applyFont="1" applyFill="1" applyBorder="1" applyAlignment="1">
      <alignment horizontal="center" vertical="center"/>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2" fillId="0" borderId="66" xfId="0" applyFont="1" applyBorder="1" applyAlignment="1">
      <alignment horizontal="center" vertical="center" wrapText="1"/>
    </xf>
    <xf numFmtId="0" fontId="3" fillId="0" borderId="66" xfId="0" applyFont="1" applyBorder="1" applyAlignment="1">
      <alignment vertical="center" wrapText="1"/>
    </xf>
    <xf numFmtId="0" fontId="3" fillId="0" borderId="66" xfId="0" applyFont="1" applyBorder="1" applyAlignment="1">
      <alignment horizontal="center" vertical="center" wrapText="1"/>
    </xf>
    <xf numFmtId="14" fontId="0" fillId="0" borderId="0" xfId="0" applyNumberFormat="1"/>
    <xf numFmtId="16" fontId="3" fillId="0" borderId="63" xfId="0" applyNumberFormat="1" applyFont="1" applyBorder="1" applyAlignment="1">
      <alignment horizontal="center" vertical="center" wrapText="1"/>
    </xf>
    <xf numFmtId="3" fontId="3" fillId="0" borderId="53" xfId="51" applyNumberFormat="1" applyFont="1" applyFill="1" applyBorder="1" applyAlignment="1">
      <alignment horizontal="center" vertical="center" wrapText="1"/>
    </xf>
    <xf numFmtId="0" fontId="8" fillId="0" borderId="60" xfId="75" applyFont="1" applyBorder="1" applyAlignment="1">
      <alignment horizontal="center" vertical="top" wrapText="1"/>
    </xf>
    <xf numFmtId="4" fontId="15" fillId="2" borderId="53" xfId="51" applyNumberFormat="1" applyFont="1" applyFill="1" applyBorder="1" applyAlignment="1">
      <alignment horizontal="center" vertical="center"/>
    </xf>
    <xf numFmtId="14" fontId="3" fillId="2" borderId="53" xfId="51" applyNumberFormat="1" applyFont="1" applyFill="1" applyBorder="1" applyAlignment="1">
      <alignment horizontal="center" vertical="center"/>
    </xf>
    <xf numFmtId="165" fontId="3" fillId="0" borderId="53" xfId="51" applyNumberFormat="1" applyFont="1" applyFill="1" applyBorder="1" applyAlignment="1">
      <alignment horizontal="center" vertical="center"/>
    </xf>
    <xf numFmtId="14" fontId="3" fillId="2" borderId="53" xfId="51" applyNumberFormat="1" applyFont="1" applyFill="1" applyBorder="1" applyAlignment="1">
      <alignment horizontal="center" vertical="center" wrapText="1"/>
    </xf>
    <xf numFmtId="43" fontId="15" fillId="2" borderId="53" xfId="77" applyFont="1" applyFill="1" applyBorder="1" applyAlignment="1">
      <alignment horizontal="center" vertical="center"/>
    </xf>
    <xf numFmtId="1" fontId="15" fillId="0" borderId="53" xfId="51" applyNumberFormat="1" applyFont="1" applyFill="1" applyBorder="1" applyAlignment="1">
      <alignment horizontal="center" vertical="center"/>
    </xf>
    <xf numFmtId="4" fontId="3" fillId="0" borderId="53" xfId="51" applyNumberFormat="1" applyFont="1" applyBorder="1" applyAlignment="1">
      <alignment horizontal="right" vertical="center"/>
    </xf>
    <xf numFmtId="175" fontId="15" fillId="2" borderId="53" xfId="43" applyNumberFormat="1" applyFont="1" applyFill="1" applyBorder="1" applyAlignment="1">
      <alignment horizontal="right" vertical="center"/>
    </xf>
    <xf numFmtId="166" fontId="15" fillId="2" borderId="53" xfId="51" applyNumberFormat="1" applyFont="1" applyFill="1" applyBorder="1" applyAlignment="1">
      <alignment horizontal="right" vertical="center"/>
    </xf>
    <xf numFmtId="4" fontId="15" fillId="0" borderId="53" xfId="51" applyNumberFormat="1" applyFont="1" applyBorder="1" applyAlignment="1">
      <alignment horizontal="right" vertical="center"/>
    </xf>
    <xf numFmtId="43" fontId="15" fillId="0" borderId="53" xfId="77" applyFont="1" applyBorder="1" applyAlignment="1">
      <alignment horizontal="right" vertical="center"/>
    </xf>
    <xf numFmtId="2" fontId="3" fillId="0" borderId="0" xfId="51" applyNumberFormat="1" applyFont="1"/>
    <xf numFmtId="43" fontId="3" fillId="0" borderId="0" xfId="77" applyFont="1"/>
    <xf numFmtId="0" fontId="65" fillId="0" borderId="53" xfId="84" applyFill="1" applyBorder="1" applyAlignment="1">
      <alignment horizontal="center" vertical="center" wrapText="1"/>
    </xf>
    <xf numFmtId="164" fontId="2" fillId="0" borderId="53" xfId="51" applyNumberFormat="1" applyFont="1" applyBorder="1" applyAlignment="1">
      <alignment horizontal="center" vertical="center"/>
    </xf>
    <xf numFmtId="4" fontId="2" fillId="7" borderId="53" xfId="43" applyNumberFormat="1" applyFont="1" applyFill="1" applyBorder="1" applyAlignment="1">
      <alignment horizontal="right" vertical="center"/>
    </xf>
    <xf numFmtId="4" fontId="3" fillId="7" borderId="53" xfId="43" applyNumberFormat="1" applyFont="1" applyFill="1" applyBorder="1" applyAlignment="1">
      <alignment horizontal="right"/>
    </xf>
    <xf numFmtId="4" fontId="3" fillId="7" borderId="53" xfId="51" applyNumberFormat="1" applyFont="1" applyFill="1" applyBorder="1" applyAlignment="1">
      <alignment horizontal="right"/>
    </xf>
    <xf numFmtId="4" fontId="2" fillId="7" borderId="53" xfId="51" applyNumberFormat="1" applyFont="1" applyFill="1" applyBorder="1" applyAlignment="1">
      <alignment horizontal="right"/>
    </xf>
    <xf numFmtId="0" fontId="8" fillId="0" borderId="0" xfId="14"/>
    <xf numFmtId="0" fontId="66" fillId="13" borderId="67" xfId="14" applyFont="1" applyFill="1" applyBorder="1" applyAlignment="1">
      <alignment horizontal="left" vertical="top" wrapText="1"/>
    </xf>
    <xf numFmtId="178" fontId="8" fillId="0" borderId="0" xfId="14" applyNumberFormat="1" applyAlignment="1">
      <alignment horizontal="right" vertical="top"/>
    </xf>
    <xf numFmtId="3" fontId="8" fillId="0" borderId="67" xfId="14" applyNumberFormat="1" applyBorder="1" applyAlignment="1">
      <alignment horizontal="right" vertical="top"/>
    </xf>
    <xf numFmtId="0" fontId="8" fillId="0" borderId="0" xfId="14" applyAlignment="1">
      <alignment horizontal="right"/>
    </xf>
    <xf numFmtId="0" fontId="8" fillId="2" borderId="0" xfId="14" applyFill="1"/>
    <xf numFmtId="0" fontId="66" fillId="3" borderId="67" xfId="0" applyFont="1" applyFill="1" applyBorder="1" applyAlignment="1">
      <alignment horizontal="left" vertical="top" wrapText="1"/>
    </xf>
    <xf numFmtId="0" fontId="8" fillId="3" borderId="0" xfId="14" applyFill="1"/>
    <xf numFmtId="0" fontId="66" fillId="13" borderId="67" xfId="0" applyFont="1" applyFill="1" applyBorder="1" applyAlignment="1">
      <alignment horizontal="left" vertical="top" wrapText="1"/>
    </xf>
    <xf numFmtId="178" fontId="0" fillId="0" borderId="0" xfId="0" applyNumberFormat="1" applyAlignment="1">
      <alignment horizontal="right" vertical="top"/>
    </xf>
    <xf numFmtId="178" fontId="0" fillId="9" borderId="0" xfId="0" applyNumberFormat="1" applyFill="1" applyAlignment="1">
      <alignment horizontal="right" vertical="top"/>
    </xf>
    <xf numFmtId="166" fontId="9" fillId="5" borderId="53" xfId="14" applyNumberFormat="1" applyFont="1" applyFill="1" applyBorder="1"/>
    <xf numFmtId="0" fontId="9" fillId="0" borderId="53" xfId="14" applyFont="1" applyBorder="1"/>
    <xf numFmtId="166" fontId="9" fillId="0" borderId="53" xfId="14" applyNumberFormat="1" applyFont="1" applyBorder="1"/>
    <xf numFmtId="4" fontId="15" fillId="0" borderId="53" xfId="77" applyNumberFormat="1" applyFont="1" applyBorder="1" applyAlignment="1">
      <alignment horizontal="right" vertical="center"/>
    </xf>
    <xf numFmtId="4" fontId="2" fillId="8" borderId="53" xfId="51" applyNumberFormat="1" applyFont="1" applyFill="1" applyBorder="1" applyAlignment="1">
      <alignment horizontal="right" vertical="center"/>
    </xf>
    <xf numFmtId="4" fontId="3" fillId="0" borderId="53" xfId="51" applyNumberFormat="1" applyFont="1" applyFill="1" applyBorder="1" applyAlignment="1">
      <alignment horizontal="right" vertical="center"/>
    </xf>
    <xf numFmtId="4" fontId="2" fillId="7" borderId="53" xfId="51" applyNumberFormat="1" applyFont="1" applyFill="1" applyBorder="1" applyAlignment="1">
      <alignment horizontal="right" vertical="center"/>
    </xf>
    <xf numFmtId="4" fontId="2" fillId="8" borderId="53" xfId="51" applyNumberFormat="1" applyFont="1" applyFill="1" applyBorder="1" applyAlignment="1">
      <alignment horizontal="right" vertical="center" wrapText="1"/>
    </xf>
    <xf numFmtId="4" fontId="3" fillId="0" borderId="53" xfId="51" applyNumberFormat="1" applyFont="1" applyFill="1" applyBorder="1" applyAlignment="1">
      <alignment horizontal="right" vertical="center" wrapText="1"/>
    </xf>
    <xf numFmtId="4" fontId="15" fillId="0" borderId="53" xfId="77" applyNumberFormat="1" applyFont="1" applyFill="1" applyBorder="1" applyAlignment="1">
      <alignment horizontal="right" vertical="center"/>
    </xf>
    <xf numFmtId="4" fontId="10" fillId="0" borderId="0" xfId="27" applyNumberFormat="1"/>
    <xf numFmtId="166" fontId="12" fillId="14" borderId="53" xfId="0" applyNumberFormat="1" applyFont="1" applyFill="1" applyBorder="1"/>
    <xf numFmtId="0" fontId="22" fillId="0" borderId="0" xfId="65" applyFont="1"/>
    <xf numFmtId="14" fontId="36" fillId="0" borderId="0" xfId="0" applyNumberFormat="1" applyFont="1" applyBorder="1"/>
    <xf numFmtId="14" fontId="12" fillId="2" borderId="53" xfId="0" applyNumberFormat="1" applyFont="1" applyFill="1" applyBorder="1"/>
    <xf numFmtId="0" fontId="20" fillId="0" borderId="53" xfId="27" applyFont="1" applyBorder="1" applyAlignment="1">
      <alignment vertical="center" wrapText="1"/>
    </xf>
    <xf numFmtId="0" fontId="20" fillId="0" borderId="53" xfId="27" applyFont="1" applyBorder="1" applyAlignment="1">
      <alignment horizontal="justify" vertical="center" wrapText="1"/>
    </xf>
    <xf numFmtId="0" fontId="8" fillId="0" borderId="0" xfId="75" applyFont="1" applyAlignment="1">
      <alignment horizontal="left" vertical="top" wrapText="1"/>
    </xf>
    <xf numFmtId="0" fontId="8" fillId="0" borderId="53" xfId="75" applyFont="1" applyBorder="1" applyAlignment="1">
      <alignment horizontal="center" vertical="center" wrapText="1"/>
    </xf>
    <xf numFmtId="0" fontId="9" fillId="0" borderId="53" xfId="75" applyFont="1" applyBorder="1" applyAlignment="1">
      <alignment horizontal="left" vertical="top" wrapText="1"/>
    </xf>
    <xf numFmtId="0" fontId="9" fillId="0" borderId="60" xfId="75" applyFont="1" applyBorder="1" applyAlignment="1">
      <alignment horizontal="left" vertical="top" wrapText="1"/>
    </xf>
    <xf numFmtId="0" fontId="8" fillId="0" borderId="69" xfId="75" applyFont="1" applyBorder="1" applyAlignment="1">
      <alignment horizontal="left" vertical="top" wrapText="1"/>
    </xf>
    <xf numFmtId="0" fontId="9" fillId="0" borderId="69" xfId="75" applyFont="1" applyBorder="1" applyAlignment="1">
      <alignment horizontal="left" vertical="top" wrapText="1"/>
    </xf>
    <xf numFmtId="0" fontId="3" fillId="0" borderId="0" xfId="51" applyFont="1" applyBorder="1" applyAlignment="1">
      <alignment horizontal="center"/>
    </xf>
    <xf numFmtId="0" fontId="2" fillId="0" borderId="64"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0" xfId="27" applyFont="1" applyBorder="1" applyAlignment="1">
      <alignment horizontal="center" vertical="center" wrapText="1"/>
    </xf>
    <xf numFmtId="0" fontId="2" fillId="0" borderId="0" xfId="27" applyFont="1" applyAlignment="1">
      <alignment horizontal="center"/>
    </xf>
    <xf numFmtId="0" fontId="2" fillId="0" borderId="0" xfId="27" applyFont="1" applyAlignment="1">
      <alignment horizontal="center" vertical="center"/>
    </xf>
    <xf numFmtId="0" fontId="2" fillId="0" borderId="0" xfId="27" applyFont="1" applyAlignment="1">
      <alignment horizontal="center" vertical="center" wrapText="1"/>
    </xf>
    <xf numFmtId="0" fontId="3" fillId="0" borderId="0" xfId="27" applyFont="1" applyBorder="1" applyAlignment="1">
      <alignment horizontal="justify" vertical="center" wrapText="1"/>
    </xf>
    <xf numFmtId="0" fontId="15" fillId="0" borderId="0" xfId="27" applyFont="1" applyBorder="1" applyAlignment="1">
      <alignment horizontal="justify" vertical="top" wrapText="1"/>
    </xf>
    <xf numFmtId="0" fontId="3" fillId="0" borderId="0" xfId="27" applyFont="1" applyBorder="1" applyAlignment="1">
      <alignment horizontal="justify" vertical="top" wrapText="1"/>
    </xf>
    <xf numFmtId="0" fontId="15" fillId="0" borderId="0" xfId="0" applyFont="1" applyAlignment="1">
      <alignment horizontal="left" vertical="center" wrapText="1"/>
    </xf>
    <xf numFmtId="49" fontId="15" fillId="0" borderId="0" xfId="27" applyNumberFormat="1" applyFont="1" applyFill="1" applyBorder="1" applyAlignment="1">
      <alignment horizontal="justify" vertical="center" wrapText="1"/>
    </xf>
    <xf numFmtId="0" fontId="12" fillId="0" borderId="0" xfId="27" applyFont="1" applyBorder="1" applyAlignment="1">
      <alignment horizontal="center" vertical="top" wrapText="1"/>
    </xf>
    <xf numFmtId="0" fontId="3" fillId="0" borderId="0" xfId="27" applyFont="1" applyBorder="1" applyAlignment="1">
      <alignment horizontal="left" vertical="center"/>
    </xf>
    <xf numFmtId="0" fontId="15" fillId="0" borderId="0" xfId="27" applyFont="1" applyAlignment="1">
      <alignment horizontal="center" vertical="center" wrapText="1"/>
    </xf>
    <xf numFmtId="0" fontId="3" fillId="0" borderId="0" xfId="27" applyFont="1" applyAlignment="1">
      <alignment horizontal="center" vertical="center" wrapText="1"/>
    </xf>
    <xf numFmtId="49" fontId="15" fillId="0" borderId="0" xfId="14" applyNumberFormat="1" applyFont="1" applyAlignment="1">
      <alignment horizontal="left" vertical="center" wrapText="1"/>
    </xf>
    <xf numFmtId="0" fontId="3" fillId="0" borderId="0" xfId="44" applyFont="1" applyBorder="1" applyAlignment="1">
      <alignment horizontal="right" vertical="center"/>
    </xf>
    <xf numFmtId="0" fontId="12" fillId="0" borderId="0" xfId="14" applyFont="1" applyAlignment="1">
      <alignment horizontal="center"/>
    </xf>
    <xf numFmtId="0" fontId="42" fillId="0" borderId="0" xfId="14" applyFont="1" applyFill="1" applyAlignment="1">
      <alignment horizontal="left" vertical="center" wrapText="1"/>
    </xf>
    <xf numFmtId="0" fontId="12" fillId="0" borderId="0" xfId="14" applyFont="1" applyAlignment="1">
      <alignment horizontal="left" vertical="center" wrapText="1"/>
    </xf>
    <xf numFmtId="0" fontId="15" fillId="0" borderId="0" xfId="14" applyFont="1" applyAlignment="1">
      <alignment horizontal="center"/>
    </xf>
    <xf numFmtId="49" fontId="15" fillId="0" borderId="0" xfId="14" applyNumberFormat="1" applyFont="1" applyAlignment="1">
      <alignment horizontal="left" wrapText="1"/>
    </xf>
    <xf numFmtId="0" fontId="15" fillId="0" borderId="0" xfId="27" applyFont="1" applyFill="1" applyBorder="1" applyAlignment="1">
      <alignment horizontal="left"/>
    </xf>
    <xf numFmtId="49" fontId="15" fillId="5" borderId="0" xfId="14" applyNumberFormat="1" applyFont="1" applyFill="1" applyAlignment="1">
      <alignment horizontal="left" vertical="center" wrapText="1"/>
    </xf>
    <xf numFmtId="0" fontId="12" fillId="0" borderId="0" xfId="14" applyFont="1" applyAlignment="1">
      <alignment horizontal="center" vertical="center" wrapText="1"/>
    </xf>
    <xf numFmtId="0" fontId="3" fillId="0" borderId="0" xfId="27" applyFont="1" applyAlignment="1">
      <alignment horizontal="center" vertical="center"/>
    </xf>
    <xf numFmtId="0" fontId="2" fillId="0" borderId="0" xfId="27" quotePrefix="1" applyFont="1" applyAlignment="1">
      <alignment horizontal="center" vertical="center" wrapText="1"/>
    </xf>
    <xf numFmtId="0" fontId="3" fillId="7" borderId="2" xfId="27" applyFont="1" applyFill="1" applyBorder="1" applyAlignment="1">
      <alignment horizontal="center" vertical="center" wrapText="1"/>
    </xf>
    <xf numFmtId="0" fontId="2" fillId="0" borderId="0" xfId="51" applyFont="1" applyBorder="1" applyAlignment="1">
      <alignment horizontal="center"/>
    </xf>
    <xf numFmtId="0" fontId="12" fillId="0" borderId="0" xfId="51" applyFont="1" applyBorder="1" applyAlignment="1">
      <alignment horizontal="center"/>
    </xf>
    <xf numFmtId="0" fontId="3" fillId="0" borderId="0" xfId="51" applyFont="1" applyBorder="1" applyAlignment="1">
      <alignment horizontal="center" vertical="center" textRotation="90"/>
    </xf>
    <xf numFmtId="0" fontId="3" fillId="7" borderId="53" xfId="51" applyFont="1" applyFill="1" applyBorder="1" applyAlignment="1">
      <alignment horizontal="center" vertical="center" wrapText="1"/>
    </xf>
    <xf numFmtId="0" fontId="3" fillId="7" borderId="53" xfId="51" applyFont="1" applyFill="1" applyBorder="1" applyAlignment="1">
      <alignment horizontal="center" vertical="center"/>
    </xf>
    <xf numFmtId="0" fontId="15" fillId="7" borderId="53" xfId="51" applyFont="1" applyFill="1" applyBorder="1" applyAlignment="1">
      <alignment horizontal="center" vertical="center" wrapText="1"/>
    </xf>
    <xf numFmtId="0" fontId="3" fillId="0" borderId="0" xfId="51" applyFont="1" applyBorder="1" applyAlignment="1">
      <alignment horizontal="center"/>
    </xf>
    <xf numFmtId="0" fontId="3" fillId="0" borderId="0" xfId="51" applyFont="1" applyBorder="1" applyAlignment="1">
      <alignment horizontal="left" wrapText="1"/>
    </xf>
    <xf numFmtId="166" fontId="15" fillId="0" borderId="0" xfId="0" applyNumberFormat="1" applyFont="1" applyFill="1" applyBorder="1" applyAlignment="1">
      <alignment horizontal="center" vertical="center"/>
    </xf>
    <xf numFmtId="0" fontId="15" fillId="0" borderId="53" xfId="0" applyFont="1" applyBorder="1" applyAlignment="1">
      <alignment horizontal="center"/>
    </xf>
    <xf numFmtId="0" fontId="15" fillId="0" borderId="57" xfId="0" applyFont="1" applyBorder="1" applyAlignment="1">
      <alignment horizontal="center"/>
    </xf>
    <xf numFmtId="0" fontId="15" fillId="0" borderId="58" xfId="0" applyFont="1" applyBorder="1" applyAlignment="1">
      <alignment horizontal="center"/>
    </xf>
    <xf numFmtId="0" fontId="15" fillId="0" borderId="59" xfId="0" applyFont="1" applyBorder="1" applyAlignment="1">
      <alignment horizontal="center"/>
    </xf>
    <xf numFmtId="0" fontId="15" fillId="0" borderId="53" xfId="0" applyFont="1" applyBorder="1" applyAlignment="1">
      <alignment horizontal="left" wrapText="1"/>
    </xf>
    <xf numFmtId="0" fontId="15" fillId="0" borderId="0" xfId="0" applyFont="1" applyAlignment="1">
      <alignment horizontal="left" wrapText="1"/>
    </xf>
    <xf numFmtId="0" fontId="15" fillId="0" borderId="0" xfId="27" applyFont="1" applyAlignment="1">
      <alignment horizontal="left" vertical="top" wrapText="1"/>
    </xf>
    <xf numFmtId="0" fontId="15" fillId="0" borderId="18" xfId="27" applyFont="1" applyBorder="1" applyAlignment="1">
      <alignment horizontal="center" vertical="center" wrapText="1"/>
    </xf>
    <xf numFmtId="0" fontId="15" fillId="4" borderId="53" xfId="0" applyFont="1" applyFill="1" applyBorder="1" applyAlignment="1">
      <alignment horizontal="left" vertical="center"/>
    </xf>
    <xf numFmtId="0" fontId="15" fillId="4" borderId="57" xfId="0" applyFont="1" applyFill="1" applyBorder="1" applyAlignment="1">
      <alignment horizontal="left" vertical="center" wrapText="1"/>
    </xf>
    <xf numFmtId="0" fontId="15" fillId="4" borderId="59" xfId="0" applyFont="1" applyFill="1" applyBorder="1" applyAlignment="1">
      <alignment horizontal="left" vertical="center" wrapText="1"/>
    </xf>
    <xf numFmtId="0" fontId="15" fillId="2" borderId="57" xfId="0" applyFont="1" applyFill="1" applyBorder="1" applyAlignment="1">
      <alignment horizontal="center" vertical="center"/>
    </xf>
    <xf numFmtId="0" fontId="15" fillId="2" borderId="58" xfId="0" applyFont="1" applyFill="1" applyBorder="1" applyAlignment="1">
      <alignment horizontal="center" vertical="center"/>
    </xf>
    <xf numFmtId="0" fontId="15" fillId="2" borderId="59" xfId="0" applyFont="1" applyFill="1" applyBorder="1" applyAlignment="1">
      <alignment horizontal="center" vertical="center"/>
    </xf>
    <xf numFmtId="0" fontId="12" fillId="0" borderId="0" xfId="27" applyFont="1" applyAlignment="1">
      <alignment horizontal="center" vertical="center" wrapText="1"/>
    </xf>
    <xf numFmtId="0" fontId="15" fillId="0" borderId="0" xfId="27" applyFont="1" applyAlignment="1">
      <alignment horizontal="left" vertical="center" wrapText="1"/>
    </xf>
    <xf numFmtId="0" fontId="15" fillId="0" borderId="0" xfId="27" applyFont="1" applyAlignment="1">
      <alignment horizontal="left" wrapText="1"/>
    </xf>
    <xf numFmtId="0" fontId="15" fillId="6" borderId="4" xfId="27" applyFont="1" applyFill="1" applyBorder="1" applyAlignment="1">
      <alignment horizontal="center" vertical="center"/>
    </xf>
    <xf numFmtId="0" fontId="15" fillId="6" borderId="5" xfId="27" applyFont="1" applyFill="1" applyBorder="1" applyAlignment="1">
      <alignment horizontal="center" vertical="center"/>
    </xf>
    <xf numFmtId="0" fontId="15" fillId="6" borderId="4" xfId="27" applyFont="1" applyFill="1" applyBorder="1" applyAlignment="1">
      <alignment horizontal="center" vertical="center" wrapText="1"/>
    </xf>
    <xf numFmtId="0" fontId="15" fillId="6" borderId="12" xfId="27" applyFont="1" applyFill="1" applyBorder="1" applyAlignment="1">
      <alignment horizontal="center" vertical="center" wrapText="1"/>
    </xf>
    <xf numFmtId="0" fontId="15" fillId="6" borderId="5" xfId="27" applyFont="1" applyFill="1" applyBorder="1" applyAlignment="1">
      <alignment horizontal="center" vertical="center" wrapText="1"/>
    </xf>
    <xf numFmtId="0" fontId="15" fillId="6" borderId="2" xfId="27" applyFont="1" applyFill="1" applyBorder="1" applyAlignment="1">
      <alignment horizontal="center" vertical="center" wrapText="1"/>
    </xf>
    <xf numFmtId="0" fontId="12" fillId="0" borderId="0" xfId="27" quotePrefix="1" applyFont="1" applyAlignment="1">
      <alignment horizontal="left" vertical="center" wrapText="1"/>
    </xf>
    <xf numFmtId="0" fontId="3" fillId="0" borderId="0" xfId="27" applyFont="1" applyAlignment="1">
      <alignment horizontal="center" wrapText="1"/>
    </xf>
    <xf numFmtId="0" fontId="12" fillId="5" borderId="0" xfId="14" applyFont="1" applyFill="1" applyAlignment="1">
      <alignment horizontal="center" vertical="center" wrapText="1"/>
    </xf>
    <xf numFmtId="0" fontId="15" fillId="5" borderId="0" xfId="14" applyFont="1" applyFill="1" applyAlignment="1">
      <alignment horizontal="left" vertical="top" wrapText="1"/>
    </xf>
    <xf numFmtId="0" fontId="15" fillId="5" borderId="0" xfId="14" applyFont="1" applyFill="1" applyAlignment="1">
      <alignment horizontal="left" vertical="top"/>
    </xf>
    <xf numFmtId="0" fontId="12" fillId="5" borderId="0" xfId="14" quotePrefix="1" applyFont="1" applyFill="1" applyAlignment="1">
      <alignment horizontal="left" vertical="top" wrapText="1"/>
    </xf>
    <xf numFmtId="0" fontId="12" fillId="5" borderId="0" xfId="14" applyFont="1" applyFill="1" applyAlignment="1">
      <alignment horizontal="left" vertical="top" wrapText="1"/>
    </xf>
    <xf numFmtId="0" fontId="15" fillId="5" borderId="0" xfId="14" applyFont="1" applyFill="1" applyAlignment="1">
      <alignment horizontal="left" vertical="center" wrapText="1"/>
    </xf>
    <xf numFmtId="0" fontId="12" fillId="5" borderId="0" xfId="14" applyFont="1" applyFill="1" applyAlignment="1">
      <alignment horizontal="left" vertical="center" wrapText="1"/>
    </xf>
    <xf numFmtId="0" fontId="2" fillId="5" borderId="0" xfId="9" applyFont="1" applyFill="1" applyAlignment="1">
      <alignment horizontal="left" vertical="center"/>
    </xf>
    <xf numFmtId="49" fontId="12" fillId="6" borderId="4" xfId="14" applyNumberFormat="1" applyFont="1" applyFill="1" applyBorder="1" applyAlignment="1">
      <alignment horizontal="center" vertical="center" wrapText="1"/>
    </xf>
    <xf numFmtId="49" fontId="12" fillId="6" borderId="6" xfId="14" applyNumberFormat="1" applyFont="1" applyFill="1" applyBorder="1" applyAlignment="1">
      <alignment horizontal="center" vertical="center" wrapText="1"/>
    </xf>
    <xf numFmtId="49" fontId="12" fillId="6" borderId="5" xfId="14" applyNumberFormat="1" applyFont="1" applyFill="1" applyBorder="1" applyAlignment="1">
      <alignment horizontal="center" vertical="center" wrapText="1"/>
    </xf>
    <xf numFmtId="0" fontId="12" fillId="6" borderId="2" xfId="14" applyFont="1" applyFill="1" applyBorder="1" applyAlignment="1">
      <alignment horizontal="center"/>
    </xf>
    <xf numFmtId="0" fontId="12" fillId="5" borderId="10" xfId="14" applyFont="1" applyFill="1" applyBorder="1" applyAlignment="1">
      <alignment horizontal="center" vertical="center" wrapText="1"/>
    </xf>
    <xf numFmtId="0" fontId="12" fillId="5" borderId="7" xfId="14" applyFont="1" applyFill="1" applyBorder="1" applyAlignment="1">
      <alignment horizontal="center" vertical="center" wrapText="1"/>
    </xf>
    <xf numFmtId="0" fontId="12" fillId="5" borderId="8" xfId="14" applyFont="1" applyFill="1" applyBorder="1" applyAlignment="1">
      <alignment horizontal="center" vertical="center" wrapText="1"/>
    </xf>
    <xf numFmtId="49" fontId="12" fillId="5" borderId="3" xfId="14" applyNumberFormat="1" applyFont="1" applyFill="1" applyBorder="1" applyAlignment="1">
      <alignment horizontal="right" vertical="center" wrapText="1"/>
    </xf>
    <xf numFmtId="49" fontId="12" fillId="5" borderId="11" xfId="14" applyNumberFormat="1" applyFont="1" applyFill="1" applyBorder="1" applyAlignment="1">
      <alignment horizontal="right" vertical="center" wrapText="1"/>
    </xf>
    <xf numFmtId="49" fontId="12" fillId="5" borderId="9" xfId="14" applyNumberFormat="1" applyFont="1" applyFill="1" applyBorder="1" applyAlignment="1">
      <alignment horizontal="right" vertical="center" wrapText="1"/>
    </xf>
    <xf numFmtId="0" fontId="12" fillId="5" borderId="3" xfId="14" applyFont="1" applyFill="1" applyBorder="1" applyAlignment="1">
      <alignment horizontal="center" vertical="center" wrapText="1"/>
    </xf>
    <xf numFmtId="0" fontId="12" fillId="5" borderId="11" xfId="14" applyFont="1" applyFill="1" applyBorder="1" applyAlignment="1">
      <alignment horizontal="center" vertical="center" wrapText="1"/>
    </xf>
    <xf numFmtId="49" fontId="12" fillId="6" borderId="3" xfId="14" applyNumberFormat="1" applyFont="1" applyFill="1" applyBorder="1" applyAlignment="1">
      <alignment horizontal="right" vertical="center" wrapText="1"/>
    </xf>
    <xf numFmtId="49" fontId="12" fillId="6" borderId="11" xfId="14" applyNumberFormat="1" applyFont="1" applyFill="1" applyBorder="1" applyAlignment="1">
      <alignment horizontal="right" vertical="center" wrapText="1"/>
    </xf>
    <xf numFmtId="49" fontId="12" fillId="6" borderId="9" xfId="14" applyNumberFormat="1" applyFont="1" applyFill="1" applyBorder="1" applyAlignment="1">
      <alignment horizontal="right" vertical="center" wrapText="1"/>
    </xf>
    <xf numFmtId="0" fontId="9" fillId="0" borderId="14" xfId="75" applyFont="1" applyBorder="1" applyAlignment="1">
      <alignment horizontal="left" vertical="top" wrapText="1"/>
    </xf>
    <xf numFmtId="4" fontId="9" fillId="0" borderId="14" xfId="75" applyNumberFormat="1" applyFont="1" applyBorder="1" applyAlignment="1">
      <alignment horizontal="right" vertical="top" wrapText="1"/>
    </xf>
    <xf numFmtId="0" fontId="39" fillId="0" borderId="0" xfId="75" applyFont="1" applyAlignment="1">
      <alignment horizontal="center" vertical="top" wrapText="1"/>
    </xf>
    <xf numFmtId="0" fontId="8" fillId="0" borderId="0" xfId="75" applyFont="1" applyAlignment="1">
      <alignment horizontal="left" vertical="top" wrapText="1"/>
    </xf>
    <xf numFmtId="4" fontId="8" fillId="0" borderId="0" xfId="75" applyNumberFormat="1" applyFont="1" applyAlignment="1">
      <alignment horizontal="left" vertical="top" wrapText="1"/>
    </xf>
    <xf numFmtId="0" fontId="8" fillId="0" borderId="18" xfId="75" applyFont="1" applyBorder="1" applyAlignment="1">
      <alignment horizontal="center" vertical="top" wrapText="1"/>
    </xf>
    <xf numFmtId="0" fontId="8" fillId="0" borderId="0" xfId="75" applyFont="1" applyAlignment="1">
      <alignment horizontal="center" vertical="top" wrapText="1"/>
    </xf>
    <xf numFmtId="0" fontId="9" fillId="0" borderId="43" xfId="75" applyFont="1" applyBorder="1" applyAlignment="1">
      <alignment horizontal="left" vertical="top" wrapText="1"/>
    </xf>
    <xf numFmtId="0" fontId="8" fillId="0" borderId="43" xfId="75" applyFont="1" applyBorder="1" applyAlignment="1">
      <alignment horizontal="left" vertical="top" wrapText="1"/>
    </xf>
    <xf numFmtId="4" fontId="8" fillId="0" borderId="43" xfId="75" applyNumberFormat="1" applyFont="1" applyBorder="1" applyAlignment="1">
      <alignment horizontal="right" vertical="top" wrapText="1"/>
    </xf>
    <xf numFmtId="0" fontId="9" fillId="0" borderId="22" xfId="75" applyFont="1" applyBorder="1" applyAlignment="1">
      <alignment horizontal="left" vertical="top" wrapText="1"/>
    </xf>
    <xf numFmtId="0" fontId="8" fillId="0" borderId="22" xfId="75" applyFont="1" applyBorder="1" applyAlignment="1">
      <alignment horizontal="left" vertical="top" wrapText="1"/>
    </xf>
    <xf numFmtId="0" fontId="8" fillId="0" borderId="14" xfId="75" applyFont="1" applyBorder="1" applyAlignment="1">
      <alignment horizontal="center" vertical="center" wrapText="1"/>
    </xf>
    <xf numFmtId="0" fontId="37" fillId="0" borderId="0" xfId="75" applyFont="1" applyAlignment="1">
      <alignment horizontal="left" vertical="top" wrapText="1"/>
    </xf>
    <xf numFmtId="0" fontId="8" fillId="0" borderId="0" xfId="75" applyFont="1" applyAlignment="1">
      <alignment horizontal="right" vertical="top" wrapText="1"/>
    </xf>
    <xf numFmtId="0" fontId="9" fillId="0" borderId="0" xfId="75" applyFont="1" applyAlignment="1">
      <alignment horizontal="center" vertical="top" wrapText="1"/>
    </xf>
    <xf numFmtId="0" fontId="9" fillId="0" borderId="53" xfId="75" applyFont="1" applyBorder="1" applyAlignment="1">
      <alignment horizontal="left" vertical="top" wrapText="1"/>
    </xf>
    <xf numFmtId="0" fontId="9" fillId="0" borderId="60" xfId="75" applyFont="1" applyBorder="1" applyAlignment="1">
      <alignment horizontal="left" vertical="top" wrapText="1"/>
    </xf>
    <xf numFmtId="0" fontId="8" fillId="0" borderId="60" xfId="75" applyFont="1" applyBorder="1" applyAlignment="1">
      <alignment horizontal="left" vertical="top" wrapText="1"/>
    </xf>
    <xf numFmtId="4" fontId="8" fillId="0" borderId="60" xfId="75" applyNumberFormat="1" applyFont="1" applyBorder="1" applyAlignment="1">
      <alignment horizontal="right" vertical="top" wrapText="1"/>
    </xf>
    <xf numFmtId="0" fontId="8" fillId="0" borderId="53" xfId="75" applyFont="1" applyBorder="1" applyAlignment="1">
      <alignment horizontal="center" vertical="center" wrapText="1"/>
    </xf>
    <xf numFmtId="0" fontId="8" fillId="0" borderId="53" xfId="75" applyFont="1" applyBorder="1" applyAlignment="1">
      <alignment horizontal="left" vertical="top" wrapText="1"/>
    </xf>
    <xf numFmtId="4" fontId="9" fillId="0" borderId="53" xfId="75" applyNumberFormat="1" applyFont="1" applyBorder="1" applyAlignment="1">
      <alignment horizontal="right" vertical="top" wrapText="1"/>
    </xf>
    <xf numFmtId="0" fontId="9" fillId="0" borderId="0" xfId="75" applyFont="1" applyAlignment="1">
      <alignment horizontal="center" vertical="center" wrapText="1"/>
    </xf>
    <xf numFmtId="0" fontId="8" fillId="0" borderId="0" xfId="75" applyFont="1" applyAlignment="1">
      <alignment horizontal="center" vertical="center" wrapText="1"/>
    </xf>
    <xf numFmtId="0" fontId="38" fillId="0" borderId="0" xfId="75" applyFont="1" applyAlignment="1">
      <alignment horizontal="left" vertical="top" wrapText="1"/>
    </xf>
    <xf numFmtId="3" fontId="8" fillId="0" borderId="43" xfId="75" applyNumberFormat="1" applyFont="1" applyBorder="1" applyAlignment="1">
      <alignment horizontal="right" vertical="top" wrapText="1"/>
    </xf>
    <xf numFmtId="3" fontId="9" fillId="0" borderId="53" xfId="75" applyNumberFormat="1" applyFont="1" applyBorder="1" applyAlignment="1">
      <alignment horizontal="right" vertical="top" wrapText="1"/>
    </xf>
    <xf numFmtId="3" fontId="8" fillId="0" borderId="53" xfId="75" applyNumberFormat="1" applyFont="1" applyBorder="1" applyAlignment="1">
      <alignment horizontal="right" vertical="top" wrapText="1"/>
    </xf>
    <xf numFmtId="3" fontId="8" fillId="0" borderId="0" xfId="75" applyNumberFormat="1" applyFont="1" applyAlignment="1">
      <alignment horizontal="left" vertical="top" wrapText="1"/>
    </xf>
    <xf numFmtId="0" fontId="56" fillId="0" borderId="0" xfId="45" applyFont="1" applyAlignment="1">
      <alignment vertical="top" wrapText="1"/>
    </xf>
    <xf numFmtId="0" fontId="9" fillId="0" borderId="15" xfId="45" applyFont="1" applyFill="1" applyBorder="1" applyAlignment="1">
      <alignment horizontal="center" vertical="center" wrapText="1"/>
    </xf>
    <xf numFmtId="0" fontId="9" fillId="0" borderId="16" xfId="45" applyFont="1" applyFill="1" applyBorder="1" applyAlignment="1">
      <alignment horizontal="center" vertical="center" wrapText="1"/>
    </xf>
    <xf numFmtId="0" fontId="9" fillId="0" borderId="17" xfId="45" applyFont="1" applyFill="1" applyBorder="1" applyAlignment="1">
      <alignment horizontal="center" vertical="center" wrapText="1"/>
    </xf>
    <xf numFmtId="0" fontId="9" fillId="0" borderId="14" xfId="45" applyFont="1" applyFill="1" applyBorder="1" applyAlignment="1">
      <alignment horizontal="right" vertical="center" wrapText="1"/>
    </xf>
    <xf numFmtId="0" fontId="49" fillId="0" borderId="16" xfId="45" applyFont="1" applyFill="1" applyBorder="1" applyAlignment="1">
      <alignment horizontal="right" vertical="center" wrapText="1"/>
    </xf>
    <xf numFmtId="0" fontId="49" fillId="0" borderId="15" xfId="45" applyFont="1" applyFill="1" applyBorder="1" applyAlignment="1">
      <alignment horizontal="center" vertical="center" wrapText="1"/>
    </xf>
    <xf numFmtId="0" fontId="49" fillId="0" borderId="16" xfId="45" applyFont="1" applyFill="1" applyBorder="1" applyAlignment="1">
      <alignment horizontal="center" vertical="center" wrapText="1"/>
    </xf>
    <xf numFmtId="0" fontId="49" fillId="0" borderId="17" xfId="45" applyFont="1" applyFill="1" applyBorder="1" applyAlignment="1">
      <alignment horizontal="center" vertical="center" wrapText="1"/>
    </xf>
    <xf numFmtId="0" fontId="52" fillId="0" borderId="43" xfId="45" applyFont="1" applyFill="1" applyBorder="1" applyAlignment="1">
      <alignment horizontal="center" vertical="center" wrapText="1"/>
    </xf>
    <xf numFmtId="0" fontId="52" fillId="0" borderId="22" xfId="45" applyFont="1" applyFill="1" applyBorder="1" applyAlignment="1">
      <alignment horizontal="center" vertical="center" wrapText="1"/>
    </xf>
    <xf numFmtId="0" fontId="52" fillId="0" borderId="21" xfId="45" applyFont="1" applyFill="1" applyBorder="1" applyAlignment="1">
      <alignment horizontal="center" vertical="center" wrapText="1"/>
    </xf>
    <xf numFmtId="0" fontId="9" fillId="0" borderId="14" xfId="45" applyFont="1" applyFill="1" applyBorder="1" applyAlignment="1">
      <alignment horizontal="center" vertical="center" wrapText="1"/>
    </xf>
    <xf numFmtId="0" fontId="8" fillId="3" borderId="14" xfId="45" applyFont="1" applyFill="1" applyBorder="1" applyAlignment="1">
      <alignment horizontal="center" vertical="center" wrapText="1"/>
    </xf>
    <xf numFmtId="0" fontId="49" fillId="0" borderId="15" xfId="45" applyFont="1" applyFill="1" applyBorder="1" applyAlignment="1">
      <alignment horizontal="right" vertical="center" wrapText="1"/>
    </xf>
    <xf numFmtId="0" fontId="49" fillId="0" borderId="17" xfId="45" applyFont="1" applyFill="1" applyBorder="1" applyAlignment="1">
      <alignment horizontal="right" vertical="center" wrapText="1"/>
    </xf>
    <xf numFmtId="0" fontId="48" fillId="0" borderId="14" xfId="45" applyFont="1" applyFill="1" applyBorder="1" applyAlignment="1">
      <alignment horizontal="center" vertical="center" wrapText="1"/>
    </xf>
    <xf numFmtId="0" fontId="49" fillId="0" borderId="14" xfId="45" applyFont="1" applyFill="1" applyBorder="1" applyAlignment="1">
      <alignment horizontal="right" vertical="center" wrapText="1"/>
    </xf>
    <xf numFmtId="0" fontId="49" fillId="0" borderId="14" xfId="45" applyFont="1" applyFill="1" applyBorder="1" applyAlignment="1">
      <alignment horizontal="center" vertical="center" wrapText="1"/>
    </xf>
    <xf numFmtId="0" fontId="52" fillId="0" borderId="14" xfId="45" applyFont="1" applyFill="1" applyBorder="1" applyAlignment="1">
      <alignment horizontal="center" vertical="center" wrapText="1"/>
    </xf>
    <xf numFmtId="2" fontId="9" fillId="0" borderId="0" xfId="45" applyNumberFormat="1" applyFont="1" applyAlignment="1">
      <alignment horizontal="center"/>
    </xf>
    <xf numFmtId="0" fontId="9" fillId="0" borderId="0" xfId="45" applyFont="1" applyAlignment="1">
      <alignment horizontal="center"/>
    </xf>
    <xf numFmtId="0" fontId="8" fillId="0" borderId="15" xfId="45" applyFont="1" applyBorder="1" applyAlignment="1">
      <alignment horizontal="center" vertical="center"/>
    </xf>
    <xf numFmtId="0" fontId="8" fillId="0" borderId="17" xfId="45" applyFont="1" applyBorder="1" applyAlignment="1">
      <alignment horizontal="center" vertical="center"/>
    </xf>
    <xf numFmtId="0" fontId="48" fillId="0" borderId="16" xfId="80" applyFont="1" applyFill="1" applyBorder="1" applyAlignment="1" applyProtection="1">
      <alignment horizontal="center" vertical="center" wrapText="1"/>
      <protection locked="0"/>
    </xf>
    <xf numFmtId="0" fontId="48" fillId="0" borderId="17" xfId="80" applyFont="1" applyFill="1" applyBorder="1" applyAlignment="1" applyProtection="1">
      <alignment horizontal="center" vertical="center" wrapText="1"/>
      <protection locked="0"/>
    </xf>
    <xf numFmtId="0" fontId="48" fillId="0" borderId="0" xfId="80" applyFont="1" applyFill="1" applyAlignment="1" applyProtection="1">
      <alignment horizontal="left" vertical="center" wrapText="1"/>
      <protection locked="0"/>
    </xf>
    <xf numFmtId="0" fontId="8" fillId="0" borderId="16" xfId="45" applyFont="1" applyBorder="1" applyAlignment="1">
      <alignment horizontal="center" vertical="center"/>
    </xf>
    <xf numFmtId="0" fontId="48" fillId="0" borderId="15" xfId="80" applyFont="1" applyFill="1" applyBorder="1" applyAlignment="1" applyProtection="1">
      <alignment horizontal="left" vertical="top" wrapText="1"/>
      <protection locked="0"/>
    </xf>
    <xf numFmtId="0" fontId="48" fillId="0" borderId="16" xfId="80" applyFont="1" applyFill="1" applyBorder="1" applyAlignment="1" applyProtection="1">
      <alignment horizontal="left" vertical="top" wrapText="1"/>
      <protection locked="0"/>
    </xf>
    <xf numFmtId="0" fontId="48" fillId="0" borderId="17" xfId="80" applyFont="1" applyFill="1" applyBorder="1" applyAlignment="1" applyProtection="1">
      <alignment horizontal="left" vertical="top" wrapText="1"/>
      <protection locked="0"/>
    </xf>
    <xf numFmtId="0" fontId="8" fillId="0" borderId="44" xfId="45" applyFont="1" applyBorder="1" applyAlignment="1">
      <alignment horizontal="center" vertical="center" wrapText="1"/>
    </xf>
    <xf numFmtId="0" fontId="8" fillId="0" borderId="45" xfId="45" applyFont="1" applyBorder="1" applyAlignment="1">
      <alignment horizontal="center" vertical="center" wrapText="1"/>
    </xf>
    <xf numFmtId="0" fontId="8" fillId="0" borderId="46" xfId="45" applyFont="1" applyBorder="1" applyAlignment="1">
      <alignment horizontal="center" vertical="center" wrapText="1"/>
    </xf>
    <xf numFmtId="0" fontId="8" fillId="0" borderId="20" xfId="45" applyFont="1" applyBorder="1" applyAlignment="1">
      <alignment horizontal="center" vertical="center" wrapText="1"/>
    </xf>
    <xf numFmtId="0" fontId="8" fillId="0" borderId="18" xfId="45" applyFont="1" applyBorder="1" applyAlignment="1">
      <alignment horizontal="center" vertical="center" wrapText="1"/>
    </xf>
    <xf numFmtId="0" fontId="8" fillId="0" borderId="47" xfId="45" applyFont="1" applyBorder="1" applyAlignment="1">
      <alignment horizontal="center" vertical="center" wrapText="1"/>
    </xf>
    <xf numFmtId="0" fontId="48" fillId="0" borderId="44" xfId="80" applyFont="1" applyFill="1" applyBorder="1" applyAlignment="1" applyProtection="1">
      <alignment horizontal="left" vertical="center" wrapText="1"/>
      <protection locked="0"/>
    </xf>
    <xf numFmtId="0" fontId="48" fillId="0" borderId="45" xfId="80" applyFont="1" applyFill="1" applyBorder="1" applyAlignment="1" applyProtection="1">
      <alignment horizontal="left" vertical="center" wrapText="1"/>
      <protection locked="0"/>
    </xf>
    <xf numFmtId="0" fontId="48" fillId="0" borderId="46" xfId="80" applyFont="1" applyFill="1" applyBorder="1" applyAlignment="1" applyProtection="1">
      <alignment horizontal="left" vertical="center" wrapText="1"/>
      <protection locked="0"/>
    </xf>
    <xf numFmtId="0" fontId="48" fillId="0" borderId="20" xfId="80" applyFont="1" applyFill="1" applyBorder="1" applyAlignment="1" applyProtection="1">
      <alignment horizontal="left" vertical="center" wrapText="1"/>
      <protection locked="0"/>
    </xf>
    <xf numFmtId="0" fontId="48" fillId="0" borderId="18" xfId="80" applyFont="1" applyFill="1" applyBorder="1" applyAlignment="1" applyProtection="1">
      <alignment horizontal="left" vertical="center" wrapText="1"/>
      <protection locked="0"/>
    </xf>
    <xf numFmtId="0" fontId="48" fillId="0" borderId="47" xfId="80" applyFont="1" applyFill="1" applyBorder="1" applyAlignment="1" applyProtection="1">
      <alignment horizontal="left" vertical="center" wrapText="1"/>
      <protection locked="0"/>
    </xf>
    <xf numFmtId="0" fontId="48" fillId="0" borderId="15" xfId="80" applyFont="1" applyFill="1" applyBorder="1" applyAlignment="1" applyProtection="1">
      <alignment horizontal="left" vertical="center" wrapText="1"/>
      <protection locked="0"/>
    </xf>
    <xf numFmtId="0" fontId="48" fillId="0" borderId="16" xfId="80" applyFont="1" applyFill="1" applyBorder="1" applyAlignment="1" applyProtection="1">
      <alignment horizontal="left" vertical="center" wrapText="1"/>
      <protection locked="0"/>
    </xf>
    <xf numFmtId="0" fontId="48" fillId="0" borderId="17" xfId="80" applyFont="1" applyFill="1" applyBorder="1" applyAlignment="1" applyProtection="1">
      <alignment horizontal="left" vertical="center" wrapText="1"/>
      <protection locked="0"/>
    </xf>
    <xf numFmtId="0" fontId="8" fillId="0" borderId="16" xfId="45" applyBorder="1" applyAlignment="1">
      <alignment horizontal="center" vertical="top" wrapText="1"/>
    </xf>
    <xf numFmtId="0" fontId="8" fillId="0" borderId="17" xfId="45" applyBorder="1" applyAlignment="1">
      <alignment horizontal="center" vertical="top" wrapText="1"/>
    </xf>
    <xf numFmtId="0" fontId="44" fillId="0" borderId="33" xfId="56" applyFont="1" applyBorder="1" applyAlignment="1">
      <alignment horizontal="left" vertical="center" wrapText="1"/>
    </xf>
    <xf numFmtId="0" fontId="44" fillId="0" borderId="34" xfId="56" applyFont="1" applyBorder="1" applyAlignment="1">
      <alignment horizontal="left" vertical="center" wrapText="1"/>
    </xf>
    <xf numFmtId="0" fontId="45" fillId="0" borderId="36" xfId="56" applyFont="1" applyBorder="1" applyAlignment="1">
      <alignment horizontal="center" vertical="center" wrapText="1"/>
    </xf>
    <xf numFmtId="0" fontId="45" fillId="0" borderId="40" xfId="56" applyFont="1" applyBorder="1" applyAlignment="1">
      <alignment horizontal="center" vertical="center" wrapText="1"/>
    </xf>
    <xf numFmtId="0" fontId="46" fillId="0" borderId="36" xfId="56" applyFont="1" applyBorder="1" applyAlignment="1">
      <alignment horizontal="center" vertical="center" wrapText="1"/>
    </xf>
    <xf numFmtId="0" fontId="44" fillId="0" borderId="41" xfId="56" applyFont="1" applyBorder="1" applyAlignment="1">
      <alignment horizontal="center" vertical="center" wrapText="1"/>
    </xf>
    <xf numFmtId="0" fontId="44" fillId="0" borderId="40" xfId="56" applyFont="1" applyBorder="1" applyAlignment="1">
      <alignment horizontal="center" vertical="center" wrapText="1"/>
    </xf>
    <xf numFmtId="0" fontId="44" fillId="0" borderId="15" xfId="56" applyFont="1" applyBorder="1" applyAlignment="1">
      <alignment horizontal="left"/>
    </xf>
    <xf numFmtId="0" fontId="44" fillId="0" borderId="16" xfId="56" applyFont="1" applyBorder="1" applyAlignment="1">
      <alignment horizontal="left"/>
    </xf>
    <xf numFmtId="0" fontId="44" fillId="0" borderId="17" xfId="56" applyFont="1" applyBorder="1" applyAlignment="1">
      <alignment horizontal="left"/>
    </xf>
    <xf numFmtId="0" fontId="44" fillId="0" borderId="36" xfId="56" applyFont="1" applyBorder="1" applyAlignment="1">
      <alignment horizontal="left" vertical="center" wrapText="1"/>
    </xf>
    <xf numFmtId="0" fontId="45" fillId="0" borderId="37" xfId="56" applyFont="1" applyBorder="1" applyAlignment="1">
      <alignment horizontal="center" vertical="center" wrapText="1"/>
    </xf>
    <xf numFmtId="0" fontId="44" fillId="0" borderId="37" xfId="56" applyFont="1" applyFill="1" applyBorder="1" applyAlignment="1">
      <alignment horizontal="left" vertical="center" wrapText="1"/>
    </xf>
    <xf numFmtId="0" fontId="45" fillId="0" borderId="38" xfId="56" applyFont="1" applyFill="1" applyBorder="1" applyAlignment="1">
      <alignment horizontal="center" vertical="center" wrapText="1"/>
    </xf>
    <xf numFmtId="0" fontId="44" fillId="0" borderId="33" xfId="56" applyFont="1" applyBorder="1" applyAlignment="1">
      <alignment horizontal="center" vertical="center" wrapText="1"/>
    </xf>
    <xf numFmtId="0" fontId="44" fillId="0" borderId="27" xfId="56" applyFont="1" applyBorder="1" applyAlignment="1">
      <alignment horizontal="left" vertical="center" wrapText="1"/>
    </xf>
    <xf numFmtId="0" fontId="44" fillId="0" borderId="0" xfId="56" applyFont="1" applyBorder="1" applyAlignment="1">
      <alignment horizontal="center"/>
    </xf>
    <xf numFmtId="0" fontId="44" fillId="0" borderId="0" xfId="56" applyFont="1" applyBorder="1" applyAlignment="1">
      <alignment horizontal="left" vertical="top" wrapText="1"/>
    </xf>
    <xf numFmtId="0" fontId="45" fillId="0" borderId="0" xfId="56" applyFont="1" applyBorder="1" applyAlignment="1">
      <alignment horizontal="left" vertical="top" wrapText="1"/>
    </xf>
    <xf numFmtId="0" fontId="44" fillId="0" borderId="26" xfId="56" applyFont="1" applyBorder="1" applyAlignment="1">
      <alignment horizontal="center" vertical="center" wrapText="1"/>
    </xf>
    <xf numFmtId="0" fontId="8" fillId="0" borderId="14" xfId="75" applyFont="1" applyBorder="1" applyAlignment="1">
      <alignment horizontal="left" vertical="top" wrapText="1"/>
    </xf>
    <xf numFmtId="4" fontId="8" fillId="0" borderId="14" xfId="75" applyNumberFormat="1" applyFont="1" applyBorder="1" applyAlignment="1">
      <alignment horizontal="right" vertical="top" wrapText="1"/>
    </xf>
    <xf numFmtId="0" fontId="9" fillId="0" borderId="69" xfId="75" applyFont="1" applyBorder="1" applyAlignment="1">
      <alignment horizontal="left" vertical="top" wrapText="1"/>
    </xf>
    <xf numFmtId="0" fontId="8" fillId="0" borderId="69" xfId="75" applyFont="1" applyBorder="1" applyAlignment="1">
      <alignment horizontal="left" vertical="top" wrapText="1"/>
    </xf>
    <xf numFmtId="3" fontId="8" fillId="0" borderId="60" xfId="75" applyNumberFormat="1" applyFont="1" applyBorder="1" applyAlignment="1">
      <alignment horizontal="right" vertical="top" wrapText="1"/>
    </xf>
    <xf numFmtId="0" fontId="8" fillId="0" borderId="18" xfId="75" applyFont="1" applyBorder="1" applyAlignment="1">
      <alignment horizontal="left" vertical="top" wrapText="1"/>
    </xf>
    <xf numFmtId="0" fontId="28" fillId="0" borderId="0" xfId="0" applyFont="1" applyAlignment="1">
      <alignment horizontal="center"/>
    </xf>
    <xf numFmtId="0" fontId="0" fillId="0" borderId="0" xfId="0" applyAlignment="1">
      <alignment horizontal="center" wrapText="1"/>
    </xf>
    <xf numFmtId="0" fontId="0" fillId="0" borderId="0" xfId="0" applyAlignment="1">
      <alignment horizontal="left" vertical="top" wrapText="1"/>
    </xf>
    <xf numFmtId="0" fontId="0" fillId="0" borderId="0" xfId="0" applyAlignment="1">
      <alignment horizontal="center" vertical="top"/>
    </xf>
    <xf numFmtId="0" fontId="3" fillId="0" borderId="60" xfId="23" quotePrefix="1" applyFont="1" applyFill="1" applyBorder="1" applyAlignment="1">
      <alignment horizontal="center" vertical="center" wrapText="1"/>
    </xf>
    <xf numFmtId="0" fontId="3" fillId="0" borderId="22" xfId="23" quotePrefix="1" applyFont="1" applyFill="1" applyBorder="1" applyAlignment="1">
      <alignment horizontal="center" vertical="center" wrapText="1"/>
    </xf>
    <xf numFmtId="0" fontId="3" fillId="0" borderId="21" xfId="23" quotePrefix="1" applyFont="1" applyFill="1" applyBorder="1" applyAlignment="1">
      <alignment horizontal="center" vertical="center" wrapText="1"/>
    </xf>
    <xf numFmtId="0" fontId="18" fillId="0" borderId="0" xfId="0" applyFont="1" applyFill="1" applyAlignment="1">
      <alignment horizontal="center" wrapText="1"/>
    </xf>
    <xf numFmtId="4" fontId="3" fillId="0" borderId="6" xfId="43" applyNumberFormat="1" applyFont="1" applyFill="1" applyBorder="1" applyAlignment="1">
      <alignment horizontal="center" vertical="center" wrapText="1"/>
    </xf>
    <xf numFmtId="4" fontId="3" fillId="0" borderId="5" xfId="43" applyNumberFormat="1" applyFont="1" applyFill="1" applyBorder="1" applyAlignment="1">
      <alignment horizontal="center" vertical="center" wrapText="1"/>
    </xf>
    <xf numFmtId="0" fontId="3" fillId="6" borderId="2" xfId="22" quotePrefix="1"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0" borderId="6" xfId="23" quotePrefix="1" applyFont="1" applyFill="1" applyBorder="1" applyAlignment="1">
      <alignment horizontal="center" vertical="center" wrapText="1"/>
    </xf>
    <xf numFmtId="0" fontId="3" fillId="0" borderId="5" xfId="23" quotePrefix="1" applyFont="1" applyFill="1" applyBorder="1" applyAlignment="1">
      <alignment horizontal="center" vertical="center" wrapText="1"/>
    </xf>
    <xf numFmtId="0" fontId="2" fillId="0" borderId="0" xfId="16" quotePrefix="1" applyFont="1" applyFill="1" applyAlignment="1">
      <alignment horizontal="center" vertical="center" wrapText="1"/>
    </xf>
    <xf numFmtId="0" fontId="3" fillId="0" borderId="0" xfId="15" applyFont="1" applyFill="1" applyAlignment="1">
      <alignment wrapText="1"/>
    </xf>
    <xf numFmtId="0" fontId="3" fillId="0" borderId="0" xfId="17" quotePrefix="1" applyFont="1" applyFill="1" applyAlignment="1">
      <alignment horizontal="center" vertical="top" wrapText="1"/>
    </xf>
    <xf numFmtId="0" fontId="2" fillId="0" borderId="0" xfId="18" quotePrefix="1" applyFont="1" applyFill="1" applyAlignment="1">
      <alignment horizontal="left" vertical="top" wrapText="1"/>
    </xf>
    <xf numFmtId="0" fontId="2" fillId="0" borderId="0" xfId="19" quotePrefix="1" applyFont="1" applyFill="1" applyAlignment="1">
      <alignment horizontal="left" vertical="center" wrapText="1"/>
    </xf>
    <xf numFmtId="0" fontId="2" fillId="0" borderId="0" xfId="15" applyFont="1" applyFill="1" applyAlignment="1">
      <alignment vertical="center" wrapText="1"/>
    </xf>
    <xf numFmtId="0" fontId="3" fillId="0" borderId="0" xfId="20" quotePrefix="1" applyFont="1" applyFill="1" applyAlignment="1">
      <alignment horizontal="left" vertical="center" wrapText="1"/>
    </xf>
    <xf numFmtId="0" fontId="2" fillId="0" borderId="0" xfId="21" quotePrefix="1" applyFont="1" applyFill="1" applyAlignment="1">
      <alignment horizontal="left" vertical="center" wrapText="1"/>
    </xf>
    <xf numFmtId="0" fontId="3" fillId="0" borderId="0" xfId="19" quotePrefix="1" applyFont="1" applyFill="1" applyAlignment="1">
      <alignment horizontal="left" vertical="top" wrapText="1"/>
    </xf>
    <xf numFmtId="0" fontId="22" fillId="0" borderId="0" xfId="65" applyFont="1" applyAlignment="1">
      <alignment horizontal="center"/>
    </xf>
    <xf numFmtId="0" fontId="8" fillId="5" borderId="57" xfId="14" applyFill="1" applyBorder="1" applyAlignment="1">
      <alignment horizontal="left"/>
    </xf>
    <xf numFmtId="0" fontId="8" fillId="5" borderId="59" xfId="14" applyFill="1" applyBorder="1" applyAlignment="1">
      <alignment horizontal="left"/>
    </xf>
    <xf numFmtId="0" fontId="66" fillId="13" borderId="67" xfId="0" applyFont="1" applyFill="1" applyBorder="1" applyAlignment="1">
      <alignment horizontal="left" vertical="top" wrapText="1"/>
    </xf>
    <xf numFmtId="0" fontId="66" fillId="13" borderId="68" xfId="0" applyFont="1" applyFill="1" applyBorder="1" applyAlignment="1">
      <alignment horizontal="center" vertical="top" wrapText="1"/>
    </xf>
    <xf numFmtId="0" fontId="66" fillId="13" borderId="0" xfId="0" applyFont="1" applyFill="1" applyBorder="1" applyAlignment="1">
      <alignment horizontal="center" vertical="top" wrapText="1"/>
    </xf>
    <xf numFmtId="0" fontId="9" fillId="0" borderId="0" xfId="14" applyFont="1"/>
    <xf numFmtId="0" fontId="66" fillId="13" borderId="67" xfId="14" applyFont="1" applyFill="1" applyBorder="1" applyAlignment="1">
      <alignment horizontal="left" vertical="top" wrapText="1"/>
    </xf>
    <xf numFmtId="0" fontId="66" fillId="13" borderId="68" xfId="14" applyFont="1" applyFill="1" applyBorder="1" applyAlignment="1">
      <alignment horizontal="left" vertical="top" wrapText="1"/>
    </xf>
    <xf numFmtId="0" fontId="66" fillId="13" borderId="0" xfId="14" applyFont="1" applyFill="1" applyBorder="1" applyAlignment="1">
      <alignment horizontal="left" vertical="top" wrapText="1"/>
    </xf>
    <xf numFmtId="0" fontId="8" fillId="2" borderId="43" xfId="65" applyFont="1" applyFill="1" applyBorder="1" applyAlignment="1">
      <alignment horizontal="center" vertical="center" wrapText="1"/>
    </xf>
    <xf numFmtId="0" fontId="8" fillId="2" borderId="22" xfId="65" applyFont="1" applyFill="1" applyBorder="1" applyAlignment="1">
      <alignment horizontal="center" vertical="center" wrapText="1"/>
    </xf>
    <xf numFmtId="0" fontId="8" fillId="2" borderId="21" xfId="65" applyFont="1" applyFill="1" applyBorder="1" applyAlignment="1">
      <alignment horizontal="center" vertical="center" wrapText="1"/>
    </xf>
    <xf numFmtId="0" fontId="8" fillId="0" borderId="43" xfId="65" applyFont="1" applyBorder="1" applyAlignment="1">
      <alignment horizontal="center" vertical="center" wrapText="1"/>
    </xf>
    <xf numFmtId="0" fontId="8" fillId="0" borderId="22" xfId="65" applyFont="1" applyBorder="1" applyAlignment="1">
      <alignment horizontal="center" vertical="center" wrapText="1"/>
    </xf>
    <xf numFmtId="0" fontId="8" fillId="0" borderId="21" xfId="65" applyFont="1" applyBorder="1" applyAlignment="1">
      <alignment horizontal="center" vertical="center" wrapText="1"/>
    </xf>
    <xf numFmtId="49" fontId="8" fillId="0" borderId="43" xfId="65" applyNumberFormat="1" applyFont="1" applyBorder="1" applyAlignment="1">
      <alignment horizontal="center" vertical="center" wrapText="1"/>
    </xf>
    <xf numFmtId="49" fontId="8" fillId="0" borderId="22" xfId="65" applyNumberFormat="1" applyFont="1" applyBorder="1" applyAlignment="1">
      <alignment horizontal="center" vertical="center" wrapText="1"/>
    </xf>
    <xf numFmtId="49" fontId="8" fillId="0" borderId="21" xfId="65" applyNumberFormat="1" applyFont="1" applyBorder="1" applyAlignment="1">
      <alignment horizontal="center" vertical="center" wrapText="1"/>
    </xf>
    <xf numFmtId="0" fontId="39" fillId="0" borderId="43" xfId="65" applyFont="1" applyFill="1" applyBorder="1" applyAlignment="1">
      <alignment horizontal="center" vertical="center" wrapText="1"/>
    </xf>
    <xf numFmtId="0" fontId="39" fillId="0" borderId="22" xfId="65" applyFont="1" applyFill="1" applyBorder="1" applyAlignment="1">
      <alignment horizontal="center" vertical="center" wrapText="1"/>
    </xf>
    <xf numFmtId="0" fontId="39" fillId="0" borderId="21" xfId="65" applyFont="1" applyFill="1" applyBorder="1" applyAlignment="1">
      <alignment horizontal="center" vertical="center" wrapText="1"/>
    </xf>
    <xf numFmtId="0" fontId="8" fillId="0" borderId="43" xfId="65" applyFont="1" applyFill="1" applyBorder="1" applyAlignment="1">
      <alignment horizontal="center" vertical="center" wrapText="1"/>
    </xf>
    <xf numFmtId="0" fontId="8" fillId="0" borderId="22" xfId="65" applyFont="1" applyFill="1" applyBorder="1" applyAlignment="1">
      <alignment horizontal="center" vertical="center" wrapText="1"/>
    </xf>
    <xf numFmtId="0" fontId="8" fillId="0" borderId="21" xfId="65" applyFont="1" applyFill="1" applyBorder="1" applyAlignment="1">
      <alignment horizontal="center" vertical="center" wrapText="1"/>
    </xf>
    <xf numFmtId="0" fontId="9" fillId="0" borderId="43" xfId="65" applyFont="1" applyBorder="1" applyAlignment="1">
      <alignment horizontal="center" vertical="center" wrapText="1"/>
    </xf>
    <xf numFmtId="0" fontId="9" fillId="0" borderId="22" xfId="65" applyFont="1" applyBorder="1" applyAlignment="1">
      <alignment horizontal="center" vertical="center" wrapText="1"/>
    </xf>
    <xf numFmtId="0" fontId="9" fillId="0" borderId="21" xfId="65" applyFont="1" applyBorder="1" applyAlignment="1">
      <alignment horizontal="center" vertical="center" wrapText="1"/>
    </xf>
    <xf numFmtId="0" fontId="8" fillId="0" borderId="43" xfId="65" applyFont="1" applyBorder="1" applyAlignment="1">
      <alignment horizontal="center" vertical="center"/>
    </xf>
    <xf numFmtId="0" fontId="8" fillId="0" borderId="22" xfId="65" applyFont="1" applyBorder="1" applyAlignment="1">
      <alignment horizontal="center" vertical="center"/>
    </xf>
    <xf numFmtId="0" fontId="8" fillId="0" borderId="21" xfId="65" applyFont="1" applyBorder="1" applyAlignment="1">
      <alignment horizontal="center" vertical="center"/>
    </xf>
    <xf numFmtId="0" fontId="3" fillId="7" borderId="57" xfId="51" applyFont="1" applyFill="1" applyBorder="1" applyAlignment="1">
      <alignment horizontal="center" vertical="center" wrapText="1"/>
    </xf>
    <xf numFmtId="0" fontId="3" fillId="7" borderId="58" xfId="51" applyFont="1" applyFill="1" applyBorder="1" applyAlignment="1">
      <alignment horizontal="center" vertical="center" wrapText="1"/>
    </xf>
    <xf numFmtId="0" fontId="3" fillId="7" borderId="59" xfId="51" applyFont="1" applyFill="1" applyBorder="1" applyAlignment="1">
      <alignment horizontal="center" vertical="center" wrapText="1"/>
    </xf>
    <xf numFmtId="0" fontId="3" fillId="7" borderId="60" xfId="51" applyFont="1" applyFill="1" applyBorder="1" applyAlignment="1">
      <alignment horizontal="center" vertical="center" wrapText="1"/>
    </xf>
    <xf numFmtId="0" fontId="3" fillId="7" borderId="21" xfId="51" applyFont="1" applyFill="1" applyBorder="1" applyAlignment="1">
      <alignment horizontal="center" vertical="center" wrapText="1"/>
    </xf>
  </cellXfs>
  <cellStyles count="85">
    <cellStyle name="Excel Built-in Normal" xfId="82"/>
    <cellStyle name="S10 5" xfId="23"/>
    <cellStyle name="S12 4" xfId="24"/>
    <cellStyle name="S13 2" xfId="1"/>
    <cellStyle name="S2 6" xfId="20"/>
    <cellStyle name="S3 3" xfId="16"/>
    <cellStyle name="S4 4" xfId="17"/>
    <cellStyle name="S5 4" xfId="18"/>
    <cellStyle name="S6 4" xfId="19"/>
    <cellStyle name="S7 3" xfId="21"/>
    <cellStyle name="S8 3" xfId="22"/>
    <cellStyle name="Гиперссылка" xfId="84" builtinId="8"/>
    <cellStyle name="Денежный 2 2" xfId="39"/>
    <cellStyle name="Итоги" xfId="7"/>
    <cellStyle name="ЛокСмета" xfId="6"/>
    <cellStyle name="Обычный" xfId="0" builtinId="0"/>
    <cellStyle name="Обычный 10" xfId="69"/>
    <cellStyle name="Обычный 10 12" xfId="47"/>
    <cellStyle name="Обычный 10 12 2" xfId="59"/>
    <cellStyle name="Обычный 100" xfId="10"/>
    <cellStyle name="Обычный 11" xfId="70"/>
    <cellStyle name="Обычный 12" xfId="71"/>
    <cellStyle name="Обычный 13" xfId="72"/>
    <cellStyle name="Обычный 13 4 2" xfId="49"/>
    <cellStyle name="Обычный 14" xfId="73"/>
    <cellStyle name="Обычный 140 3" xfId="12"/>
    <cellStyle name="Обычный 15" xfId="2"/>
    <cellStyle name="Обычный 16" xfId="75"/>
    <cellStyle name="Обычный 17" xfId="76"/>
    <cellStyle name="Обычный 18" xfId="15"/>
    <cellStyle name="Обычный 19" xfId="83"/>
    <cellStyle name="Обычный 2" xfId="3"/>
    <cellStyle name="Обычный 2 2" xfId="4"/>
    <cellStyle name="Обычный 2 2 2" xfId="51"/>
    <cellStyle name="Обычный 2 2 2 2" xfId="45"/>
    <cellStyle name="Обычный 2 2 3" xfId="65"/>
    <cellStyle name="Обычный 2 2 4" xfId="33"/>
    <cellStyle name="Обычный 2 3" xfId="36"/>
    <cellStyle name="Обычный 2 3 2" xfId="53"/>
    <cellStyle name="Обычный 25 2" xfId="11"/>
    <cellStyle name="Обычный 27" xfId="35"/>
    <cellStyle name="Обычный 28 4" xfId="30"/>
    <cellStyle name="Обычный 28 4 2" xfId="37"/>
    <cellStyle name="Обычный 3" xfId="14"/>
    <cellStyle name="Обычный 3 2" xfId="41"/>
    <cellStyle name="Обычный 3 2 3" xfId="44"/>
    <cellStyle name="Обычный 3 3" xfId="27"/>
    <cellStyle name="Обычный 3 4" xfId="52"/>
    <cellStyle name="Обычный 32" xfId="38"/>
    <cellStyle name="Обычный 35" xfId="48"/>
    <cellStyle name="Обычный 4" xfId="13"/>
    <cellStyle name="Обычный 40" xfId="46"/>
    <cellStyle name="Обычный 41" xfId="60"/>
    <cellStyle name="Обычный 49" xfId="9"/>
    <cellStyle name="Обычный 5" xfId="50"/>
    <cellStyle name="Обычный 6" xfId="54"/>
    <cellStyle name="Обычный 7" xfId="56"/>
    <cellStyle name="Обычный 8" xfId="62"/>
    <cellStyle name="Обычный 8 2" xfId="68"/>
    <cellStyle name="Обычный 9" xfId="66"/>
    <cellStyle name="Обычный_6200_PRT" xfId="80"/>
    <cellStyle name="Обычный_6200РД" xfId="79"/>
    <cellStyle name="Обычный_Лист3" xfId="78"/>
    <cellStyle name="Обычный_Сметана поверхностные  воды" xfId="74"/>
    <cellStyle name="ПИР" xfId="40"/>
    <cellStyle name="ПИР 2" xfId="55"/>
    <cellStyle name="Процентный 10" xfId="34"/>
    <cellStyle name="Процентный 2" xfId="26"/>
    <cellStyle name="Процентный 2 2" xfId="28"/>
    <cellStyle name="Титул" xfId="5"/>
    <cellStyle name="Финансовый" xfId="77" builtinId="3"/>
    <cellStyle name="Финансовый [0] 2 2" xfId="29"/>
    <cellStyle name="Финансовый 12" xfId="67"/>
    <cellStyle name="Финансовый 13" xfId="43"/>
    <cellStyle name="Финансовый 2" xfId="25"/>
    <cellStyle name="Финансовый 2 2" xfId="58"/>
    <cellStyle name="Финансовый 2 3" xfId="81"/>
    <cellStyle name="Финансовый 3" xfId="42"/>
    <cellStyle name="Финансовый 3 4" xfId="31"/>
    <cellStyle name="Финансовый 4" xfId="57"/>
    <cellStyle name="Финансовый 5" xfId="61"/>
    <cellStyle name="Финансовый 6" xfId="63"/>
    <cellStyle name="Финансовый 7 2" xfId="32"/>
    <cellStyle name="Финансовый 8" xfId="64"/>
    <cellStyle name="Хвост" xfId="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1</xdr:col>
      <xdr:colOff>304800</xdr:colOff>
      <xdr:row>29</xdr:row>
      <xdr:rowOff>190500</xdr:rowOff>
    </xdr:to>
    <xdr:sp macro="" textlink="">
      <xdr:nvSpPr>
        <xdr:cNvPr id="2" name="AutoShape 9" descr="https://www.garant.ru/files/0/6/1373660/pict0-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3" name="AutoShape 10" descr="https://www.garant.ru/files/0/6/1373660/pict1-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4"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8"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9"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10"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11"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15"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16"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17"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18"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22"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23"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24"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25"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2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30"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31"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32"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3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37"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38"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3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43"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44"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45"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4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50"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51"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52"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53"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5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58"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59"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60"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6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65"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66"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6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7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72"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73"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7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7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79"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80"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8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8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86"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87"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8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92"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93"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94"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9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9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14</xdr:col>
      <xdr:colOff>208125</xdr:colOff>
      <xdr:row>59</xdr:row>
      <xdr:rowOff>65715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1943100"/>
          <a:ext cx="11400000" cy="76761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tarinova\AppData\Roaming\Microsoft\AddIns\sumprop.xla"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44;&#1056;&#1048;/&#1057;&#1084;&#1077;&#1090;&#1085;&#1099;&#1081;/&#1053;&#1052;&#1062;/5.%20&#1050;&#1072;&#1089;&#1087;&#1080;&#1081;/7.%20&#1055;&#1077;&#1088;&#1077;&#1093;&#1074;&#1072;&#1090;&#1099;&#1074;&#1072;&#1102;&#1097;&#1080;&#1081;%20&#1082;&#1086;&#1083;&#1083;&#1077;&#1082;&#1090;&#1086;&#1088;/2025.03.17%20&#1089;&#1090;&#1072;&#1088;&#1099;&#1081;%20&#1075;&#1088;&#1072;&#1092;&#1080;&#1082;/&#1053;&#1052;&#1062;&#1050;%20&#1052;&#1077;&#1083;&#1080;&#1086;&#1088;&#1072;&#1090;&#1080;&#1074;&#1085;&#1099;&#1081;%20&#1082;&#1086;&#1083;&#1083;&#1077;&#1082;&#1090;&#1086;&#1088;%20&#1050;&#1055;&#10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umprop"/>
    </sheetNames>
    <definedNames>
      <definedName name="СуммаПрописью"/>
    </defined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яснительная"/>
      <sheetName val="Протокол"/>
      <sheetName val="НМЦ"/>
      <sheetName val="НМЦК"/>
      <sheetName val="Cводная смета ПИР"/>
      <sheetName val="ИГДИ"/>
      <sheetName val="Геология"/>
      <sheetName val="Гидромет"/>
      <sheetName val="Экология"/>
      <sheetName val="Геофизика"/>
      <sheetName val="Археология"/>
      <sheetName val="ПД"/>
      <sheetName val="РД (для расчета ОВОС)"/>
      <sheetName val="ОВОС"/>
      <sheetName val="Экспертиза"/>
      <sheetName val="ППТ Перехват коллектор"/>
      <sheetName val="Расчет КВЛ"/>
      <sheetName val="ЛСР №1"/>
      <sheetName val="Индексы Росстата"/>
      <sheetName val="Прогнозные индексы"/>
    </sheetNames>
    <sheetDataSet>
      <sheetData sheetId="0">
        <row r="27">
          <cell r="A27" t="str">
            <v>Руководитель направления сметного регулирования Управления проектов Департамента развития инфраструктуры</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3">
          <cell r="E33">
            <v>18751715.809999999</v>
          </cell>
        </row>
      </sheetData>
      <sheetData sheetId="16"/>
      <sheetData sheetId="17">
        <row r="872">
          <cell r="P872">
            <v>99175925.280000001</v>
          </cell>
        </row>
      </sheetData>
      <sheetData sheetId="18">
        <row r="16">
          <cell r="C16">
            <v>0.98770000000000002</v>
          </cell>
        </row>
        <row r="20">
          <cell r="C20">
            <v>1.0589999999999999</v>
          </cell>
        </row>
      </sheetData>
      <sheetData sheetId="19">
        <row r="15">
          <cell r="K15">
            <v>1.0383</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agropak.net/catalog/konteynery-musornye-baki/musornye-kontejnery-na-kolesah/musornyy-konteyner-1100l-seryy/%0a(&#1089;%20&#1091;&#1095;&#1077;&#1090;&#1086;&#1084;:%201,2%25%20&#1085;&#1072;%20&#1079;&#1072;&#1075;&#1086;&#1090;&#1086;&#1074;&#1080;&#1090;&#1077;&#1083;&#1100;&#1085;&#1086;-&#1089;&#1082;&#1083;&#1072;&#1076;&#1089;&#1082;&#1080;&#1077;%20&#1088;&#1072;&#1089;&#1093;&#1086;&#1076;&#1099;,%203%25%20&#1085;&#1072;%20&#1090;&#1088;&#1072;&#1085;&#1089;&#1087;&#1086;&#1088;&#1090;&#1085;&#1099;&#1077;%20&#1088;&#1072;&#1089;&#1093;&#1086;&#1076;&#1099;,%202%25%20-%20&#1085;&#1077;&#1087;&#1088;&#1077;&#1076;&#1074;&#1080;&#1076;&#1077;&#1085;&#1085;&#1099;&#1077;%20&#1079;&#1072;&#1090;&#1088;&#1072;&#1090;&#109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C28" sqref="C28"/>
    </sheetView>
  </sheetViews>
  <sheetFormatPr defaultRowHeight="15" x14ac:dyDescent="0.25"/>
  <cols>
    <col min="1" max="1" width="19.85546875" customWidth="1"/>
    <col min="2" max="2" width="20.5703125" customWidth="1"/>
    <col min="3" max="3" width="18.140625" customWidth="1"/>
    <col min="4" max="4" width="16.7109375" customWidth="1"/>
    <col min="5" max="5" width="21" customWidth="1"/>
    <col min="6" max="6" width="26.7109375" customWidth="1"/>
    <col min="7" max="8" width="10.140625" bestFit="1" customWidth="1"/>
  </cols>
  <sheetData>
    <row r="1" spans="1:9" ht="15.75" thickBot="1" x14ac:dyDescent="0.3"/>
    <row r="2" spans="1:9" ht="48" thickBot="1" x14ac:dyDescent="0.3">
      <c r="A2" s="614" t="s">
        <v>2242</v>
      </c>
      <c r="B2" s="615" t="s">
        <v>2</v>
      </c>
      <c r="C2" s="615" t="s">
        <v>2243</v>
      </c>
      <c r="D2" s="615" t="s">
        <v>2244</v>
      </c>
      <c r="E2" s="615" t="s">
        <v>2245</v>
      </c>
      <c r="F2" s="615"/>
    </row>
    <row r="3" spans="1:9" ht="16.5" thickBot="1" x14ac:dyDescent="0.3">
      <c r="A3" s="616"/>
      <c r="B3" s="678" t="s">
        <v>104</v>
      </c>
      <c r="C3" s="679"/>
      <c r="D3" s="679"/>
      <c r="E3" s="680"/>
      <c r="F3" s="617"/>
    </row>
    <row r="4" spans="1:9" ht="32.25" thickBot="1" x14ac:dyDescent="0.3">
      <c r="A4" s="616"/>
      <c r="B4" s="618" t="s">
        <v>104</v>
      </c>
      <c r="C4" s="619" t="s">
        <v>2246</v>
      </c>
      <c r="D4" s="619">
        <v>90</v>
      </c>
      <c r="E4" s="619" t="s">
        <v>2247</v>
      </c>
      <c r="F4" s="619"/>
    </row>
    <row r="5" spans="1:9" ht="16.5" thickBot="1" x14ac:dyDescent="0.3">
      <c r="A5" s="616"/>
      <c r="B5" s="678" t="s">
        <v>2248</v>
      </c>
      <c r="C5" s="679"/>
      <c r="D5" s="679"/>
      <c r="E5" s="680"/>
      <c r="F5" s="617"/>
      <c r="G5" s="620">
        <v>46235</v>
      </c>
    </row>
    <row r="6" spans="1:9" ht="63.75" thickBot="1" x14ac:dyDescent="0.3">
      <c r="A6" s="621"/>
      <c r="B6" s="618" t="s">
        <v>2249</v>
      </c>
      <c r="C6" s="619" t="s">
        <v>2250</v>
      </c>
      <c r="D6" s="619">
        <v>30</v>
      </c>
      <c r="E6" s="619" t="s">
        <v>2251</v>
      </c>
      <c r="F6" s="619"/>
      <c r="G6" s="620">
        <f>G5+D6</f>
        <v>46265</v>
      </c>
    </row>
    <row r="7" spans="1:9" ht="32.25" thickBot="1" x14ac:dyDescent="0.3">
      <c r="A7" s="621"/>
      <c r="B7" s="618" t="s">
        <v>2252</v>
      </c>
      <c r="C7" s="619" t="s">
        <v>2251</v>
      </c>
      <c r="D7" s="619">
        <v>15</v>
      </c>
      <c r="E7" s="619" t="s">
        <v>2253</v>
      </c>
      <c r="F7" s="619"/>
      <c r="G7" s="620">
        <f t="shared" ref="G7:G9" si="0">G6+D7</f>
        <v>46280</v>
      </c>
    </row>
    <row r="8" spans="1:9" ht="48" thickBot="1" x14ac:dyDescent="0.3">
      <c r="A8" s="621"/>
      <c r="B8" s="618" t="s">
        <v>2254</v>
      </c>
      <c r="C8" s="619" t="s">
        <v>2253</v>
      </c>
      <c r="D8" s="619">
        <v>65</v>
      </c>
      <c r="E8" s="619" t="s">
        <v>2255</v>
      </c>
      <c r="F8" s="619"/>
      <c r="G8" s="620">
        <f t="shared" si="0"/>
        <v>46345</v>
      </c>
    </row>
    <row r="9" spans="1:9" ht="32.25" thickBot="1" x14ac:dyDescent="0.3">
      <c r="A9" s="621"/>
      <c r="B9" s="618" t="s">
        <v>2256</v>
      </c>
      <c r="C9" s="619" t="s">
        <v>2255</v>
      </c>
      <c r="D9" s="619">
        <v>10</v>
      </c>
      <c r="E9" s="619" t="s">
        <v>2257</v>
      </c>
      <c r="F9" s="619"/>
      <c r="G9" s="620">
        <f t="shared" si="0"/>
        <v>46355</v>
      </c>
    </row>
    <row r="10" spans="1:9" ht="16.5" thickBot="1" x14ac:dyDescent="0.3">
      <c r="A10" s="616"/>
      <c r="B10" s="678" t="s">
        <v>2258</v>
      </c>
      <c r="C10" s="679"/>
      <c r="D10" s="679"/>
      <c r="E10" s="680"/>
      <c r="F10" s="617"/>
    </row>
    <row r="11" spans="1:9" ht="63.75" thickBot="1" x14ac:dyDescent="0.3">
      <c r="A11" s="621"/>
      <c r="B11" s="618" t="s">
        <v>2259</v>
      </c>
      <c r="C11" s="619" t="s">
        <v>2257</v>
      </c>
      <c r="D11" s="619">
        <v>15</v>
      </c>
      <c r="E11" s="619" t="s">
        <v>2260</v>
      </c>
      <c r="F11" s="619"/>
      <c r="G11" s="620">
        <f>G9+D11</f>
        <v>46370</v>
      </c>
    </row>
    <row r="12" spans="1:9" ht="48" thickBot="1" x14ac:dyDescent="0.3">
      <c r="A12" s="621"/>
      <c r="B12" s="618" t="s">
        <v>2261</v>
      </c>
      <c r="C12" s="619" t="s">
        <v>2260</v>
      </c>
      <c r="D12" s="619">
        <v>90</v>
      </c>
      <c r="E12" s="619" t="s">
        <v>2262</v>
      </c>
      <c r="F12" s="619"/>
      <c r="G12" s="620">
        <f>G11+D12</f>
        <v>46460</v>
      </c>
      <c r="H12" s="620">
        <v>46478</v>
      </c>
      <c r="I12">
        <f>H12-G12</f>
        <v>18</v>
      </c>
    </row>
  </sheetData>
  <mergeCells count="3">
    <mergeCell ref="B3:E3"/>
    <mergeCell ref="B5:E5"/>
    <mergeCell ref="B10:E10"/>
  </mergeCells>
  <pageMargins left="0.7" right="0.7" top="0.75" bottom="0.75" header="0.3" footer="0.3"/>
  <pageSetup paperSize="2058"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62"/>
  <sheetViews>
    <sheetView showRuler="0" workbookViewId="0">
      <selection activeCell="F10" sqref="F10:P10"/>
    </sheetView>
  </sheetViews>
  <sheetFormatPr defaultRowHeight="15" x14ac:dyDescent="0.25"/>
  <cols>
    <col min="1" max="50" width="8" style="371" customWidth="1"/>
    <col min="51" max="16384" width="9.140625" style="165"/>
  </cols>
  <sheetData>
    <row r="1" spans="1:16" ht="27.2" customHeight="1" x14ac:dyDescent="0.25">
      <c r="A1" s="777" t="s">
        <v>320</v>
      </c>
      <c r="B1" s="777"/>
      <c r="C1" s="777"/>
      <c r="D1" s="777"/>
      <c r="E1" s="778" t="s">
        <v>473</v>
      </c>
      <c r="F1" s="778"/>
      <c r="G1" s="778"/>
      <c r="H1" s="778"/>
      <c r="I1" s="778"/>
      <c r="J1" s="778"/>
      <c r="K1" s="778"/>
      <c r="L1" s="778"/>
      <c r="M1" s="778"/>
      <c r="N1" s="778"/>
      <c r="O1" s="778"/>
      <c r="P1" s="778"/>
    </row>
    <row r="2" spans="1:16" ht="15" customHeight="1" x14ac:dyDescent="0.25"/>
    <row r="3" spans="1:16" ht="15" customHeight="1" x14ac:dyDescent="0.25">
      <c r="A3" s="787" t="s">
        <v>1021</v>
      </c>
      <c r="B3" s="787"/>
      <c r="C3" s="787"/>
      <c r="D3" s="787"/>
      <c r="E3" s="787"/>
      <c r="F3" s="787"/>
      <c r="G3" s="787"/>
      <c r="H3" s="787"/>
      <c r="I3" s="787"/>
      <c r="J3" s="787"/>
      <c r="K3" s="787"/>
      <c r="L3" s="787"/>
      <c r="M3" s="787"/>
      <c r="N3" s="787"/>
      <c r="O3" s="787"/>
      <c r="P3" s="787"/>
    </row>
    <row r="4" spans="1:16" ht="15" customHeight="1" x14ac:dyDescent="0.25">
      <c r="A4" s="788" t="s">
        <v>319</v>
      </c>
      <c r="B4" s="788"/>
      <c r="C4" s="788"/>
      <c r="D4" s="788"/>
      <c r="E4" s="788"/>
      <c r="F4" s="788"/>
      <c r="G4" s="788"/>
      <c r="H4" s="788"/>
      <c r="I4" s="788"/>
      <c r="J4" s="788"/>
      <c r="K4" s="788"/>
      <c r="L4" s="788"/>
      <c r="M4" s="788"/>
      <c r="N4" s="788"/>
      <c r="O4" s="788"/>
      <c r="P4" s="788"/>
    </row>
    <row r="5" spans="1:16" ht="15" customHeight="1" x14ac:dyDescent="0.25"/>
    <row r="6" spans="1:16" ht="27.2" customHeight="1" x14ac:dyDescent="0.25">
      <c r="A6" s="767" t="s">
        <v>321</v>
      </c>
      <c r="B6" s="767"/>
      <c r="C6" s="767"/>
      <c r="D6" s="767"/>
      <c r="E6" s="767"/>
      <c r="F6" s="789" t="s">
        <v>584</v>
      </c>
      <c r="G6" s="789"/>
      <c r="H6" s="789"/>
      <c r="I6" s="789"/>
      <c r="J6" s="789"/>
      <c r="K6" s="789"/>
      <c r="L6" s="789"/>
      <c r="M6" s="789"/>
      <c r="N6" s="789"/>
      <c r="O6" s="789"/>
      <c r="P6" s="789"/>
    </row>
    <row r="7" spans="1:16" ht="15" customHeight="1" x14ac:dyDescent="0.25"/>
    <row r="8" spans="1:16" ht="15" customHeight="1" x14ac:dyDescent="0.25">
      <c r="A8" s="767" t="s">
        <v>474</v>
      </c>
      <c r="B8" s="767"/>
      <c r="C8" s="767"/>
      <c r="D8" s="767"/>
      <c r="E8" s="767"/>
      <c r="F8" s="789" t="s">
        <v>629</v>
      </c>
      <c r="G8" s="789"/>
      <c r="H8" s="789"/>
      <c r="I8" s="789"/>
      <c r="J8" s="789"/>
      <c r="K8" s="789"/>
      <c r="L8" s="789"/>
      <c r="M8" s="789"/>
      <c r="N8" s="789"/>
      <c r="O8" s="789"/>
      <c r="P8" s="789"/>
    </row>
    <row r="9" spans="1:16" ht="15" customHeight="1" x14ac:dyDescent="0.25"/>
    <row r="10" spans="1:16" ht="15" customHeight="1" x14ac:dyDescent="0.25">
      <c r="A10" s="767" t="s">
        <v>475</v>
      </c>
      <c r="B10" s="767"/>
      <c r="C10" s="767"/>
      <c r="D10" s="767"/>
      <c r="E10" s="767"/>
      <c r="F10" s="789" t="s">
        <v>692</v>
      </c>
      <c r="G10" s="789"/>
      <c r="H10" s="789"/>
      <c r="I10" s="789"/>
      <c r="J10" s="789"/>
      <c r="K10" s="789"/>
      <c r="L10" s="789"/>
      <c r="M10" s="789"/>
      <c r="N10" s="789"/>
      <c r="O10" s="789"/>
      <c r="P10" s="789"/>
    </row>
    <row r="11" spans="1:16" ht="15" customHeight="1" x14ac:dyDescent="0.25"/>
    <row r="12" spans="1:16" ht="15" customHeight="1" x14ac:dyDescent="0.25">
      <c r="A12" s="767" t="s">
        <v>476</v>
      </c>
      <c r="B12" s="767"/>
      <c r="C12" s="767"/>
      <c r="D12" s="767"/>
      <c r="E12" s="767"/>
      <c r="F12" s="789" t="s">
        <v>130</v>
      </c>
      <c r="G12" s="789"/>
      <c r="H12" s="789"/>
      <c r="I12" s="789"/>
      <c r="J12" s="789"/>
      <c r="K12" s="789"/>
      <c r="L12" s="789"/>
      <c r="M12" s="789"/>
      <c r="N12" s="789"/>
      <c r="O12" s="789"/>
      <c r="P12" s="789"/>
    </row>
    <row r="13" spans="1:16" ht="15" customHeight="1" x14ac:dyDescent="0.25"/>
    <row r="14" spans="1:16" ht="27.2" customHeight="1" x14ac:dyDescent="0.25">
      <c r="A14" s="767" t="s">
        <v>544</v>
      </c>
      <c r="B14" s="767"/>
      <c r="C14" s="767"/>
      <c r="D14" s="767"/>
      <c r="E14" s="767"/>
      <c r="F14" s="767"/>
      <c r="G14" s="767"/>
      <c r="H14" s="767"/>
      <c r="I14" s="767"/>
      <c r="J14" s="767"/>
      <c r="K14" s="767"/>
      <c r="L14" s="767"/>
      <c r="M14" s="767"/>
      <c r="N14" s="767"/>
      <c r="O14" s="767"/>
      <c r="P14" s="767"/>
    </row>
    <row r="15" spans="1:16" ht="15" customHeight="1" x14ac:dyDescent="0.25"/>
    <row r="16" spans="1:16" ht="15" customHeight="1" x14ac:dyDescent="0.25">
      <c r="A16" s="767" t="s">
        <v>323</v>
      </c>
      <c r="B16" s="767"/>
      <c r="C16" s="767"/>
      <c r="D16" s="767"/>
      <c r="E16" s="767"/>
      <c r="F16" s="767"/>
      <c r="G16" s="767"/>
      <c r="H16" s="767"/>
      <c r="I16" s="767"/>
      <c r="J16" s="767"/>
      <c r="K16" s="767"/>
      <c r="L16" s="767"/>
      <c r="M16" s="767"/>
      <c r="N16" s="767"/>
      <c r="O16" s="767"/>
      <c r="P16" s="767"/>
    </row>
    <row r="17" spans="1:16" ht="15" customHeight="1" x14ac:dyDescent="0.25"/>
    <row r="18" spans="1:16" ht="15" customHeight="1" x14ac:dyDescent="0.25">
      <c r="A18" s="386" t="s">
        <v>97</v>
      </c>
      <c r="B18" s="784" t="s">
        <v>111</v>
      </c>
      <c r="C18" s="784"/>
      <c r="D18" s="784"/>
      <c r="E18" s="784"/>
      <c r="F18" s="784" t="s">
        <v>155</v>
      </c>
      <c r="G18" s="784"/>
      <c r="H18" s="784"/>
      <c r="I18" s="784"/>
      <c r="J18" s="784" t="s">
        <v>156</v>
      </c>
      <c r="K18" s="784"/>
      <c r="L18" s="784"/>
      <c r="M18" s="784" t="s">
        <v>157</v>
      </c>
      <c r="N18" s="784"/>
      <c r="O18" s="784" t="s">
        <v>498</v>
      </c>
      <c r="P18" s="784"/>
    </row>
    <row r="19" spans="1:16" ht="15" customHeight="1" x14ac:dyDescent="0.25">
      <c r="A19" s="386">
        <v>1</v>
      </c>
      <c r="B19" s="784">
        <v>2</v>
      </c>
      <c r="C19" s="784"/>
      <c r="D19" s="784"/>
      <c r="E19" s="784"/>
      <c r="F19" s="784">
        <v>3</v>
      </c>
      <c r="G19" s="784"/>
      <c r="H19" s="784"/>
      <c r="I19" s="784"/>
      <c r="J19" s="784">
        <v>4</v>
      </c>
      <c r="K19" s="784"/>
      <c r="L19" s="784"/>
      <c r="M19" s="784">
        <v>5</v>
      </c>
      <c r="N19" s="784"/>
      <c r="O19" s="784">
        <v>6</v>
      </c>
      <c r="P19" s="784"/>
    </row>
    <row r="20" spans="1:16" ht="15" customHeight="1" x14ac:dyDescent="0.25">
      <c r="A20" s="387" t="s">
        <v>5</v>
      </c>
      <c r="B20" s="780" t="s">
        <v>339</v>
      </c>
      <c r="C20" s="780"/>
      <c r="D20" s="780"/>
      <c r="E20" s="780"/>
      <c r="F20" s="780" t="s">
        <v>305</v>
      </c>
      <c r="G20" s="780"/>
      <c r="H20" s="780"/>
      <c r="I20" s="780"/>
      <c r="J20" s="780"/>
      <c r="K20" s="780"/>
      <c r="L20" s="780"/>
      <c r="M20" s="780"/>
      <c r="N20" s="780"/>
      <c r="O20" s="780"/>
      <c r="P20" s="780"/>
    </row>
    <row r="21" spans="1:16" ht="54.4" customHeight="1" x14ac:dyDescent="0.25">
      <c r="A21" s="372" t="s">
        <v>6</v>
      </c>
      <c r="B21" s="771" t="s">
        <v>490</v>
      </c>
      <c r="C21" s="772"/>
      <c r="D21" s="772"/>
      <c r="E21" s="772"/>
      <c r="F21" s="772" t="s">
        <v>982</v>
      </c>
      <c r="G21" s="772"/>
      <c r="H21" s="772"/>
      <c r="I21" s="772"/>
      <c r="J21" s="772" t="s">
        <v>983</v>
      </c>
      <c r="K21" s="772"/>
      <c r="L21" s="772"/>
      <c r="M21" s="790">
        <f>ROUND(18 * 10 * 1.2, 0)</f>
        <v>216</v>
      </c>
      <c r="N21" s="772"/>
      <c r="O21" s="772" t="s">
        <v>129</v>
      </c>
      <c r="P21" s="772"/>
    </row>
    <row r="22" spans="1:16" ht="15" customHeight="1" x14ac:dyDescent="0.25">
      <c r="A22" s="373"/>
      <c r="B22" s="774" t="s">
        <v>306</v>
      </c>
      <c r="C22" s="774"/>
      <c r="D22" s="774"/>
      <c r="E22" s="774"/>
      <c r="F22" s="774" t="s">
        <v>129</v>
      </c>
      <c r="G22" s="774"/>
      <c r="H22" s="774"/>
      <c r="I22" s="774"/>
      <c r="J22" s="774" t="s">
        <v>129</v>
      </c>
      <c r="K22" s="774"/>
      <c r="L22" s="774"/>
      <c r="M22" s="774"/>
      <c r="N22" s="774"/>
      <c r="O22" s="774"/>
      <c r="P22" s="774"/>
    </row>
    <row r="23" spans="1:16" ht="68.099999999999994" customHeight="1" x14ac:dyDescent="0.25">
      <c r="A23" s="374"/>
      <c r="B23" s="775" t="s">
        <v>984</v>
      </c>
      <c r="C23" s="775"/>
      <c r="D23" s="775"/>
      <c r="E23" s="775"/>
      <c r="F23" s="775" t="s">
        <v>985</v>
      </c>
      <c r="G23" s="775"/>
      <c r="H23" s="775"/>
      <c r="I23" s="775"/>
      <c r="J23" s="775" t="s">
        <v>129</v>
      </c>
      <c r="K23" s="775"/>
      <c r="L23" s="775"/>
      <c r="M23" s="775"/>
      <c r="N23" s="775"/>
      <c r="O23" s="775"/>
      <c r="P23" s="775"/>
    </row>
    <row r="24" spans="1:16" ht="54.4" customHeight="1" x14ac:dyDescent="0.25">
      <c r="A24" s="372" t="s">
        <v>7</v>
      </c>
      <c r="B24" s="771" t="s">
        <v>491</v>
      </c>
      <c r="C24" s="772"/>
      <c r="D24" s="772"/>
      <c r="E24" s="772"/>
      <c r="F24" s="772" t="s">
        <v>545</v>
      </c>
      <c r="G24" s="772"/>
      <c r="H24" s="772"/>
      <c r="I24" s="772"/>
      <c r="J24" s="772" t="s">
        <v>986</v>
      </c>
      <c r="K24" s="772"/>
      <c r="L24" s="772"/>
      <c r="M24" s="790">
        <f>ROUND(7 * 20 * 1.2, 0)</f>
        <v>168</v>
      </c>
      <c r="N24" s="772"/>
      <c r="O24" s="772" t="s">
        <v>129</v>
      </c>
      <c r="P24" s="772"/>
    </row>
    <row r="25" spans="1:16" ht="15" customHeight="1" x14ac:dyDescent="0.25">
      <c r="A25" s="373"/>
      <c r="B25" s="774" t="s">
        <v>306</v>
      </c>
      <c r="C25" s="774"/>
      <c r="D25" s="774"/>
      <c r="E25" s="774"/>
      <c r="F25" s="774" t="s">
        <v>129</v>
      </c>
      <c r="G25" s="774"/>
      <c r="H25" s="774"/>
      <c r="I25" s="774"/>
      <c r="J25" s="774" t="s">
        <v>129</v>
      </c>
      <c r="K25" s="774"/>
      <c r="L25" s="774"/>
      <c r="M25" s="774"/>
      <c r="N25" s="774"/>
      <c r="O25" s="774"/>
      <c r="P25" s="774"/>
    </row>
    <row r="26" spans="1:16" ht="68.099999999999994" customHeight="1" x14ac:dyDescent="0.25">
      <c r="A26" s="374"/>
      <c r="B26" s="775" t="s">
        <v>984</v>
      </c>
      <c r="C26" s="775"/>
      <c r="D26" s="775"/>
      <c r="E26" s="775"/>
      <c r="F26" s="775" t="s">
        <v>985</v>
      </c>
      <c r="G26" s="775"/>
      <c r="H26" s="775"/>
      <c r="I26" s="775"/>
      <c r="J26" s="775" t="s">
        <v>129</v>
      </c>
      <c r="K26" s="775"/>
      <c r="L26" s="775"/>
      <c r="M26" s="775"/>
      <c r="N26" s="775"/>
      <c r="O26" s="775"/>
      <c r="P26" s="775"/>
    </row>
    <row r="27" spans="1:16" ht="15" customHeight="1" x14ac:dyDescent="0.25">
      <c r="A27" s="387" t="s">
        <v>38</v>
      </c>
      <c r="B27" s="780" t="s">
        <v>477</v>
      </c>
      <c r="C27" s="780"/>
      <c r="D27" s="780"/>
      <c r="E27" s="780"/>
      <c r="F27" s="780"/>
      <c r="G27" s="780"/>
      <c r="H27" s="780"/>
      <c r="I27" s="780"/>
      <c r="J27" s="780" t="s">
        <v>129</v>
      </c>
      <c r="K27" s="780"/>
      <c r="L27" s="780"/>
      <c r="M27" s="791">
        <f>ROUND(SUM($M$21:$M$24),0)</f>
        <v>384</v>
      </c>
      <c r="N27" s="780"/>
      <c r="O27" s="780"/>
      <c r="P27" s="780"/>
    </row>
    <row r="28" spans="1:16" ht="15" customHeight="1" x14ac:dyDescent="0.25">
      <c r="A28" s="387" t="s">
        <v>40</v>
      </c>
      <c r="B28" s="780" t="s">
        <v>478</v>
      </c>
      <c r="C28" s="780"/>
      <c r="D28" s="780"/>
      <c r="E28" s="780"/>
      <c r="F28" s="780"/>
      <c r="G28" s="780"/>
      <c r="H28" s="780"/>
      <c r="I28" s="780"/>
      <c r="J28" s="780" t="s">
        <v>129</v>
      </c>
      <c r="K28" s="780"/>
      <c r="L28" s="780"/>
      <c r="M28" s="791">
        <f>ROUND(($M$27),0)</f>
        <v>384</v>
      </c>
      <c r="N28" s="780"/>
      <c r="O28" s="780"/>
      <c r="P28" s="780"/>
    </row>
    <row r="29" spans="1:16" ht="15" customHeight="1" x14ac:dyDescent="0.25">
      <c r="A29" s="387" t="s">
        <v>137</v>
      </c>
      <c r="B29" s="780" t="s">
        <v>339</v>
      </c>
      <c r="C29" s="780"/>
      <c r="D29" s="780"/>
      <c r="E29" s="780"/>
      <c r="F29" s="780" t="s">
        <v>300</v>
      </c>
      <c r="G29" s="780"/>
      <c r="H29" s="780"/>
      <c r="I29" s="780"/>
      <c r="J29" s="780"/>
      <c r="K29" s="780"/>
      <c r="L29" s="780"/>
      <c r="M29" s="780"/>
      <c r="N29" s="780"/>
      <c r="O29" s="780"/>
      <c r="P29" s="780"/>
    </row>
    <row r="30" spans="1:16" ht="54.4" customHeight="1" x14ac:dyDescent="0.25">
      <c r="A30" s="372" t="s">
        <v>9</v>
      </c>
      <c r="B30" s="771" t="s">
        <v>490</v>
      </c>
      <c r="C30" s="772"/>
      <c r="D30" s="772"/>
      <c r="E30" s="772"/>
      <c r="F30" s="772" t="s">
        <v>987</v>
      </c>
      <c r="G30" s="772"/>
      <c r="H30" s="772"/>
      <c r="I30" s="772"/>
      <c r="J30" s="772" t="s">
        <v>988</v>
      </c>
      <c r="K30" s="772"/>
      <c r="L30" s="772"/>
      <c r="M30" s="790">
        <f>ROUND(6 * 10 * 1.2, 0)</f>
        <v>72</v>
      </c>
      <c r="N30" s="772"/>
      <c r="O30" s="772" t="s">
        <v>129</v>
      </c>
      <c r="P30" s="772"/>
    </row>
    <row r="31" spans="1:16" ht="15" customHeight="1" x14ac:dyDescent="0.25">
      <c r="A31" s="373"/>
      <c r="B31" s="774" t="s">
        <v>306</v>
      </c>
      <c r="C31" s="774"/>
      <c r="D31" s="774"/>
      <c r="E31" s="774"/>
      <c r="F31" s="774" t="s">
        <v>129</v>
      </c>
      <c r="G31" s="774"/>
      <c r="H31" s="774"/>
      <c r="I31" s="774"/>
      <c r="J31" s="774" t="s">
        <v>129</v>
      </c>
      <c r="K31" s="774"/>
      <c r="L31" s="774"/>
      <c r="M31" s="774"/>
      <c r="N31" s="774"/>
      <c r="O31" s="774"/>
      <c r="P31" s="774"/>
    </row>
    <row r="32" spans="1:16" ht="68.099999999999994" customHeight="1" x14ac:dyDescent="0.25">
      <c r="A32" s="374"/>
      <c r="B32" s="775" t="s">
        <v>984</v>
      </c>
      <c r="C32" s="775"/>
      <c r="D32" s="775"/>
      <c r="E32" s="775"/>
      <c r="F32" s="775" t="s">
        <v>985</v>
      </c>
      <c r="G32" s="775"/>
      <c r="H32" s="775"/>
      <c r="I32" s="775"/>
      <c r="J32" s="775" t="s">
        <v>129</v>
      </c>
      <c r="K32" s="775"/>
      <c r="L32" s="775"/>
      <c r="M32" s="775"/>
      <c r="N32" s="775"/>
      <c r="O32" s="775"/>
      <c r="P32" s="775"/>
    </row>
    <row r="33" spans="1:16" ht="54.4" customHeight="1" x14ac:dyDescent="0.25">
      <c r="A33" s="372" t="s">
        <v>10</v>
      </c>
      <c r="B33" s="771" t="s">
        <v>492</v>
      </c>
      <c r="C33" s="772"/>
      <c r="D33" s="772"/>
      <c r="E33" s="772"/>
      <c r="F33" s="772" t="s">
        <v>546</v>
      </c>
      <c r="G33" s="772"/>
      <c r="H33" s="772"/>
      <c r="I33" s="772"/>
      <c r="J33" s="772" t="s">
        <v>989</v>
      </c>
      <c r="K33" s="772"/>
      <c r="L33" s="772"/>
      <c r="M33" s="790">
        <f>ROUND(105 * 1 * 1.2, 0)</f>
        <v>126</v>
      </c>
      <c r="N33" s="772"/>
      <c r="O33" s="772" t="s">
        <v>129</v>
      </c>
      <c r="P33" s="772"/>
    </row>
    <row r="34" spans="1:16" ht="15" customHeight="1" x14ac:dyDescent="0.25">
      <c r="A34" s="373"/>
      <c r="B34" s="774" t="s">
        <v>306</v>
      </c>
      <c r="C34" s="774"/>
      <c r="D34" s="774"/>
      <c r="E34" s="774"/>
      <c r="F34" s="774" t="s">
        <v>129</v>
      </c>
      <c r="G34" s="774"/>
      <c r="H34" s="774"/>
      <c r="I34" s="774"/>
      <c r="J34" s="774" t="s">
        <v>129</v>
      </c>
      <c r="K34" s="774"/>
      <c r="L34" s="774"/>
      <c r="M34" s="774"/>
      <c r="N34" s="774"/>
      <c r="O34" s="774"/>
      <c r="P34" s="774"/>
    </row>
    <row r="35" spans="1:16" ht="68.099999999999994" customHeight="1" x14ac:dyDescent="0.25">
      <c r="A35" s="374"/>
      <c r="B35" s="775" t="s">
        <v>984</v>
      </c>
      <c r="C35" s="775"/>
      <c r="D35" s="775"/>
      <c r="E35" s="775"/>
      <c r="F35" s="775" t="s">
        <v>985</v>
      </c>
      <c r="G35" s="775"/>
      <c r="H35" s="775"/>
      <c r="I35" s="775"/>
      <c r="J35" s="775" t="s">
        <v>129</v>
      </c>
      <c r="K35" s="775"/>
      <c r="L35" s="775"/>
      <c r="M35" s="775"/>
      <c r="N35" s="775"/>
      <c r="O35" s="775"/>
      <c r="P35" s="775"/>
    </row>
    <row r="36" spans="1:16" ht="68.099999999999994" customHeight="1" x14ac:dyDescent="0.25">
      <c r="A36" s="372" t="s">
        <v>11</v>
      </c>
      <c r="B36" s="771" t="s">
        <v>493</v>
      </c>
      <c r="C36" s="772"/>
      <c r="D36" s="772"/>
      <c r="E36" s="772"/>
      <c r="F36" s="772" t="s">
        <v>547</v>
      </c>
      <c r="G36" s="772"/>
      <c r="H36" s="772"/>
      <c r="I36" s="772"/>
      <c r="J36" s="772" t="s">
        <v>990</v>
      </c>
      <c r="K36" s="772"/>
      <c r="L36" s="772"/>
      <c r="M36" s="790">
        <f>ROUND(61 * 1 * 1.2, 0)</f>
        <v>73</v>
      </c>
      <c r="N36" s="772"/>
      <c r="O36" s="772" t="s">
        <v>129</v>
      </c>
      <c r="P36" s="772"/>
    </row>
    <row r="37" spans="1:16" ht="15" customHeight="1" x14ac:dyDescent="0.25">
      <c r="A37" s="373"/>
      <c r="B37" s="774" t="s">
        <v>306</v>
      </c>
      <c r="C37" s="774"/>
      <c r="D37" s="774"/>
      <c r="E37" s="774"/>
      <c r="F37" s="774" t="s">
        <v>129</v>
      </c>
      <c r="G37" s="774"/>
      <c r="H37" s="774"/>
      <c r="I37" s="774"/>
      <c r="J37" s="774" t="s">
        <v>129</v>
      </c>
      <c r="K37" s="774"/>
      <c r="L37" s="774"/>
      <c r="M37" s="774"/>
      <c r="N37" s="774"/>
      <c r="O37" s="774"/>
      <c r="P37" s="774"/>
    </row>
    <row r="38" spans="1:16" ht="68.099999999999994" customHeight="1" x14ac:dyDescent="0.25">
      <c r="A38" s="374"/>
      <c r="B38" s="775" t="s">
        <v>984</v>
      </c>
      <c r="C38" s="775"/>
      <c r="D38" s="775"/>
      <c r="E38" s="775"/>
      <c r="F38" s="775" t="s">
        <v>985</v>
      </c>
      <c r="G38" s="775"/>
      <c r="H38" s="775"/>
      <c r="I38" s="775"/>
      <c r="J38" s="775" t="s">
        <v>129</v>
      </c>
      <c r="K38" s="775"/>
      <c r="L38" s="775"/>
      <c r="M38" s="775"/>
      <c r="N38" s="775"/>
      <c r="O38" s="775"/>
      <c r="P38" s="775"/>
    </row>
    <row r="39" spans="1:16" ht="95.25" customHeight="1" x14ac:dyDescent="0.25">
      <c r="A39" s="372" t="s">
        <v>159</v>
      </c>
      <c r="B39" s="771" t="s">
        <v>494</v>
      </c>
      <c r="C39" s="772"/>
      <c r="D39" s="772"/>
      <c r="E39" s="772"/>
      <c r="F39" s="772" t="s">
        <v>548</v>
      </c>
      <c r="G39" s="772"/>
      <c r="H39" s="772"/>
      <c r="I39" s="772"/>
      <c r="J39" s="772" t="s">
        <v>991</v>
      </c>
      <c r="K39" s="772"/>
      <c r="L39" s="772"/>
      <c r="M39" s="790">
        <f>ROUND(90 * 1 * 1.2, 0)</f>
        <v>108</v>
      </c>
      <c r="N39" s="772"/>
      <c r="O39" s="772" t="s">
        <v>129</v>
      </c>
      <c r="P39" s="772"/>
    </row>
    <row r="40" spans="1:16" ht="15" customHeight="1" x14ac:dyDescent="0.25">
      <c r="A40" s="373"/>
      <c r="B40" s="774" t="s">
        <v>306</v>
      </c>
      <c r="C40" s="774"/>
      <c r="D40" s="774"/>
      <c r="E40" s="774"/>
      <c r="F40" s="774" t="s">
        <v>129</v>
      </c>
      <c r="G40" s="774"/>
      <c r="H40" s="774"/>
      <c r="I40" s="774"/>
      <c r="J40" s="774" t="s">
        <v>129</v>
      </c>
      <c r="K40" s="774"/>
      <c r="L40" s="774"/>
      <c r="M40" s="774"/>
      <c r="N40" s="774"/>
      <c r="O40" s="774"/>
      <c r="P40" s="774"/>
    </row>
    <row r="41" spans="1:16" ht="68.099999999999994" customHeight="1" x14ac:dyDescent="0.25">
      <c r="A41" s="374"/>
      <c r="B41" s="775" t="s">
        <v>984</v>
      </c>
      <c r="C41" s="775"/>
      <c r="D41" s="775"/>
      <c r="E41" s="775"/>
      <c r="F41" s="775" t="s">
        <v>985</v>
      </c>
      <c r="G41" s="775"/>
      <c r="H41" s="775"/>
      <c r="I41" s="775"/>
      <c r="J41" s="775" t="s">
        <v>129</v>
      </c>
      <c r="K41" s="775"/>
      <c r="L41" s="775"/>
      <c r="M41" s="775"/>
      <c r="N41" s="775"/>
      <c r="O41" s="775"/>
      <c r="P41" s="775"/>
    </row>
    <row r="42" spans="1:16" ht="68.099999999999994" customHeight="1" x14ac:dyDescent="0.25">
      <c r="A42" s="372" t="s">
        <v>160</v>
      </c>
      <c r="B42" s="771" t="s">
        <v>495</v>
      </c>
      <c r="C42" s="772"/>
      <c r="D42" s="772"/>
      <c r="E42" s="772"/>
      <c r="F42" s="772" t="s">
        <v>549</v>
      </c>
      <c r="G42" s="772"/>
      <c r="H42" s="772"/>
      <c r="I42" s="772"/>
      <c r="J42" s="772" t="s">
        <v>992</v>
      </c>
      <c r="K42" s="772"/>
      <c r="L42" s="772"/>
      <c r="M42" s="790">
        <f>ROUND(201 * 1 * 1.2, 0)</f>
        <v>241</v>
      </c>
      <c r="N42" s="772"/>
      <c r="O42" s="772" t="s">
        <v>129</v>
      </c>
      <c r="P42" s="772"/>
    </row>
    <row r="43" spans="1:16" ht="15" customHeight="1" x14ac:dyDescent="0.25">
      <c r="A43" s="373"/>
      <c r="B43" s="774" t="s">
        <v>306</v>
      </c>
      <c r="C43" s="774"/>
      <c r="D43" s="774"/>
      <c r="E43" s="774"/>
      <c r="F43" s="774" t="s">
        <v>129</v>
      </c>
      <c r="G43" s="774"/>
      <c r="H43" s="774"/>
      <c r="I43" s="774"/>
      <c r="J43" s="774" t="s">
        <v>129</v>
      </c>
      <c r="K43" s="774"/>
      <c r="L43" s="774"/>
      <c r="M43" s="774"/>
      <c r="N43" s="774"/>
      <c r="O43" s="774"/>
      <c r="P43" s="774"/>
    </row>
    <row r="44" spans="1:16" ht="68.099999999999994" customHeight="1" x14ac:dyDescent="0.25">
      <c r="A44" s="374"/>
      <c r="B44" s="775" t="s">
        <v>984</v>
      </c>
      <c r="C44" s="775"/>
      <c r="D44" s="775"/>
      <c r="E44" s="775"/>
      <c r="F44" s="775" t="s">
        <v>985</v>
      </c>
      <c r="G44" s="775"/>
      <c r="H44" s="775"/>
      <c r="I44" s="775"/>
      <c r="J44" s="775" t="s">
        <v>129</v>
      </c>
      <c r="K44" s="775"/>
      <c r="L44" s="775"/>
      <c r="M44" s="775"/>
      <c r="N44" s="775"/>
      <c r="O44" s="775"/>
      <c r="P44" s="775"/>
    </row>
    <row r="45" spans="1:16" ht="54.4" customHeight="1" x14ac:dyDescent="0.25">
      <c r="A45" s="372" t="s">
        <v>161</v>
      </c>
      <c r="B45" s="771" t="s">
        <v>993</v>
      </c>
      <c r="C45" s="772"/>
      <c r="D45" s="772"/>
      <c r="E45" s="772"/>
      <c r="F45" s="772" t="s">
        <v>994</v>
      </c>
      <c r="G45" s="772"/>
      <c r="H45" s="772"/>
      <c r="I45" s="772"/>
      <c r="J45" s="772" t="s">
        <v>995</v>
      </c>
      <c r="K45" s="772"/>
      <c r="L45" s="772"/>
      <c r="M45" s="790">
        <f>ROUND(620 * 65 / 100 * 1.2, 0)</f>
        <v>484</v>
      </c>
      <c r="N45" s="772"/>
      <c r="O45" s="772" t="s">
        <v>129</v>
      </c>
      <c r="P45" s="772"/>
    </row>
    <row r="46" spans="1:16" ht="15" customHeight="1" x14ac:dyDescent="0.25">
      <c r="A46" s="373"/>
      <c r="B46" s="774" t="s">
        <v>306</v>
      </c>
      <c r="C46" s="774"/>
      <c r="D46" s="774"/>
      <c r="E46" s="774"/>
      <c r="F46" s="774" t="s">
        <v>129</v>
      </c>
      <c r="G46" s="774"/>
      <c r="H46" s="774"/>
      <c r="I46" s="774"/>
      <c r="J46" s="774" t="s">
        <v>129</v>
      </c>
      <c r="K46" s="774"/>
      <c r="L46" s="774"/>
      <c r="M46" s="774"/>
      <c r="N46" s="774"/>
      <c r="O46" s="774"/>
      <c r="P46" s="774"/>
    </row>
    <row r="47" spans="1:16" ht="54.4" customHeight="1" x14ac:dyDescent="0.25">
      <c r="A47" s="374"/>
      <c r="B47" s="775" t="s">
        <v>996</v>
      </c>
      <c r="C47" s="775"/>
      <c r="D47" s="775"/>
      <c r="E47" s="775"/>
      <c r="F47" s="775" t="s">
        <v>997</v>
      </c>
      <c r="G47" s="775"/>
      <c r="H47" s="775"/>
      <c r="I47" s="775"/>
      <c r="J47" s="775" t="s">
        <v>129</v>
      </c>
      <c r="K47" s="775"/>
      <c r="L47" s="775"/>
      <c r="M47" s="775"/>
      <c r="N47" s="775"/>
      <c r="O47" s="775"/>
      <c r="P47" s="775"/>
    </row>
    <row r="48" spans="1:16" ht="40.9" customHeight="1" x14ac:dyDescent="0.25">
      <c r="A48" s="372" t="s">
        <v>179</v>
      </c>
      <c r="B48" s="771" t="s">
        <v>496</v>
      </c>
      <c r="C48" s="772"/>
      <c r="D48" s="772"/>
      <c r="E48" s="772"/>
      <c r="F48" s="772" t="s">
        <v>550</v>
      </c>
      <c r="G48" s="772"/>
      <c r="H48" s="772"/>
      <c r="I48" s="772"/>
      <c r="J48" s="772" t="s">
        <v>497</v>
      </c>
      <c r="K48" s="772"/>
      <c r="L48" s="772"/>
      <c r="M48" s="790">
        <f>ROUND(450 * 1, 0)</f>
        <v>450</v>
      </c>
      <c r="N48" s="772"/>
      <c r="O48" s="772" t="s">
        <v>129</v>
      </c>
      <c r="P48" s="772"/>
    </row>
    <row r="49" spans="1:16" ht="15" customHeight="1" x14ac:dyDescent="0.25">
      <c r="A49" s="387" t="s">
        <v>180</v>
      </c>
      <c r="B49" s="780" t="s">
        <v>479</v>
      </c>
      <c r="C49" s="780"/>
      <c r="D49" s="780"/>
      <c r="E49" s="780"/>
      <c r="F49" s="780"/>
      <c r="G49" s="780"/>
      <c r="H49" s="780"/>
      <c r="I49" s="780"/>
      <c r="J49" s="780" t="s">
        <v>129</v>
      </c>
      <c r="K49" s="780"/>
      <c r="L49" s="780"/>
      <c r="M49" s="791">
        <f>ROUND(SUM($M$30:$M$48),0)</f>
        <v>1554</v>
      </c>
      <c r="N49" s="780"/>
      <c r="O49" s="780"/>
      <c r="P49" s="780"/>
    </row>
    <row r="50" spans="1:16" ht="15" customHeight="1" x14ac:dyDescent="0.25">
      <c r="A50" s="387" t="s">
        <v>181</v>
      </c>
      <c r="B50" s="780" t="s">
        <v>480</v>
      </c>
      <c r="C50" s="780"/>
      <c r="D50" s="780"/>
      <c r="E50" s="780"/>
      <c r="F50" s="780"/>
      <c r="G50" s="780"/>
      <c r="H50" s="780"/>
      <c r="I50" s="780"/>
      <c r="J50" s="780" t="s">
        <v>129</v>
      </c>
      <c r="K50" s="780"/>
      <c r="L50" s="780"/>
      <c r="M50" s="791">
        <f>ROUND(($M$49),0)</f>
        <v>1554</v>
      </c>
      <c r="N50" s="780"/>
      <c r="O50" s="780"/>
      <c r="P50" s="780"/>
    </row>
    <row r="51" spans="1:16" x14ac:dyDescent="0.25">
      <c r="A51" s="387" t="s">
        <v>138</v>
      </c>
      <c r="B51" s="780" t="s">
        <v>339</v>
      </c>
      <c r="C51" s="780"/>
      <c r="D51" s="780"/>
      <c r="E51" s="780"/>
      <c r="F51" s="780" t="s">
        <v>302</v>
      </c>
      <c r="G51" s="780"/>
      <c r="H51" s="780"/>
      <c r="I51" s="780"/>
      <c r="J51" s="780"/>
      <c r="K51" s="780"/>
      <c r="L51" s="780"/>
      <c r="M51" s="780"/>
      <c r="N51" s="780"/>
      <c r="O51" s="780"/>
      <c r="P51" s="780"/>
    </row>
    <row r="52" spans="1:16" ht="95.25" customHeight="1" x14ac:dyDescent="0.25">
      <c r="A52" s="387" t="s">
        <v>17</v>
      </c>
      <c r="B52" s="785" t="s">
        <v>998</v>
      </c>
      <c r="C52" s="785"/>
      <c r="D52" s="785"/>
      <c r="E52" s="785"/>
      <c r="F52" s="785" t="s">
        <v>999</v>
      </c>
      <c r="G52" s="785"/>
      <c r="H52" s="785"/>
      <c r="I52" s="785"/>
      <c r="J52" s="785" t="s">
        <v>1000</v>
      </c>
      <c r="K52" s="785"/>
      <c r="L52" s="785"/>
      <c r="M52" s="792">
        <f>ROUND(($M$28) * 0.2,0)</f>
        <v>77</v>
      </c>
      <c r="N52" s="785"/>
      <c r="O52" s="785" t="s">
        <v>129</v>
      </c>
      <c r="P52" s="785"/>
    </row>
    <row r="53" spans="1:16" ht="68.099999999999994" customHeight="1" x14ac:dyDescent="0.25">
      <c r="A53" s="387" t="s">
        <v>93</v>
      </c>
      <c r="B53" s="785" t="s">
        <v>1001</v>
      </c>
      <c r="C53" s="785"/>
      <c r="D53" s="785"/>
      <c r="E53" s="785"/>
      <c r="F53" s="785" t="s">
        <v>481</v>
      </c>
      <c r="G53" s="785"/>
      <c r="H53" s="785"/>
      <c r="I53" s="785"/>
      <c r="J53" s="785" t="s">
        <v>1002</v>
      </c>
      <c r="K53" s="785"/>
      <c r="L53" s="785"/>
      <c r="M53" s="792">
        <f>ROUND(($M$28+$M$52) * (11.25/100),0)</f>
        <v>52</v>
      </c>
      <c r="N53" s="785"/>
      <c r="O53" s="785" t="s">
        <v>129</v>
      </c>
      <c r="P53" s="785"/>
    </row>
    <row r="54" spans="1:16" ht="68.099999999999994" customHeight="1" x14ac:dyDescent="0.25">
      <c r="A54" s="387" t="s">
        <v>94</v>
      </c>
      <c r="B54" s="785" t="s">
        <v>482</v>
      </c>
      <c r="C54" s="785"/>
      <c r="D54" s="785"/>
      <c r="E54" s="785"/>
      <c r="F54" s="785" t="s">
        <v>483</v>
      </c>
      <c r="G54" s="785"/>
      <c r="H54" s="785"/>
      <c r="I54" s="785"/>
      <c r="J54" s="785" t="s">
        <v>1003</v>
      </c>
      <c r="K54" s="785"/>
      <c r="L54" s="785"/>
      <c r="M54" s="792">
        <f>ROUND(($M$28+SUM($M$52:$M$53)) * (19.6/100),0)</f>
        <v>101</v>
      </c>
      <c r="N54" s="785"/>
      <c r="O54" s="785" t="s">
        <v>129</v>
      </c>
      <c r="P54" s="785"/>
    </row>
    <row r="55" spans="1:16" ht="68.099999999999994" customHeight="1" x14ac:dyDescent="0.25">
      <c r="A55" s="387" t="s">
        <v>95</v>
      </c>
      <c r="B55" s="785" t="s">
        <v>484</v>
      </c>
      <c r="C55" s="785"/>
      <c r="D55" s="785"/>
      <c r="E55" s="785"/>
      <c r="F55" s="785" t="s">
        <v>485</v>
      </c>
      <c r="G55" s="785"/>
      <c r="H55" s="785"/>
      <c r="I55" s="785"/>
      <c r="J55" s="785" t="s">
        <v>1004</v>
      </c>
      <c r="K55" s="785"/>
      <c r="L55" s="785"/>
      <c r="M55" s="792">
        <f>ROUND(($M$28+SUM($M$52:$M$53)) * (2.5 * 6/100),0)</f>
        <v>77</v>
      </c>
      <c r="N55" s="785"/>
      <c r="O55" s="785" t="s">
        <v>129</v>
      </c>
      <c r="P55" s="785"/>
    </row>
    <row r="56" spans="1:16" x14ac:dyDescent="0.25">
      <c r="A56" s="387" t="s">
        <v>162</v>
      </c>
      <c r="B56" s="780" t="s">
        <v>486</v>
      </c>
      <c r="C56" s="780"/>
      <c r="D56" s="780"/>
      <c r="E56" s="780"/>
      <c r="F56" s="780"/>
      <c r="G56" s="780"/>
      <c r="H56" s="780"/>
      <c r="I56" s="780"/>
      <c r="J56" s="780" t="s">
        <v>129</v>
      </c>
      <c r="K56" s="780"/>
      <c r="L56" s="780"/>
      <c r="M56" s="791">
        <f>ROUND((SUM($M$52:$M$55)),0)</f>
        <v>307</v>
      </c>
      <c r="N56" s="780"/>
      <c r="O56" s="780"/>
      <c r="P56" s="780"/>
    </row>
    <row r="57" spans="1:16" x14ac:dyDescent="0.25">
      <c r="A57" s="387" t="s">
        <v>12</v>
      </c>
      <c r="B57" s="780" t="s">
        <v>362</v>
      </c>
      <c r="C57" s="780"/>
      <c r="D57" s="780"/>
      <c r="E57" s="780"/>
      <c r="F57" s="780"/>
      <c r="G57" s="780"/>
      <c r="H57" s="780"/>
      <c r="I57" s="780"/>
      <c r="J57" s="780" t="s">
        <v>129</v>
      </c>
      <c r="K57" s="780"/>
      <c r="L57" s="780"/>
      <c r="M57" s="791">
        <f>ROUND($M$28+$M$50+$M$56,0)</f>
        <v>2245</v>
      </c>
      <c r="N57" s="780"/>
      <c r="O57" s="780"/>
      <c r="P57" s="780"/>
    </row>
    <row r="58" spans="1:16" ht="27.2" customHeight="1" x14ac:dyDescent="0.25">
      <c r="A58" s="387" t="s">
        <v>13</v>
      </c>
      <c r="B58" s="785" t="s">
        <v>487</v>
      </c>
      <c r="C58" s="785"/>
      <c r="D58" s="785"/>
      <c r="E58" s="785"/>
      <c r="F58" s="785" t="s">
        <v>129</v>
      </c>
      <c r="G58" s="785"/>
      <c r="H58" s="785"/>
      <c r="I58" s="785"/>
      <c r="J58" s="785" t="s">
        <v>1005</v>
      </c>
      <c r="K58" s="785"/>
      <c r="L58" s="785"/>
      <c r="M58" s="792">
        <f>ROUND($M$57,0)</f>
        <v>2245</v>
      </c>
      <c r="N58" s="785"/>
      <c r="O58" s="785" t="s">
        <v>129</v>
      </c>
      <c r="P58" s="785"/>
    </row>
    <row r="59" spans="1:16" ht="40.9" customHeight="1" x14ac:dyDescent="0.25">
      <c r="A59" s="387" t="s">
        <v>15</v>
      </c>
      <c r="B59" s="785" t="s">
        <v>488</v>
      </c>
      <c r="C59" s="785"/>
      <c r="D59" s="785"/>
      <c r="E59" s="785"/>
      <c r="F59" s="785" t="s">
        <v>489</v>
      </c>
      <c r="G59" s="785"/>
      <c r="H59" s="785"/>
      <c r="I59" s="785"/>
      <c r="J59" s="785" t="s">
        <v>1006</v>
      </c>
      <c r="K59" s="785"/>
      <c r="L59" s="785"/>
      <c r="M59" s="792">
        <f>ROUND(($M$58) * 80.58,0)</f>
        <v>180902</v>
      </c>
      <c r="N59" s="785"/>
      <c r="O59" s="785" t="s">
        <v>129</v>
      </c>
      <c r="P59" s="785"/>
    </row>
    <row r="60" spans="1:16" x14ac:dyDescent="0.25">
      <c r="A60" s="387" t="s">
        <v>139</v>
      </c>
      <c r="B60" s="780" t="s">
        <v>363</v>
      </c>
      <c r="C60" s="780"/>
      <c r="D60" s="780"/>
      <c r="E60" s="780"/>
      <c r="F60" s="780"/>
      <c r="G60" s="780"/>
      <c r="H60" s="780"/>
      <c r="I60" s="780"/>
      <c r="J60" s="780" t="s">
        <v>129</v>
      </c>
      <c r="K60" s="780"/>
      <c r="L60" s="780"/>
      <c r="M60" s="791">
        <f>ROUND(($M$59),0)</f>
        <v>180902</v>
      </c>
      <c r="N60" s="780"/>
      <c r="O60" s="780"/>
      <c r="P60" s="780"/>
    </row>
    <row r="62" spans="1:16" ht="30" customHeight="1" x14ac:dyDescent="0.25">
      <c r="A62" s="767" t="s">
        <v>364</v>
      </c>
      <c r="B62" s="767"/>
      <c r="C62" s="767"/>
      <c r="D62" s="767"/>
      <c r="E62" s="767"/>
      <c r="F62" s="793">
        <f>$M$60</f>
        <v>180902</v>
      </c>
      <c r="G62" s="793"/>
      <c r="H62" s="793"/>
      <c r="I62" s="793"/>
      <c r="J62" s="793"/>
      <c r="K62" s="793"/>
      <c r="L62" s="793"/>
      <c r="M62" s="793"/>
      <c r="N62" s="793"/>
      <c r="O62" s="793"/>
      <c r="P62" s="793"/>
    </row>
  </sheetData>
  <mergeCells count="231">
    <mergeCell ref="A62:E62"/>
    <mergeCell ref="F62:P62"/>
    <mergeCell ref="B59:E59"/>
    <mergeCell ref="F59:I59"/>
    <mergeCell ref="J59:L59"/>
    <mergeCell ref="M59:N59"/>
    <mergeCell ref="O59:P59"/>
    <mergeCell ref="B60:E60"/>
    <mergeCell ref="F60:I60"/>
    <mergeCell ref="J60:L60"/>
    <mergeCell ref="M60:N60"/>
    <mergeCell ref="O60:P60"/>
    <mergeCell ref="B57:E57"/>
    <mergeCell ref="F57:I57"/>
    <mergeCell ref="J57:L57"/>
    <mergeCell ref="M57:N57"/>
    <mergeCell ref="O57:P57"/>
    <mergeCell ref="B58:E58"/>
    <mergeCell ref="F58:I58"/>
    <mergeCell ref="J58:L58"/>
    <mergeCell ref="M58:N58"/>
    <mergeCell ref="O58:P58"/>
    <mergeCell ref="B55:E55"/>
    <mergeCell ref="F55:I55"/>
    <mergeCell ref="J55:L55"/>
    <mergeCell ref="M55:N55"/>
    <mergeCell ref="O55:P55"/>
    <mergeCell ref="B56:E56"/>
    <mergeCell ref="F56:I56"/>
    <mergeCell ref="J56:L56"/>
    <mergeCell ref="M56:N56"/>
    <mergeCell ref="O56:P56"/>
    <mergeCell ref="B53:E53"/>
    <mergeCell ref="F53:I53"/>
    <mergeCell ref="J53:L53"/>
    <mergeCell ref="M53:N53"/>
    <mergeCell ref="O53:P53"/>
    <mergeCell ref="B54:E54"/>
    <mergeCell ref="F54:I54"/>
    <mergeCell ref="J54:L54"/>
    <mergeCell ref="M54:N54"/>
    <mergeCell ref="O54:P54"/>
    <mergeCell ref="B51:E51"/>
    <mergeCell ref="F51:I51"/>
    <mergeCell ref="J51:L51"/>
    <mergeCell ref="M51:N51"/>
    <mergeCell ref="O51:P51"/>
    <mergeCell ref="B52:E52"/>
    <mergeCell ref="F52:I52"/>
    <mergeCell ref="J52:L52"/>
    <mergeCell ref="M52:N52"/>
    <mergeCell ref="O52:P52"/>
    <mergeCell ref="B49:E49"/>
    <mergeCell ref="F49:I49"/>
    <mergeCell ref="J49:L49"/>
    <mergeCell ref="M49:N49"/>
    <mergeCell ref="O49:P49"/>
    <mergeCell ref="B50:E50"/>
    <mergeCell ref="F50:I50"/>
    <mergeCell ref="J50:L50"/>
    <mergeCell ref="M50:N50"/>
    <mergeCell ref="O50:P50"/>
    <mergeCell ref="B47:E47"/>
    <mergeCell ref="F47:I47"/>
    <mergeCell ref="J47:L47"/>
    <mergeCell ref="M47:N47"/>
    <mergeCell ref="O47:P47"/>
    <mergeCell ref="B48:E48"/>
    <mergeCell ref="F48:I48"/>
    <mergeCell ref="J48:L48"/>
    <mergeCell ref="M48:N48"/>
    <mergeCell ref="O48:P48"/>
    <mergeCell ref="B45:E45"/>
    <mergeCell ref="F45:I45"/>
    <mergeCell ref="J45:L45"/>
    <mergeCell ref="M45:N45"/>
    <mergeCell ref="O45:P45"/>
    <mergeCell ref="B46:E46"/>
    <mergeCell ref="F46:I46"/>
    <mergeCell ref="J46:L46"/>
    <mergeCell ref="M46:N46"/>
    <mergeCell ref="O46:P46"/>
    <mergeCell ref="B43:E43"/>
    <mergeCell ref="F43:I43"/>
    <mergeCell ref="J43:L43"/>
    <mergeCell ref="M43:N43"/>
    <mergeCell ref="O43:P43"/>
    <mergeCell ref="B44:E44"/>
    <mergeCell ref="F44:I44"/>
    <mergeCell ref="J44:L44"/>
    <mergeCell ref="M44:N44"/>
    <mergeCell ref="O44:P44"/>
    <mergeCell ref="B41:E41"/>
    <mergeCell ref="F41:I41"/>
    <mergeCell ref="J41:L41"/>
    <mergeCell ref="M41:N41"/>
    <mergeCell ref="O41:P41"/>
    <mergeCell ref="B42:E42"/>
    <mergeCell ref="F42:I42"/>
    <mergeCell ref="J42:L42"/>
    <mergeCell ref="M42:N42"/>
    <mergeCell ref="O42:P42"/>
    <mergeCell ref="B39:E39"/>
    <mergeCell ref="F39:I39"/>
    <mergeCell ref="J39:L39"/>
    <mergeCell ref="M39:N39"/>
    <mergeCell ref="O39:P39"/>
    <mergeCell ref="B40:E40"/>
    <mergeCell ref="F40:I40"/>
    <mergeCell ref="J40:L40"/>
    <mergeCell ref="M40:N40"/>
    <mergeCell ref="O40:P40"/>
    <mergeCell ref="B37:E37"/>
    <mergeCell ref="F37:I37"/>
    <mergeCell ref="J37:L37"/>
    <mergeCell ref="M37:N37"/>
    <mergeCell ref="O37:P37"/>
    <mergeCell ref="B38:E38"/>
    <mergeCell ref="F38:I38"/>
    <mergeCell ref="J38:L38"/>
    <mergeCell ref="M38:N38"/>
    <mergeCell ref="O38:P38"/>
    <mergeCell ref="B35:E35"/>
    <mergeCell ref="F35:I35"/>
    <mergeCell ref="J35:L35"/>
    <mergeCell ref="M35:N35"/>
    <mergeCell ref="O35:P35"/>
    <mergeCell ref="B36:E36"/>
    <mergeCell ref="F36:I36"/>
    <mergeCell ref="J36:L36"/>
    <mergeCell ref="M36:N36"/>
    <mergeCell ref="O36:P36"/>
    <mergeCell ref="B33:E33"/>
    <mergeCell ref="F33:I33"/>
    <mergeCell ref="J33:L33"/>
    <mergeCell ref="M33:N33"/>
    <mergeCell ref="O33:P33"/>
    <mergeCell ref="B34:E34"/>
    <mergeCell ref="F34:I34"/>
    <mergeCell ref="J34:L34"/>
    <mergeCell ref="M34:N34"/>
    <mergeCell ref="O34:P34"/>
    <mergeCell ref="B31:E31"/>
    <mergeCell ref="F31:I31"/>
    <mergeCell ref="J31:L31"/>
    <mergeCell ref="M31:N31"/>
    <mergeCell ref="O31:P31"/>
    <mergeCell ref="B32:E32"/>
    <mergeCell ref="F32:I32"/>
    <mergeCell ref="J32:L32"/>
    <mergeCell ref="M32:N32"/>
    <mergeCell ref="O32:P32"/>
    <mergeCell ref="B29:E29"/>
    <mergeCell ref="F29:I29"/>
    <mergeCell ref="J29:L29"/>
    <mergeCell ref="M29:N29"/>
    <mergeCell ref="O29:P29"/>
    <mergeCell ref="B30:E30"/>
    <mergeCell ref="F30:I30"/>
    <mergeCell ref="J30:L30"/>
    <mergeCell ref="M30:N30"/>
    <mergeCell ref="O30:P30"/>
    <mergeCell ref="B27:E27"/>
    <mergeCell ref="F27:I27"/>
    <mergeCell ref="J27:L27"/>
    <mergeCell ref="M27:N27"/>
    <mergeCell ref="O27:P27"/>
    <mergeCell ref="B28:E28"/>
    <mergeCell ref="F28:I28"/>
    <mergeCell ref="J28:L28"/>
    <mergeCell ref="M28:N28"/>
    <mergeCell ref="O28:P28"/>
    <mergeCell ref="B25:E25"/>
    <mergeCell ref="F25:I25"/>
    <mergeCell ref="J25:L25"/>
    <mergeCell ref="M25:N25"/>
    <mergeCell ref="O25:P25"/>
    <mergeCell ref="B26:E26"/>
    <mergeCell ref="F26:I26"/>
    <mergeCell ref="J26:L26"/>
    <mergeCell ref="M26:N26"/>
    <mergeCell ref="O26:P26"/>
    <mergeCell ref="B23:E23"/>
    <mergeCell ref="F23:I23"/>
    <mergeCell ref="J23:L23"/>
    <mergeCell ref="M23:N23"/>
    <mergeCell ref="O23:P23"/>
    <mergeCell ref="B24:E24"/>
    <mergeCell ref="F24:I24"/>
    <mergeCell ref="J24:L24"/>
    <mergeCell ref="M24:N24"/>
    <mergeCell ref="O24:P24"/>
    <mergeCell ref="B21:E21"/>
    <mergeCell ref="F21:I21"/>
    <mergeCell ref="J21:L21"/>
    <mergeCell ref="M21:N21"/>
    <mergeCell ref="O21:P21"/>
    <mergeCell ref="B22:E22"/>
    <mergeCell ref="F22:I22"/>
    <mergeCell ref="J22:L22"/>
    <mergeCell ref="M22:N22"/>
    <mergeCell ref="O22:P22"/>
    <mergeCell ref="B19:E19"/>
    <mergeCell ref="F19:I19"/>
    <mergeCell ref="J19:L19"/>
    <mergeCell ref="M19:N19"/>
    <mergeCell ref="O19:P19"/>
    <mergeCell ref="B20:E20"/>
    <mergeCell ref="F20:I20"/>
    <mergeCell ref="J20:L20"/>
    <mergeCell ref="M20:N20"/>
    <mergeCell ref="O20:P20"/>
    <mergeCell ref="A1:D1"/>
    <mergeCell ref="E1:P1"/>
    <mergeCell ref="A3:P3"/>
    <mergeCell ref="A4:P4"/>
    <mergeCell ref="A6:E6"/>
    <mergeCell ref="F6:P6"/>
    <mergeCell ref="A14:P14"/>
    <mergeCell ref="A16:P16"/>
    <mergeCell ref="B18:E18"/>
    <mergeCell ref="F18:I18"/>
    <mergeCell ref="J18:L18"/>
    <mergeCell ref="M18:N18"/>
    <mergeCell ref="O18:P18"/>
    <mergeCell ref="A8:E8"/>
    <mergeCell ref="F8:P8"/>
    <mergeCell ref="A10:E10"/>
    <mergeCell ref="F10:P10"/>
    <mergeCell ref="A12:E12"/>
    <mergeCell ref="F12:P12"/>
  </mergeCells>
  <pageMargins left="0.4" right="0.4" top="0.75" bottom="0.75" header="0.3"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110"/>
  <sheetViews>
    <sheetView zoomScale="115" zoomScaleNormal="115" zoomScaleSheetLayoutView="100" workbookViewId="0">
      <selection activeCell="C7" sqref="C7"/>
    </sheetView>
  </sheetViews>
  <sheetFormatPr defaultRowHeight="12.75" x14ac:dyDescent="0.2"/>
  <cols>
    <col min="1" max="1" width="6.7109375" style="284" customWidth="1"/>
    <col min="2" max="2" width="63.7109375" style="220" customWidth="1"/>
    <col min="3" max="3" width="14.7109375" style="220" customWidth="1"/>
    <col min="4" max="4" width="31.42578125" style="220" customWidth="1"/>
    <col min="5" max="5" width="9.140625" style="220"/>
    <col min="6" max="6" width="11.5703125" style="220" customWidth="1"/>
    <col min="7" max="7" width="15.28515625" style="220" customWidth="1"/>
    <col min="8" max="16384" width="9.140625" style="220"/>
  </cols>
  <sheetData>
    <row r="1" spans="1:7" x14ac:dyDescent="0.2">
      <c r="A1" s="814" t="s">
        <v>1022</v>
      </c>
      <c r="B1" s="814"/>
      <c r="C1" s="814"/>
      <c r="D1" s="814"/>
      <c r="E1" s="814"/>
      <c r="F1" s="814"/>
      <c r="G1" s="814"/>
    </row>
    <row r="2" spans="1:7" x14ac:dyDescent="0.2">
      <c r="A2" s="815" t="s">
        <v>697</v>
      </c>
      <c r="B2" s="815"/>
      <c r="C2" s="815"/>
      <c r="D2" s="815"/>
      <c r="E2" s="815"/>
      <c r="F2" s="815"/>
      <c r="G2" s="815"/>
    </row>
    <row r="3" spans="1:7" x14ac:dyDescent="0.2">
      <c r="A3" s="221"/>
      <c r="B3" s="222"/>
      <c r="C3" s="223"/>
      <c r="D3" s="224"/>
      <c r="E3" s="225"/>
      <c r="F3" s="222"/>
      <c r="G3" s="226"/>
    </row>
    <row r="4" spans="1:7" ht="45.75" customHeight="1" x14ac:dyDescent="0.2">
      <c r="A4" s="816" t="s">
        <v>698</v>
      </c>
      <c r="B4" s="817"/>
      <c r="C4" s="227"/>
      <c r="D4" s="818" t="s">
        <v>584</v>
      </c>
      <c r="E4" s="818"/>
      <c r="F4" s="818"/>
      <c r="G4" s="819"/>
    </row>
    <row r="5" spans="1:7" ht="11.25" customHeight="1" x14ac:dyDescent="0.2">
      <c r="A5" s="228"/>
      <c r="B5" s="228"/>
      <c r="C5" s="228"/>
      <c r="D5" s="820"/>
      <c r="E5" s="820"/>
      <c r="F5" s="820"/>
      <c r="G5" s="820"/>
    </row>
    <row r="6" spans="1:7" x14ac:dyDescent="0.2">
      <c r="A6" s="816" t="s">
        <v>699</v>
      </c>
      <c r="B6" s="821"/>
      <c r="C6" s="229"/>
      <c r="D6" s="822" t="s">
        <v>700</v>
      </c>
      <c r="E6" s="823"/>
      <c r="F6" s="823"/>
      <c r="G6" s="824"/>
    </row>
    <row r="7" spans="1:7" x14ac:dyDescent="0.2">
      <c r="A7" s="221"/>
      <c r="B7" s="222"/>
      <c r="C7" s="222"/>
      <c r="D7" s="230"/>
      <c r="E7" s="230"/>
      <c r="F7" s="230"/>
      <c r="G7" s="230"/>
    </row>
    <row r="8" spans="1:7" ht="12.75" customHeight="1" x14ac:dyDescent="0.2">
      <c r="A8" s="825" t="s">
        <v>134</v>
      </c>
      <c r="B8" s="826"/>
      <c r="C8" s="827"/>
      <c r="D8" s="831"/>
      <c r="E8" s="832"/>
      <c r="F8" s="832"/>
      <c r="G8" s="833"/>
    </row>
    <row r="9" spans="1:7" ht="4.5" customHeight="1" x14ac:dyDescent="0.2">
      <c r="A9" s="828"/>
      <c r="B9" s="829"/>
      <c r="C9" s="830"/>
      <c r="D9" s="834"/>
      <c r="E9" s="835"/>
      <c r="F9" s="835"/>
      <c r="G9" s="836"/>
    </row>
    <row r="10" spans="1:7" ht="16.5" customHeight="1" x14ac:dyDescent="0.2">
      <c r="A10" s="816" t="s">
        <v>154</v>
      </c>
      <c r="B10" s="821"/>
      <c r="C10" s="231" t="s">
        <v>106</v>
      </c>
      <c r="D10" s="837" t="s">
        <v>130</v>
      </c>
      <c r="E10" s="838"/>
      <c r="F10" s="838"/>
      <c r="G10" s="839"/>
    </row>
    <row r="11" spans="1:7" ht="39" customHeight="1" x14ac:dyDescent="0.2">
      <c r="A11" s="232"/>
      <c r="B11" s="840" t="s">
        <v>701</v>
      </c>
      <c r="C11" s="840"/>
      <c r="D11" s="840"/>
      <c r="E11" s="840"/>
      <c r="F11" s="840"/>
      <c r="G11" s="841"/>
    </row>
    <row r="12" spans="1:7" x14ac:dyDescent="0.2">
      <c r="A12" s="233" t="s">
        <v>1</v>
      </c>
      <c r="B12" s="234" t="s">
        <v>702</v>
      </c>
      <c r="C12" s="234" t="s">
        <v>3</v>
      </c>
      <c r="D12" s="234" t="s">
        <v>703</v>
      </c>
      <c r="E12" s="234" t="s">
        <v>704</v>
      </c>
      <c r="F12" s="234" t="s">
        <v>172</v>
      </c>
      <c r="G12" s="234" t="s">
        <v>705</v>
      </c>
    </row>
    <row r="13" spans="1:7" x14ac:dyDescent="0.2">
      <c r="A13" s="812" t="s">
        <v>706</v>
      </c>
      <c r="B13" s="812"/>
      <c r="C13" s="812"/>
      <c r="D13" s="812"/>
      <c r="E13" s="812"/>
      <c r="F13" s="812"/>
      <c r="G13" s="812"/>
    </row>
    <row r="14" spans="1:7" ht="36" customHeight="1" x14ac:dyDescent="0.2">
      <c r="A14" s="235" t="s">
        <v>6</v>
      </c>
      <c r="B14" s="234" t="s">
        <v>707</v>
      </c>
      <c r="C14" s="234" t="s">
        <v>708</v>
      </c>
      <c r="D14" s="236" t="s">
        <v>709</v>
      </c>
      <c r="E14" s="234">
        <v>5</v>
      </c>
      <c r="F14" s="237">
        <v>36</v>
      </c>
      <c r="G14" s="238">
        <f>E14*F14*1.25</f>
        <v>225</v>
      </c>
    </row>
    <row r="15" spans="1:7" ht="40.5" customHeight="1" x14ac:dyDescent="0.2">
      <c r="A15" s="239" t="s">
        <v>7</v>
      </c>
      <c r="B15" s="234" t="s">
        <v>710</v>
      </c>
      <c r="C15" s="234" t="s">
        <v>164</v>
      </c>
      <c r="D15" s="234" t="s">
        <v>711</v>
      </c>
      <c r="E15" s="234">
        <v>2</v>
      </c>
      <c r="F15" s="237">
        <v>21.3</v>
      </c>
      <c r="G15" s="238">
        <f>E15*F15*1.3*0.6</f>
        <v>33.229999999999997</v>
      </c>
    </row>
    <row r="16" spans="1:7" ht="41.25" customHeight="1" x14ac:dyDescent="0.2">
      <c r="A16" s="239" t="s">
        <v>38</v>
      </c>
      <c r="B16" s="234" t="s">
        <v>712</v>
      </c>
      <c r="C16" s="234" t="s">
        <v>244</v>
      </c>
      <c r="D16" s="236" t="s">
        <v>713</v>
      </c>
      <c r="E16" s="234">
        <v>80</v>
      </c>
      <c r="F16" s="237">
        <v>6.9</v>
      </c>
      <c r="G16" s="238">
        <f>E16*F16*0.9</f>
        <v>496.8</v>
      </c>
    </row>
    <row r="17" spans="1:7" ht="33" customHeight="1" x14ac:dyDescent="0.2">
      <c r="A17" s="239" t="s">
        <v>40</v>
      </c>
      <c r="B17" s="234" t="s">
        <v>714</v>
      </c>
      <c r="C17" s="234" t="s">
        <v>244</v>
      </c>
      <c r="D17" s="236" t="s">
        <v>715</v>
      </c>
      <c r="E17" s="234">
        <v>16</v>
      </c>
      <c r="F17" s="237">
        <v>6.9</v>
      </c>
      <c r="G17" s="238">
        <f>E17*F17</f>
        <v>110.4</v>
      </c>
    </row>
    <row r="18" spans="1:7" ht="20.25" customHeight="1" x14ac:dyDescent="0.2">
      <c r="A18" s="239" t="s">
        <v>42</v>
      </c>
      <c r="B18" s="234" t="s">
        <v>716</v>
      </c>
      <c r="C18" s="234" t="s">
        <v>244</v>
      </c>
      <c r="D18" s="236" t="s">
        <v>717</v>
      </c>
      <c r="E18" s="234">
        <v>1</v>
      </c>
      <c r="F18" s="237">
        <v>37.700000000000003</v>
      </c>
      <c r="G18" s="238">
        <f>F18*E18</f>
        <v>37.700000000000003</v>
      </c>
    </row>
    <row r="19" spans="1:7" ht="30.75" customHeight="1" x14ac:dyDescent="0.2">
      <c r="A19" s="239" t="s">
        <v>158</v>
      </c>
      <c r="B19" s="234" t="s">
        <v>718</v>
      </c>
      <c r="C19" s="234" t="s">
        <v>244</v>
      </c>
      <c r="D19" s="236" t="s">
        <v>719</v>
      </c>
      <c r="E19" s="234">
        <v>2</v>
      </c>
      <c r="F19" s="237">
        <f>37.7*0.9</f>
        <v>33.93</v>
      </c>
      <c r="G19" s="238">
        <f>E19*F19</f>
        <v>67.86</v>
      </c>
    </row>
    <row r="20" spans="1:7" ht="31.5" customHeight="1" x14ac:dyDescent="0.2">
      <c r="A20" s="239" t="s">
        <v>173</v>
      </c>
      <c r="B20" s="234" t="s">
        <v>720</v>
      </c>
      <c r="C20" s="234" t="s">
        <v>244</v>
      </c>
      <c r="D20" s="236" t="s">
        <v>721</v>
      </c>
      <c r="E20" s="234">
        <v>2</v>
      </c>
      <c r="F20" s="237">
        <v>37.700000000000003</v>
      </c>
      <c r="G20" s="238">
        <f>E20*F20</f>
        <v>75.400000000000006</v>
      </c>
    </row>
    <row r="21" spans="1:7" ht="31.5" customHeight="1" x14ac:dyDescent="0.2">
      <c r="A21" s="239" t="s">
        <v>174</v>
      </c>
      <c r="B21" s="234" t="s">
        <v>722</v>
      </c>
      <c r="C21" s="234" t="s">
        <v>244</v>
      </c>
      <c r="D21" s="236" t="s">
        <v>723</v>
      </c>
      <c r="E21" s="234">
        <v>1</v>
      </c>
      <c r="F21" s="237">
        <v>7.6</v>
      </c>
      <c r="G21" s="238">
        <f>E21*F21</f>
        <v>7.6</v>
      </c>
    </row>
    <row r="22" spans="1:7" ht="19.5" customHeight="1" x14ac:dyDescent="0.2">
      <c r="A22" s="239" t="s">
        <v>175</v>
      </c>
      <c r="B22" s="234" t="s">
        <v>301</v>
      </c>
      <c r="C22" s="234" t="s">
        <v>245</v>
      </c>
      <c r="D22" s="236" t="s">
        <v>724</v>
      </c>
      <c r="E22" s="234">
        <v>1</v>
      </c>
      <c r="F22" s="237">
        <v>535</v>
      </c>
      <c r="G22" s="238">
        <f>F22*E22</f>
        <v>535</v>
      </c>
    </row>
    <row r="23" spans="1:7" ht="47.25" customHeight="1" x14ac:dyDescent="0.2">
      <c r="A23" s="239" t="s">
        <v>20</v>
      </c>
      <c r="B23" s="240" t="s">
        <v>725</v>
      </c>
      <c r="C23" s="240" t="s">
        <v>244</v>
      </c>
      <c r="D23" s="241" t="s">
        <v>726</v>
      </c>
      <c r="E23" s="240">
        <v>2</v>
      </c>
      <c r="F23" s="242">
        <v>6.9</v>
      </c>
      <c r="G23" s="243">
        <f>F23*E23*1.2</f>
        <v>16.559999999999999</v>
      </c>
    </row>
    <row r="24" spans="1:7" ht="26.25" customHeight="1" x14ac:dyDescent="0.2">
      <c r="A24" s="239" t="s">
        <v>21</v>
      </c>
      <c r="B24" s="234" t="s">
        <v>727</v>
      </c>
      <c r="C24" s="234" t="s">
        <v>728</v>
      </c>
      <c r="D24" s="236" t="s">
        <v>729</v>
      </c>
      <c r="E24" s="234">
        <v>27</v>
      </c>
      <c r="F24" s="237">
        <v>49.2</v>
      </c>
      <c r="G24" s="238">
        <f>F24*E24</f>
        <v>1328.4</v>
      </c>
    </row>
    <row r="25" spans="1:7" ht="15.75" customHeight="1" x14ac:dyDescent="0.2">
      <c r="A25" s="811" t="s">
        <v>730</v>
      </c>
      <c r="B25" s="811"/>
      <c r="C25" s="811"/>
      <c r="D25" s="811"/>
      <c r="E25" s="811"/>
      <c r="F25" s="811"/>
      <c r="G25" s="244">
        <f>SUM(G14:G24)</f>
        <v>2933.95</v>
      </c>
    </row>
    <row r="26" spans="1:7" x14ac:dyDescent="0.2">
      <c r="A26" s="812" t="s">
        <v>731</v>
      </c>
      <c r="B26" s="812"/>
      <c r="C26" s="812"/>
      <c r="D26" s="812"/>
      <c r="E26" s="812"/>
      <c r="F26" s="812"/>
      <c r="G26" s="812"/>
    </row>
    <row r="27" spans="1:7" hidden="1" x14ac:dyDescent="0.2">
      <c r="A27" s="245"/>
      <c r="B27" s="806" t="s">
        <v>732</v>
      </c>
      <c r="C27" s="806"/>
      <c r="D27" s="806"/>
      <c r="E27" s="813"/>
      <c r="F27" s="813"/>
      <c r="G27" s="813"/>
    </row>
    <row r="28" spans="1:7" ht="16.5" customHeight="1" x14ac:dyDescent="0.2">
      <c r="A28" s="245"/>
      <c r="B28" s="795" t="s">
        <v>733</v>
      </c>
      <c r="C28" s="796"/>
      <c r="D28" s="797"/>
      <c r="E28" s="245"/>
      <c r="F28" s="245"/>
      <c r="G28" s="246"/>
    </row>
    <row r="29" spans="1:7" x14ac:dyDescent="0.2">
      <c r="A29" s="235" t="s">
        <v>9</v>
      </c>
      <c r="B29" s="234" t="s">
        <v>183</v>
      </c>
      <c r="C29" s="234" t="s">
        <v>165</v>
      </c>
      <c r="D29" s="234" t="s">
        <v>734</v>
      </c>
      <c r="E29" s="245">
        <f>E18</f>
        <v>1</v>
      </c>
      <c r="F29" s="245">
        <v>3.8</v>
      </c>
      <c r="G29" s="247">
        <f>F29*E29</f>
        <v>3.8</v>
      </c>
    </row>
    <row r="30" spans="1:7" x14ac:dyDescent="0.2">
      <c r="A30" s="235" t="s">
        <v>10</v>
      </c>
      <c r="B30" s="234" t="s">
        <v>735</v>
      </c>
      <c r="C30" s="234" t="s">
        <v>165</v>
      </c>
      <c r="D30" s="234" t="s">
        <v>736</v>
      </c>
      <c r="E30" s="234">
        <f>E18</f>
        <v>1</v>
      </c>
      <c r="F30" s="237">
        <v>2</v>
      </c>
      <c r="G30" s="238">
        <f>E30*F30</f>
        <v>2</v>
      </c>
    </row>
    <row r="31" spans="1:7" x14ac:dyDescent="0.2">
      <c r="A31" s="235" t="s">
        <v>11</v>
      </c>
      <c r="B31" s="234" t="s">
        <v>737</v>
      </c>
      <c r="C31" s="234" t="s">
        <v>165</v>
      </c>
      <c r="D31" s="234" t="s">
        <v>738</v>
      </c>
      <c r="E31" s="234">
        <f>E18</f>
        <v>1</v>
      </c>
      <c r="F31" s="237">
        <v>8.6</v>
      </c>
      <c r="G31" s="238">
        <f>E31*F31</f>
        <v>8.6</v>
      </c>
    </row>
    <row r="32" spans="1:7" ht="19.5" customHeight="1" x14ac:dyDescent="0.2">
      <c r="A32" s="235" t="s">
        <v>159</v>
      </c>
      <c r="B32" s="234" t="s">
        <v>739</v>
      </c>
      <c r="C32" s="234" t="s">
        <v>165</v>
      </c>
      <c r="D32" s="234" t="s">
        <v>740</v>
      </c>
      <c r="E32" s="234">
        <f>E18</f>
        <v>1</v>
      </c>
      <c r="F32" s="237">
        <v>13.7</v>
      </c>
      <c r="G32" s="238">
        <f>E32*F32</f>
        <v>13.7</v>
      </c>
    </row>
    <row r="33" spans="1:7" x14ac:dyDescent="0.2">
      <c r="A33" s="233"/>
      <c r="B33" s="806" t="s">
        <v>741</v>
      </c>
      <c r="C33" s="806"/>
      <c r="D33" s="806"/>
      <c r="E33" s="248"/>
      <c r="F33" s="248"/>
      <c r="G33" s="249"/>
    </row>
    <row r="34" spans="1:7" x14ac:dyDescent="0.2">
      <c r="A34" s="235" t="s">
        <v>160</v>
      </c>
      <c r="B34" s="234" t="s">
        <v>178</v>
      </c>
      <c r="C34" s="234" t="s">
        <v>165</v>
      </c>
      <c r="D34" s="234" t="s">
        <v>742</v>
      </c>
      <c r="E34" s="234">
        <f>18</f>
        <v>18</v>
      </c>
      <c r="F34" s="234">
        <v>8.5</v>
      </c>
      <c r="G34" s="238">
        <f>F34*E34</f>
        <v>153</v>
      </c>
    </row>
    <row r="35" spans="1:7" x14ac:dyDescent="0.2">
      <c r="A35" s="235" t="s">
        <v>161</v>
      </c>
      <c r="B35" s="234" t="s">
        <v>743</v>
      </c>
      <c r="C35" s="234" t="s">
        <v>165</v>
      </c>
      <c r="D35" s="234" t="s">
        <v>736</v>
      </c>
      <c r="E35" s="234">
        <f>E34</f>
        <v>18</v>
      </c>
      <c r="F35" s="250">
        <v>2</v>
      </c>
      <c r="G35" s="238">
        <f>F35*E35</f>
        <v>36</v>
      </c>
    </row>
    <row r="36" spans="1:7" ht="25.5" x14ac:dyDescent="0.2">
      <c r="A36" s="235" t="s">
        <v>179</v>
      </c>
      <c r="B36" s="234" t="s">
        <v>273</v>
      </c>
      <c r="C36" s="234" t="s">
        <v>165</v>
      </c>
      <c r="D36" s="234" t="s">
        <v>744</v>
      </c>
      <c r="E36" s="234">
        <f>E35</f>
        <v>18</v>
      </c>
      <c r="F36" s="250">
        <v>52.3</v>
      </c>
      <c r="G36" s="238">
        <f>F36*E36</f>
        <v>941.4</v>
      </c>
    </row>
    <row r="37" spans="1:7" ht="25.5" x14ac:dyDescent="0.2">
      <c r="A37" s="235" t="s">
        <v>180</v>
      </c>
      <c r="B37" s="234" t="s">
        <v>745</v>
      </c>
      <c r="C37" s="234" t="s">
        <v>165</v>
      </c>
      <c r="D37" s="234" t="s">
        <v>746</v>
      </c>
      <c r="E37" s="234">
        <f>E34*7</f>
        <v>126</v>
      </c>
      <c r="F37" s="237">
        <v>7.8</v>
      </c>
      <c r="G37" s="238">
        <f>E37*F37</f>
        <v>982.8</v>
      </c>
    </row>
    <row r="38" spans="1:7" x14ac:dyDescent="0.2">
      <c r="A38" s="235" t="s">
        <v>181</v>
      </c>
      <c r="B38" s="234" t="s">
        <v>747</v>
      </c>
      <c r="C38" s="234" t="s">
        <v>165</v>
      </c>
      <c r="D38" s="234" t="s">
        <v>748</v>
      </c>
      <c r="E38" s="234">
        <f>E17+4</f>
        <v>20</v>
      </c>
      <c r="F38" s="237">
        <v>19.7</v>
      </c>
      <c r="G38" s="238">
        <f>E38*F38</f>
        <v>394</v>
      </c>
    </row>
    <row r="39" spans="1:7" ht="17.25" customHeight="1" x14ac:dyDescent="0.2">
      <c r="A39" s="235" t="s">
        <v>182</v>
      </c>
      <c r="B39" s="234" t="s">
        <v>749</v>
      </c>
      <c r="C39" s="234" t="s">
        <v>165</v>
      </c>
      <c r="D39" s="234" t="s">
        <v>750</v>
      </c>
      <c r="E39" s="234">
        <f>E38</f>
        <v>20</v>
      </c>
      <c r="F39" s="237">
        <v>95.8</v>
      </c>
      <c r="G39" s="238">
        <f>E39*F39</f>
        <v>1916</v>
      </c>
    </row>
    <row r="40" spans="1:7" ht="17.25" customHeight="1" x14ac:dyDescent="0.2">
      <c r="A40" s="795" t="s">
        <v>751</v>
      </c>
      <c r="B40" s="796"/>
      <c r="C40" s="796"/>
      <c r="D40" s="796"/>
      <c r="E40" s="796"/>
      <c r="F40" s="796"/>
      <c r="G40" s="797"/>
    </row>
    <row r="41" spans="1:7" ht="17.25" customHeight="1" x14ac:dyDescent="0.25">
      <c r="A41" s="239" t="s">
        <v>184</v>
      </c>
      <c r="B41" s="251" t="s">
        <v>246</v>
      </c>
      <c r="C41" s="234" t="s">
        <v>165</v>
      </c>
      <c r="D41" s="252" t="s">
        <v>247</v>
      </c>
      <c r="E41" s="234">
        <v>1</v>
      </c>
      <c r="F41" s="252">
        <v>1.3</v>
      </c>
      <c r="G41" s="253">
        <f>E41*F41</f>
        <v>1.3</v>
      </c>
    </row>
    <row r="42" spans="1:7" ht="17.25" customHeight="1" x14ac:dyDescent="0.2">
      <c r="A42" s="235" t="s">
        <v>185</v>
      </c>
      <c r="B42" s="254" t="s">
        <v>276</v>
      </c>
      <c r="C42" s="234" t="s">
        <v>165</v>
      </c>
      <c r="D42" s="252" t="s">
        <v>277</v>
      </c>
      <c r="E42" s="234">
        <v>1</v>
      </c>
      <c r="F42" s="252">
        <v>2.1</v>
      </c>
      <c r="G42" s="255">
        <f>E42*F42</f>
        <v>2.1</v>
      </c>
    </row>
    <row r="43" spans="1:7" ht="17.25" customHeight="1" x14ac:dyDescent="0.2">
      <c r="A43" s="239" t="s">
        <v>186</v>
      </c>
      <c r="B43" s="254" t="s">
        <v>278</v>
      </c>
      <c r="C43" s="234" t="s">
        <v>165</v>
      </c>
      <c r="D43" s="252" t="s">
        <v>249</v>
      </c>
      <c r="E43" s="234">
        <v>1</v>
      </c>
      <c r="F43" s="252">
        <v>0.8</v>
      </c>
      <c r="G43" s="255">
        <f>E43*F43</f>
        <v>0.8</v>
      </c>
    </row>
    <row r="44" spans="1:7" ht="17.25" customHeight="1" x14ac:dyDescent="0.25">
      <c r="A44" s="235" t="s">
        <v>18</v>
      </c>
      <c r="B44" s="254" t="s">
        <v>279</v>
      </c>
      <c r="C44" s="234" t="s">
        <v>165</v>
      </c>
      <c r="D44" s="252" t="s">
        <v>248</v>
      </c>
      <c r="E44" s="234">
        <v>1</v>
      </c>
      <c r="F44" s="252">
        <v>4.5999999999999996</v>
      </c>
      <c r="G44" s="253">
        <f>E44*F44</f>
        <v>4.5999999999999996</v>
      </c>
    </row>
    <row r="45" spans="1:7" ht="17.25" customHeight="1" x14ac:dyDescent="0.25">
      <c r="A45" s="239" t="s">
        <v>19</v>
      </c>
      <c r="B45" s="254" t="s">
        <v>250</v>
      </c>
      <c r="C45" s="234" t="s">
        <v>165</v>
      </c>
      <c r="D45" s="252" t="s">
        <v>251</v>
      </c>
      <c r="E45" s="234">
        <v>1</v>
      </c>
      <c r="F45" s="252">
        <v>2.9</v>
      </c>
      <c r="G45" s="253">
        <f t="shared" ref="G45:G69" si="0">E45*F45</f>
        <v>2.9</v>
      </c>
    </row>
    <row r="46" spans="1:7" ht="17.25" customHeight="1" x14ac:dyDescent="0.25">
      <c r="A46" s="235" t="s">
        <v>200</v>
      </c>
      <c r="B46" s="254" t="s">
        <v>275</v>
      </c>
      <c r="C46" s="234" t="s">
        <v>165</v>
      </c>
      <c r="D46" s="252" t="s">
        <v>280</v>
      </c>
      <c r="E46" s="234">
        <v>1</v>
      </c>
      <c r="F46" s="252">
        <v>7.1</v>
      </c>
      <c r="G46" s="253">
        <f t="shared" si="0"/>
        <v>7.1</v>
      </c>
    </row>
    <row r="47" spans="1:7" ht="17.25" customHeight="1" x14ac:dyDescent="0.25">
      <c r="A47" s="239" t="s">
        <v>201</v>
      </c>
      <c r="B47" s="254" t="s">
        <v>281</v>
      </c>
      <c r="C47" s="234" t="s">
        <v>165</v>
      </c>
      <c r="D47" s="252" t="s">
        <v>282</v>
      </c>
      <c r="E47" s="234">
        <v>1</v>
      </c>
      <c r="F47" s="252">
        <v>4.5</v>
      </c>
      <c r="G47" s="253">
        <f t="shared" si="0"/>
        <v>4.5</v>
      </c>
    </row>
    <row r="48" spans="1:7" ht="17.25" customHeight="1" x14ac:dyDescent="0.25">
      <c r="A48" s="235" t="s">
        <v>202</v>
      </c>
      <c r="B48" s="254" t="s">
        <v>752</v>
      </c>
      <c r="C48" s="234" t="s">
        <v>165</v>
      </c>
      <c r="D48" s="252" t="s">
        <v>252</v>
      </c>
      <c r="E48" s="234">
        <v>1</v>
      </c>
      <c r="F48" s="252">
        <v>10.3</v>
      </c>
      <c r="G48" s="253">
        <f t="shared" si="0"/>
        <v>10.3</v>
      </c>
    </row>
    <row r="49" spans="1:7" ht="17.25" customHeight="1" x14ac:dyDescent="0.25">
      <c r="A49" s="239" t="s">
        <v>204</v>
      </c>
      <c r="B49" s="254" t="s">
        <v>283</v>
      </c>
      <c r="C49" s="234" t="s">
        <v>165</v>
      </c>
      <c r="D49" s="252" t="s">
        <v>284</v>
      </c>
      <c r="E49" s="234">
        <v>1</v>
      </c>
      <c r="F49" s="252">
        <v>8.8000000000000007</v>
      </c>
      <c r="G49" s="253">
        <f t="shared" si="0"/>
        <v>8.8000000000000007</v>
      </c>
    </row>
    <row r="50" spans="1:7" ht="17.25" customHeight="1" x14ac:dyDescent="0.25">
      <c r="A50" s="235" t="s">
        <v>205</v>
      </c>
      <c r="B50" s="254" t="s">
        <v>285</v>
      </c>
      <c r="C50" s="234" t="s">
        <v>165</v>
      </c>
      <c r="D50" s="252" t="s">
        <v>286</v>
      </c>
      <c r="E50" s="234">
        <v>1</v>
      </c>
      <c r="F50" s="252">
        <v>5.6</v>
      </c>
      <c r="G50" s="253">
        <f t="shared" si="0"/>
        <v>5.6</v>
      </c>
    </row>
    <row r="51" spans="1:7" ht="17.25" customHeight="1" x14ac:dyDescent="0.25">
      <c r="A51" s="239" t="s">
        <v>206</v>
      </c>
      <c r="B51" s="254" t="s">
        <v>253</v>
      </c>
      <c r="C51" s="234" t="s">
        <v>165</v>
      </c>
      <c r="D51" s="252" t="s">
        <v>254</v>
      </c>
      <c r="E51" s="234">
        <v>1</v>
      </c>
      <c r="F51" s="252">
        <v>8.8000000000000007</v>
      </c>
      <c r="G51" s="253">
        <f t="shared" si="0"/>
        <v>8.8000000000000007</v>
      </c>
    </row>
    <row r="52" spans="1:7" ht="17.25" customHeight="1" x14ac:dyDescent="0.25">
      <c r="A52" s="235" t="s">
        <v>208</v>
      </c>
      <c r="B52" s="254" t="s">
        <v>287</v>
      </c>
      <c r="C52" s="234" t="s">
        <v>165</v>
      </c>
      <c r="D52" s="252" t="s">
        <v>255</v>
      </c>
      <c r="E52" s="234">
        <v>1</v>
      </c>
      <c r="F52" s="252">
        <v>2.7</v>
      </c>
      <c r="G52" s="253">
        <f t="shared" si="0"/>
        <v>2.7</v>
      </c>
    </row>
    <row r="53" spans="1:7" ht="17.25" customHeight="1" x14ac:dyDescent="0.25">
      <c r="A53" s="239" t="s">
        <v>210</v>
      </c>
      <c r="B53" s="254" t="s">
        <v>288</v>
      </c>
      <c r="C53" s="234" t="s">
        <v>165</v>
      </c>
      <c r="D53" s="252" t="s">
        <v>256</v>
      </c>
      <c r="E53" s="234">
        <v>1</v>
      </c>
      <c r="F53" s="252">
        <v>3.1</v>
      </c>
      <c r="G53" s="253">
        <f t="shared" si="0"/>
        <v>3.1</v>
      </c>
    </row>
    <row r="54" spans="1:7" ht="17.25" customHeight="1" x14ac:dyDescent="0.25">
      <c r="A54" s="235" t="s">
        <v>211</v>
      </c>
      <c r="B54" s="254" t="s">
        <v>257</v>
      </c>
      <c r="C54" s="234" t="s">
        <v>165</v>
      </c>
      <c r="D54" s="252" t="s">
        <v>258</v>
      </c>
      <c r="E54" s="234">
        <v>1</v>
      </c>
      <c r="F54" s="252">
        <v>8.3000000000000007</v>
      </c>
      <c r="G54" s="253">
        <f t="shared" si="0"/>
        <v>8.3000000000000007</v>
      </c>
    </row>
    <row r="55" spans="1:7" ht="17.25" customHeight="1" x14ac:dyDescent="0.25">
      <c r="A55" s="239" t="s">
        <v>212</v>
      </c>
      <c r="B55" s="254" t="s">
        <v>289</v>
      </c>
      <c r="C55" s="234" t="s">
        <v>165</v>
      </c>
      <c r="D55" s="252" t="s">
        <v>260</v>
      </c>
      <c r="E55" s="234">
        <v>1</v>
      </c>
      <c r="F55" s="252">
        <v>14.7</v>
      </c>
      <c r="G55" s="253">
        <f t="shared" si="0"/>
        <v>14.7</v>
      </c>
    </row>
    <row r="56" spans="1:7" ht="17.25" customHeight="1" x14ac:dyDescent="0.25">
      <c r="A56" s="235" t="s">
        <v>213</v>
      </c>
      <c r="B56" s="254" t="s">
        <v>214</v>
      </c>
      <c r="C56" s="234" t="s">
        <v>165</v>
      </c>
      <c r="D56" s="252" t="s">
        <v>272</v>
      </c>
      <c r="E56" s="234">
        <v>1</v>
      </c>
      <c r="F56" s="252">
        <v>19.7</v>
      </c>
      <c r="G56" s="253">
        <f t="shared" si="0"/>
        <v>19.7</v>
      </c>
    </row>
    <row r="57" spans="1:7" ht="17.25" customHeight="1" x14ac:dyDescent="0.25">
      <c r="A57" s="239" t="s">
        <v>215</v>
      </c>
      <c r="B57" s="254" t="s">
        <v>216</v>
      </c>
      <c r="C57" s="234" t="s">
        <v>165</v>
      </c>
      <c r="D57" s="252" t="s">
        <v>259</v>
      </c>
      <c r="E57" s="234">
        <v>1</v>
      </c>
      <c r="F57" s="252">
        <v>11.3</v>
      </c>
      <c r="G57" s="253">
        <f t="shared" si="0"/>
        <v>11.3</v>
      </c>
    </row>
    <row r="58" spans="1:7" ht="17.25" customHeight="1" x14ac:dyDescent="0.25">
      <c r="A58" s="235" t="s">
        <v>217</v>
      </c>
      <c r="B58" s="254" t="s">
        <v>274</v>
      </c>
      <c r="C58" s="234" t="s">
        <v>165</v>
      </c>
      <c r="D58" s="252" t="s">
        <v>290</v>
      </c>
      <c r="E58" s="234">
        <v>1</v>
      </c>
      <c r="F58" s="252">
        <v>4.0999999999999996</v>
      </c>
      <c r="G58" s="253">
        <f t="shared" si="0"/>
        <v>4.0999999999999996</v>
      </c>
    </row>
    <row r="59" spans="1:7" ht="17.25" customHeight="1" x14ac:dyDescent="0.25">
      <c r="A59" s="239" t="s">
        <v>218</v>
      </c>
      <c r="B59" s="254" t="s">
        <v>203</v>
      </c>
      <c r="C59" s="234" t="s">
        <v>165</v>
      </c>
      <c r="D59" s="252" t="s">
        <v>291</v>
      </c>
      <c r="E59" s="234">
        <v>1</v>
      </c>
      <c r="F59" s="252">
        <v>19.7</v>
      </c>
      <c r="G59" s="253">
        <f t="shared" si="0"/>
        <v>19.7</v>
      </c>
    </row>
    <row r="60" spans="1:7" ht="17.25" customHeight="1" x14ac:dyDescent="0.25">
      <c r="A60" s="235" t="s">
        <v>219</v>
      </c>
      <c r="B60" s="254" t="s">
        <v>263</v>
      </c>
      <c r="C60" s="234" t="s">
        <v>165</v>
      </c>
      <c r="D60" s="252" t="s">
        <v>264</v>
      </c>
      <c r="E60" s="234">
        <v>1</v>
      </c>
      <c r="F60" s="252">
        <v>23.5</v>
      </c>
      <c r="G60" s="253">
        <f t="shared" si="0"/>
        <v>23.5</v>
      </c>
    </row>
    <row r="61" spans="1:7" ht="17.25" customHeight="1" x14ac:dyDescent="0.25">
      <c r="A61" s="239" t="s">
        <v>220</v>
      </c>
      <c r="B61" s="254" t="s">
        <v>265</v>
      </c>
      <c r="C61" s="234" t="s">
        <v>165</v>
      </c>
      <c r="D61" s="252" t="s">
        <v>266</v>
      </c>
      <c r="E61" s="234">
        <v>1</v>
      </c>
      <c r="F61" s="252">
        <v>12.2</v>
      </c>
      <c r="G61" s="253">
        <f t="shared" si="0"/>
        <v>12.2</v>
      </c>
    </row>
    <row r="62" spans="1:7" ht="17.25" customHeight="1" x14ac:dyDescent="0.25">
      <c r="A62" s="235" t="s">
        <v>221</v>
      </c>
      <c r="B62" s="254" t="s">
        <v>269</v>
      </c>
      <c r="C62" s="234" t="s">
        <v>165</v>
      </c>
      <c r="D62" s="252" t="s">
        <v>270</v>
      </c>
      <c r="E62" s="234">
        <v>1</v>
      </c>
      <c r="F62" s="252">
        <v>8.6999999999999993</v>
      </c>
      <c r="G62" s="253">
        <f t="shared" si="0"/>
        <v>8.6999999999999993</v>
      </c>
    </row>
    <row r="63" spans="1:7" ht="17.25" customHeight="1" x14ac:dyDescent="0.25">
      <c r="A63" s="239" t="s">
        <v>222</v>
      </c>
      <c r="B63" s="254" t="s">
        <v>261</v>
      </c>
      <c r="C63" s="234" t="s">
        <v>165</v>
      </c>
      <c r="D63" s="252" t="s">
        <v>262</v>
      </c>
      <c r="E63" s="234">
        <v>1</v>
      </c>
      <c r="F63" s="252">
        <v>6.1</v>
      </c>
      <c r="G63" s="253">
        <f t="shared" si="0"/>
        <v>6.1</v>
      </c>
    </row>
    <row r="64" spans="1:7" ht="17.25" customHeight="1" x14ac:dyDescent="0.25">
      <c r="A64" s="235" t="s">
        <v>223</v>
      </c>
      <c r="B64" s="254" t="s">
        <v>209</v>
      </c>
      <c r="C64" s="234" t="s">
        <v>165</v>
      </c>
      <c r="D64" s="252" t="s">
        <v>271</v>
      </c>
      <c r="E64" s="234">
        <v>1</v>
      </c>
      <c r="F64" s="252">
        <v>8.1</v>
      </c>
      <c r="G64" s="253">
        <f t="shared" si="0"/>
        <v>8.1</v>
      </c>
    </row>
    <row r="65" spans="1:7" ht="17.25" customHeight="1" x14ac:dyDescent="0.25">
      <c r="A65" s="239" t="s">
        <v>437</v>
      </c>
      <c r="B65" s="254" t="s">
        <v>207</v>
      </c>
      <c r="C65" s="234" t="s">
        <v>165</v>
      </c>
      <c r="D65" s="252" t="s">
        <v>268</v>
      </c>
      <c r="E65" s="234">
        <v>1</v>
      </c>
      <c r="F65" s="252">
        <v>21.5</v>
      </c>
      <c r="G65" s="253">
        <f t="shared" si="0"/>
        <v>21.5</v>
      </c>
    </row>
    <row r="66" spans="1:7" ht="17.25" customHeight="1" x14ac:dyDescent="0.25">
      <c r="A66" s="235" t="s">
        <v>753</v>
      </c>
      <c r="B66" s="254" t="s">
        <v>224</v>
      </c>
      <c r="C66" s="234" t="s">
        <v>165</v>
      </c>
      <c r="D66" s="252" t="s">
        <v>267</v>
      </c>
      <c r="E66" s="234">
        <v>1</v>
      </c>
      <c r="F66" s="252">
        <v>9.6</v>
      </c>
      <c r="G66" s="253">
        <f t="shared" si="0"/>
        <v>9.6</v>
      </c>
    </row>
    <row r="67" spans="1:7" ht="17.25" customHeight="1" x14ac:dyDescent="0.25">
      <c r="A67" s="239" t="s">
        <v>754</v>
      </c>
      <c r="B67" s="254" t="s">
        <v>292</v>
      </c>
      <c r="C67" s="234" t="s">
        <v>165</v>
      </c>
      <c r="D67" s="252" t="s">
        <v>293</v>
      </c>
      <c r="E67" s="234">
        <v>1</v>
      </c>
      <c r="F67" s="252">
        <v>5.5</v>
      </c>
      <c r="G67" s="253">
        <f t="shared" si="0"/>
        <v>5.5</v>
      </c>
    </row>
    <row r="68" spans="1:7" ht="17.25" customHeight="1" x14ac:dyDescent="0.25">
      <c r="A68" s="235" t="s">
        <v>755</v>
      </c>
      <c r="B68" s="254" t="s">
        <v>294</v>
      </c>
      <c r="C68" s="234" t="s">
        <v>165</v>
      </c>
      <c r="D68" s="252" t="s">
        <v>295</v>
      </c>
      <c r="E68" s="234">
        <v>1</v>
      </c>
      <c r="F68" s="252">
        <v>7.4</v>
      </c>
      <c r="G68" s="253">
        <f t="shared" si="0"/>
        <v>7.4</v>
      </c>
    </row>
    <row r="69" spans="1:7" ht="17.25" customHeight="1" x14ac:dyDescent="0.25">
      <c r="A69" s="239" t="s">
        <v>756</v>
      </c>
      <c r="B69" s="254" t="s">
        <v>296</v>
      </c>
      <c r="C69" s="234" t="s">
        <v>165</v>
      </c>
      <c r="D69" s="252" t="s">
        <v>297</v>
      </c>
      <c r="E69" s="234">
        <v>1</v>
      </c>
      <c r="F69" s="237">
        <v>2.6</v>
      </c>
      <c r="G69" s="253">
        <f t="shared" si="0"/>
        <v>2.6</v>
      </c>
    </row>
    <row r="70" spans="1:7" ht="17.25" customHeight="1" x14ac:dyDescent="0.2">
      <c r="A70" s="235" t="s">
        <v>757</v>
      </c>
      <c r="B70" s="254" t="s">
        <v>298</v>
      </c>
      <c r="C70" s="252" t="s">
        <v>165</v>
      </c>
      <c r="D70" s="252" t="s">
        <v>299</v>
      </c>
      <c r="E70" s="234">
        <v>1</v>
      </c>
      <c r="F70" s="256">
        <v>147.4</v>
      </c>
      <c r="G70" s="238">
        <f>E70*F70</f>
        <v>147.4</v>
      </c>
    </row>
    <row r="71" spans="1:7" ht="25.5" customHeight="1" x14ac:dyDescent="0.2">
      <c r="A71" s="235"/>
      <c r="B71" s="795" t="s">
        <v>758</v>
      </c>
      <c r="C71" s="796"/>
      <c r="D71" s="796"/>
      <c r="E71" s="257"/>
      <c r="F71" s="257"/>
      <c r="G71" s="258"/>
    </row>
    <row r="72" spans="1:7" ht="31.5" customHeight="1" x14ac:dyDescent="0.2">
      <c r="A72" s="235" t="s">
        <v>184</v>
      </c>
      <c r="B72" s="234" t="s">
        <v>759</v>
      </c>
      <c r="C72" s="234" t="s">
        <v>165</v>
      </c>
      <c r="D72" s="234" t="s">
        <v>760</v>
      </c>
      <c r="E72" s="234">
        <f>E23</f>
        <v>2</v>
      </c>
      <c r="F72" s="237">
        <v>147.4</v>
      </c>
      <c r="G72" s="238">
        <f>E72*F72</f>
        <v>294.8</v>
      </c>
    </row>
    <row r="73" spans="1:7" ht="14.25" customHeight="1" x14ac:dyDescent="0.2">
      <c r="A73" s="811" t="s">
        <v>761</v>
      </c>
      <c r="B73" s="811"/>
      <c r="C73" s="811"/>
      <c r="D73" s="811"/>
      <c r="E73" s="811"/>
      <c r="F73" s="811"/>
      <c r="G73" s="244">
        <f>SUM(G29:G72)</f>
        <v>5139.1000000000004</v>
      </c>
    </row>
    <row r="74" spans="1:7" ht="16.5" customHeight="1" x14ac:dyDescent="0.2">
      <c r="A74" s="812" t="s">
        <v>762</v>
      </c>
      <c r="B74" s="812"/>
      <c r="C74" s="812"/>
      <c r="D74" s="812"/>
      <c r="E74" s="812"/>
      <c r="F74" s="812"/>
      <c r="G74" s="812"/>
    </row>
    <row r="75" spans="1:7" ht="39.75" customHeight="1" x14ac:dyDescent="0.2">
      <c r="A75" s="235" t="s">
        <v>17</v>
      </c>
      <c r="B75" s="234" t="s">
        <v>763</v>
      </c>
      <c r="C75" s="234" t="s">
        <v>764</v>
      </c>
      <c r="D75" s="234" t="s">
        <v>765</v>
      </c>
      <c r="E75" s="234">
        <f>E14</f>
        <v>5</v>
      </c>
      <c r="F75" s="250">
        <f>23.4</f>
        <v>23.4</v>
      </c>
      <c r="G75" s="238">
        <f>E75*F75*1.25</f>
        <v>146.25</v>
      </c>
    </row>
    <row r="76" spans="1:7" ht="39.75" customHeight="1" x14ac:dyDescent="0.2">
      <c r="A76" s="235" t="s">
        <v>93</v>
      </c>
      <c r="B76" s="234" t="s">
        <v>766</v>
      </c>
      <c r="C76" s="234" t="s">
        <v>164</v>
      </c>
      <c r="D76" s="234" t="s">
        <v>711</v>
      </c>
      <c r="E76" s="234">
        <f>E15</f>
        <v>2</v>
      </c>
      <c r="F76" s="250">
        <f>13.3</f>
        <v>13.3</v>
      </c>
      <c r="G76" s="238">
        <f>E76*F76*0.6*1.3</f>
        <v>20.75</v>
      </c>
    </row>
    <row r="77" spans="1:7" ht="24.75" customHeight="1" x14ac:dyDescent="0.2">
      <c r="A77" s="235" t="s">
        <v>94</v>
      </c>
      <c r="B77" s="234" t="s">
        <v>301</v>
      </c>
      <c r="C77" s="234" t="s">
        <v>767</v>
      </c>
      <c r="D77" s="234" t="s">
        <v>724</v>
      </c>
      <c r="E77" s="234">
        <f>E22</f>
        <v>1</v>
      </c>
      <c r="F77" s="250">
        <v>161</v>
      </c>
      <c r="G77" s="238">
        <f>E77*F77</f>
        <v>161</v>
      </c>
    </row>
    <row r="78" spans="1:7" ht="34.5" customHeight="1" x14ac:dyDescent="0.2">
      <c r="A78" s="235" t="s">
        <v>95</v>
      </c>
      <c r="B78" s="234" t="s">
        <v>768</v>
      </c>
      <c r="C78" s="234" t="s">
        <v>764</v>
      </c>
      <c r="D78" s="234" t="s">
        <v>729</v>
      </c>
      <c r="E78" s="234">
        <f>E24</f>
        <v>27</v>
      </c>
      <c r="F78" s="237">
        <v>14.8</v>
      </c>
      <c r="G78" s="238">
        <f>F78*E78</f>
        <v>399.6</v>
      </c>
    </row>
    <row r="79" spans="1:7" ht="43.5" customHeight="1" x14ac:dyDescent="0.2">
      <c r="A79" s="235" t="s">
        <v>162</v>
      </c>
      <c r="B79" s="234" t="s">
        <v>769</v>
      </c>
      <c r="C79" s="234" t="s">
        <v>136</v>
      </c>
      <c r="D79" s="234" t="s">
        <v>770</v>
      </c>
      <c r="E79" s="237">
        <f>G73-G32</f>
        <v>5125.3999999999996</v>
      </c>
      <c r="F79" s="250">
        <v>0.2</v>
      </c>
      <c r="G79" s="238">
        <f>E79*F79</f>
        <v>1025.08</v>
      </c>
    </row>
    <row r="80" spans="1:7" ht="17.25" customHeight="1" x14ac:dyDescent="0.2">
      <c r="A80" s="798" t="s">
        <v>187</v>
      </c>
      <c r="B80" s="798"/>
      <c r="C80" s="798"/>
      <c r="D80" s="798"/>
      <c r="E80" s="798"/>
      <c r="F80" s="798"/>
      <c r="G80" s="259">
        <f>SUM(G75:G79)</f>
        <v>1752.68</v>
      </c>
    </row>
    <row r="81" spans="1:7" ht="30" customHeight="1" x14ac:dyDescent="0.2">
      <c r="A81" s="235" t="s">
        <v>163</v>
      </c>
      <c r="B81" s="234" t="s">
        <v>771</v>
      </c>
      <c r="C81" s="234" t="s">
        <v>772</v>
      </c>
      <c r="D81" s="234" t="s">
        <v>773</v>
      </c>
      <c r="E81" s="234">
        <v>1</v>
      </c>
      <c r="F81" s="234">
        <f>200*1.4</f>
        <v>280</v>
      </c>
      <c r="G81" s="238">
        <f>E81*F81</f>
        <v>280</v>
      </c>
    </row>
    <row r="82" spans="1:7" ht="31.5" customHeight="1" x14ac:dyDescent="0.2">
      <c r="A82" s="235" t="s">
        <v>443</v>
      </c>
      <c r="B82" s="234" t="s">
        <v>774</v>
      </c>
      <c r="C82" s="234" t="s">
        <v>775</v>
      </c>
      <c r="D82" s="234" t="s">
        <v>776</v>
      </c>
      <c r="E82" s="234">
        <v>1</v>
      </c>
      <c r="F82" s="250">
        <f>G80-G77-G78</f>
        <v>1192.08</v>
      </c>
      <c r="G82" s="238">
        <f>F82*0.25</f>
        <v>298.02</v>
      </c>
    </row>
    <row r="83" spans="1:7" ht="24" customHeight="1" x14ac:dyDescent="0.2">
      <c r="A83" s="811" t="s">
        <v>777</v>
      </c>
      <c r="B83" s="811"/>
      <c r="C83" s="811"/>
      <c r="D83" s="811"/>
      <c r="E83" s="811"/>
      <c r="F83" s="811"/>
      <c r="G83" s="244">
        <f>G80+G81+G82</f>
        <v>2330.6999999999998</v>
      </c>
    </row>
    <row r="84" spans="1:7" x14ac:dyDescent="0.2">
      <c r="A84" s="260"/>
      <c r="B84" s="795" t="s">
        <v>778</v>
      </c>
      <c r="C84" s="796"/>
      <c r="D84" s="796"/>
      <c r="E84" s="796"/>
      <c r="F84" s="797"/>
      <c r="G84" s="238"/>
    </row>
    <row r="85" spans="1:7" ht="45" x14ac:dyDescent="0.2">
      <c r="A85" s="260" t="s">
        <v>21</v>
      </c>
      <c r="B85" s="261" t="s">
        <v>779</v>
      </c>
      <c r="C85" s="234" t="s">
        <v>136</v>
      </c>
      <c r="D85" s="234" t="s">
        <v>780</v>
      </c>
      <c r="E85" s="262">
        <v>0.1125</v>
      </c>
      <c r="F85" s="237">
        <f>G25</f>
        <v>2933.95</v>
      </c>
      <c r="G85" s="238">
        <f>E85*F85</f>
        <v>330.07</v>
      </c>
    </row>
    <row r="86" spans="1:7" ht="25.5" x14ac:dyDescent="0.2">
      <c r="A86" s="260" t="s">
        <v>176</v>
      </c>
      <c r="B86" s="234" t="s">
        <v>781</v>
      </c>
      <c r="C86" s="234" t="s">
        <v>136</v>
      </c>
      <c r="D86" s="234" t="s">
        <v>782</v>
      </c>
      <c r="E86" s="234">
        <v>0.19600000000000001</v>
      </c>
      <c r="F86" s="237">
        <f>G25+G85</f>
        <v>3264.02</v>
      </c>
      <c r="G86" s="238">
        <f>F86*E86</f>
        <v>639.75</v>
      </c>
    </row>
    <row r="87" spans="1:7" ht="25.5" x14ac:dyDescent="0.2">
      <c r="A87" s="260" t="s">
        <v>177</v>
      </c>
      <c r="B87" s="234" t="s">
        <v>783</v>
      </c>
      <c r="C87" s="234" t="s">
        <v>136</v>
      </c>
      <c r="D87" s="234" t="s">
        <v>784</v>
      </c>
      <c r="E87" s="234">
        <f>0.06*2</f>
        <v>0.12</v>
      </c>
      <c r="F87" s="237">
        <f>F86</f>
        <v>3264.02</v>
      </c>
      <c r="G87" s="238">
        <f>F87*E87</f>
        <v>391.68</v>
      </c>
    </row>
    <row r="88" spans="1:7" ht="17.25" customHeight="1" x14ac:dyDescent="0.2">
      <c r="A88" s="798" t="s">
        <v>785</v>
      </c>
      <c r="B88" s="798"/>
      <c r="C88" s="798"/>
      <c r="D88" s="798"/>
      <c r="E88" s="798"/>
      <c r="F88" s="798"/>
      <c r="G88" s="263">
        <f>SUM(G85:G87)</f>
        <v>1361.5</v>
      </c>
    </row>
    <row r="89" spans="1:7" ht="24" customHeight="1" x14ac:dyDescent="0.2">
      <c r="A89" s="264"/>
      <c r="B89" s="799" t="s">
        <v>786</v>
      </c>
      <c r="C89" s="799"/>
      <c r="D89" s="799"/>
      <c r="E89" s="799"/>
      <c r="F89" s="799"/>
      <c r="G89" s="244">
        <f>G25+G73+G83+G88</f>
        <v>11765.25</v>
      </c>
    </row>
    <row r="90" spans="1:7" ht="30" customHeight="1" x14ac:dyDescent="0.2">
      <c r="A90" s="264"/>
      <c r="B90" s="799" t="s">
        <v>787</v>
      </c>
      <c r="C90" s="799"/>
      <c r="D90" s="799"/>
      <c r="E90" s="799"/>
      <c r="F90" s="799"/>
      <c r="G90" s="244">
        <f>G89*80.58</f>
        <v>948043.85</v>
      </c>
    </row>
    <row r="91" spans="1:7" ht="24" customHeight="1" x14ac:dyDescent="0.2">
      <c r="A91" s="800" t="s">
        <v>788</v>
      </c>
      <c r="B91" s="801"/>
      <c r="C91" s="801"/>
      <c r="D91" s="801"/>
      <c r="E91" s="801"/>
      <c r="F91" s="801"/>
      <c r="G91" s="802"/>
    </row>
    <row r="92" spans="1:7" ht="134.25" customHeight="1" x14ac:dyDescent="0.2">
      <c r="A92" s="235" t="s">
        <v>14</v>
      </c>
      <c r="B92" s="265" t="s">
        <v>789</v>
      </c>
      <c r="C92" s="803" t="s">
        <v>790</v>
      </c>
      <c r="D92" s="245" t="s">
        <v>791</v>
      </c>
      <c r="E92" s="266">
        <v>4</v>
      </c>
      <c r="F92" s="267">
        <v>2180</v>
      </c>
      <c r="G92" s="268">
        <f>E92*F92</f>
        <v>8720</v>
      </c>
    </row>
    <row r="93" spans="1:7" ht="18" customHeight="1" x14ac:dyDescent="0.2">
      <c r="A93" s="235" t="s">
        <v>96</v>
      </c>
      <c r="B93" s="265" t="s">
        <v>792</v>
      </c>
      <c r="C93" s="804"/>
      <c r="D93" s="245" t="s">
        <v>793</v>
      </c>
      <c r="E93" s="266">
        <f>E92</f>
        <v>4</v>
      </c>
      <c r="F93" s="267">
        <v>1940</v>
      </c>
      <c r="G93" s="268">
        <f>F93*E93</f>
        <v>7760</v>
      </c>
    </row>
    <row r="94" spans="1:7" ht="18" customHeight="1" x14ac:dyDescent="0.2">
      <c r="A94" s="235" t="s">
        <v>188</v>
      </c>
      <c r="B94" s="265" t="s">
        <v>794</v>
      </c>
      <c r="C94" s="804"/>
      <c r="D94" s="245" t="s">
        <v>795</v>
      </c>
      <c r="E94" s="266">
        <f>E92</f>
        <v>4</v>
      </c>
      <c r="F94" s="267">
        <v>1090</v>
      </c>
      <c r="G94" s="268">
        <f>F94*E94</f>
        <v>4360</v>
      </c>
    </row>
    <row r="95" spans="1:7" ht="18" customHeight="1" x14ac:dyDescent="0.2">
      <c r="A95" s="235" t="s">
        <v>189</v>
      </c>
      <c r="B95" s="265" t="s">
        <v>796</v>
      </c>
      <c r="C95" s="804"/>
      <c r="D95" s="245" t="s">
        <v>797</v>
      </c>
      <c r="E95" s="266">
        <f>E92</f>
        <v>4</v>
      </c>
      <c r="F95" s="267">
        <v>2300</v>
      </c>
      <c r="G95" s="268">
        <f>F95*E95</f>
        <v>9200</v>
      </c>
    </row>
    <row r="96" spans="1:7" ht="18.75" customHeight="1" x14ac:dyDescent="0.2">
      <c r="A96" s="235" t="s">
        <v>190</v>
      </c>
      <c r="B96" s="265" t="s">
        <v>798</v>
      </c>
      <c r="C96" s="805"/>
      <c r="D96" s="245" t="s">
        <v>799</v>
      </c>
      <c r="E96" s="266">
        <f>E92</f>
        <v>4</v>
      </c>
      <c r="F96" s="267">
        <v>1580</v>
      </c>
      <c r="G96" s="268">
        <f>F96*E96</f>
        <v>6320</v>
      </c>
    </row>
    <row r="97" spans="1:8" ht="84.75" customHeight="1" x14ac:dyDescent="0.2">
      <c r="A97" s="235">
        <v>4.5999999999999996</v>
      </c>
      <c r="B97" s="245" t="s">
        <v>800</v>
      </c>
      <c r="C97" s="266" t="s">
        <v>303</v>
      </c>
      <c r="D97" s="245" t="s">
        <v>801</v>
      </c>
      <c r="E97" s="266">
        <v>1</v>
      </c>
      <c r="F97" s="246">
        <v>33086</v>
      </c>
      <c r="G97" s="268">
        <f>E97*F97</f>
        <v>33086</v>
      </c>
    </row>
    <row r="98" spans="1:8" ht="24" customHeight="1" x14ac:dyDescent="0.2">
      <c r="A98" s="800" t="s">
        <v>802</v>
      </c>
      <c r="B98" s="801"/>
      <c r="C98" s="801"/>
      <c r="D98" s="801"/>
      <c r="E98" s="801"/>
      <c r="F98" s="802"/>
      <c r="G98" s="269">
        <f>SUM(G92:G97)</f>
        <v>69446</v>
      </c>
    </row>
    <row r="99" spans="1:8" hidden="1" x14ac:dyDescent="0.2">
      <c r="A99" s="806" t="s">
        <v>803</v>
      </c>
      <c r="B99" s="806"/>
      <c r="C99" s="806"/>
      <c r="D99" s="806"/>
      <c r="E99" s="806"/>
      <c r="F99" s="806"/>
      <c r="G99" s="806"/>
    </row>
    <row r="100" spans="1:8" ht="31.5" hidden="1" customHeight="1" x14ac:dyDescent="0.2">
      <c r="A100" s="270" t="s">
        <v>14</v>
      </c>
      <c r="B100" s="271" t="s">
        <v>804</v>
      </c>
      <c r="C100" s="272" t="s">
        <v>805</v>
      </c>
      <c r="D100" s="234"/>
      <c r="E100" s="272">
        <f>1*0</f>
        <v>0</v>
      </c>
      <c r="F100" s="273"/>
      <c r="G100" s="273"/>
    </row>
    <row r="101" spans="1:8" ht="26.25" hidden="1" customHeight="1" x14ac:dyDescent="0.2">
      <c r="A101" s="270" t="s">
        <v>96</v>
      </c>
      <c r="B101" s="272" t="s">
        <v>806</v>
      </c>
      <c r="C101" s="272" t="s">
        <v>807</v>
      </c>
      <c r="D101" s="807" t="s">
        <v>808</v>
      </c>
      <c r="E101" s="272" t="e">
        <f>#REF!*0</f>
        <v>#REF!</v>
      </c>
      <c r="F101" s="274">
        <v>1102</v>
      </c>
      <c r="G101" s="275" t="e">
        <f>E101*F101</f>
        <v>#REF!</v>
      </c>
      <c r="H101" s="220" t="s">
        <v>809</v>
      </c>
    </row>
    <row r="102" spans="1:8" ht="24.75" hidden="1" customHeight="1" x14ac:dyDescent="0.2">
      <c r="A102" s="270" t="s">
        <v>188</v>
      </c>
      <c r="B102" s="272" t="s">
        <v>810</v>
      </c>
      <c r="C102" s="272" t="s">
        <v>807</v>
      </c>
      <c r="D102" s="807"/>
      <c r="E102" s="272">
        <f>5*0</f>
        <v>0</v>
      </c>
      <c r="F102" s="274">
        <v>910</v>
      </c>
      <c r="G102" s="275">
        <f>F102*E102</f>
        <v>0</v>
      </c>
    </row>
    <row r="103" spans="1:8" ht="24.75" hidden="1" customHeight="1" x14ac:dyDescent="0.2">
      <c r="A103" s="272"/>
      <c r="B103" s="272" t="s">
        <v>811</v>
      </c>
      <c r="C103" s="272" t="s">
        <v>807</v>
      </c>
      <c r="D103" s="807"/>
      <c r="E103" s="272">
        <f>5*0</f>
        <v>0</v>
      </c>
      <c r="F103" s="274">
        <v>1121</v>
      </c>
      <c r="G103" s="275">
        <f>F103*E103</f>
        <v>0</v>
      </c>
    </row>
    <row r="104" spans="1:8" s="278" customFormat="1" ht="24.75" hidden="1" customHeight="1" x14ac:dyDescent="0.2">
      <c r="A104" s="276" t="s">
        <v>189</v>
      </c>
      <c r="B104" s="234" t="s">
        <v>812</v>
      </c>
      <c r="C104" s="234" t="s">
        <v>807</v>
      </c>
      <c r="D104" s="807"/>
      <c r="E104" s="234">
        <f>5*0</f>
        <v>0</v>
      </c>
      <c r="F104" s="250">
        <v>666</v>
      </c>
      <c r="G104" s="277">
        <f>F104*E104</f>
        <v>0</v>
      </c>
    </row>
    <row r="105" spans="1:8" s="278" customFormat="1" ht="29.25" hidden="1" customHeight="1" x14ac:dyDescent="0.2">
      <c r="A105" s="276" t="s">
        <v>190</v>
      </c>
      <c r="B105" s="234" t="s">
        <v>813</v>
      </c>
      <c r="C105" s="234" t="s">
        <v>807</v>
      </c>
      <c r="D105" s="807"/>
      <c r="E105" s="234">
        <f>5*0</f>
        <v>0</v>
      </c>
      <c r="F105" s="250">
        <v>666</v>
      </c>
      <c r="G105" s="277">
        <f>F105*E105</f>
        <v>0</v>
      </c>
    </row>
    <row r="106" spans="1:8" ht="18.75" hidden="1" customHeight="1" x14ac:dyDescent="0.2">
      <c r="A106" s="279" t="s">
        <v>814</v>
      </c>
      <c r="B106" s="272" t="s">
        <v>815</v>
      </c>
      <c r="C106" s="272" t="s">
        <v>816</v>
      </c>
      <c r="D106" s="807"/>
      <c r="E106" s="272">
        <f>2*0</f>
        <v>0</v>
      </c>
      <c r="F106" s="272">
        <v>840.38</v>
      </c>
      <c r="G106" s="275">
        <f>F106*E106</f>
        <v>0</v>
      </c>
    </row>
    <row r="107" spans="1:8" ht="19.5" customHeight="1" x14ac:dyDescent="0.2">
      <c r="A107" s="245"/>
      <c r="B107" s="808" t="s">
        <v>817</v>
      </c>
      <c r="C107" s="799"/>
      <c r="D107" s="809"/>
      <c r="E107" s="245"/>
      <c r="F107" s="245"/>
      <c r="G107" s="280">
        <f>G90+G98</f>
        <v>1017489.85</v>
      </c>
    </row>
    <row r="108" spans="1:8" ht="23.25" hidden="1" customHeight="1" x14ac:dyDescent="0.2">
      <c r="A108" s="810" t="s">
        <v>818</v>
      </c>
      <c r="B108" s="810"/>
      <c r="C108" s="281">
        <v>0.22</v>
      </c>
      <c r="D108" s="282"/>
      <c r="E108" s="282"/>
      <c r="F108" s="282"/>
      <c r="G108" s="283">
        <f>G107*1.22</f>
        <v>1241337.6200000001</v>
      </c>
    </row>
    <row r="109" spans="1:8" ht="23.25" customHeight="1" x14ac:dyDescent="0.2">
      <c r="B109" s="794" t="s">
        <v>819</v>
      </c>
      <c r="C109" s="794"/>
    </row>
    <row r="110" spans="1:8" ht="18.75" customHeight="1" x14ac:dyDescent="0.2"/>
  </sheetData>
  <mergeCells count="37">
    <mergeCell ref="A13:G13"/>
    <mergeCell ref="A1:G1"/>
    <mergeCell ref="A2:G2"/>
    <mergeCell ref="A4:B4"/>
    <mergeCell ref="D4:G4"/>
    <mergeCell ref="D5:G5"/>
    <mergeCell ref="A6:B6"/>
    <mergeCell ref="D6:G6"/>
    <mergeCell ref="A8:C9"/>
    <mergeCell ref="D8:G9"/>
    <mergeCell ref="A10:B10"/>
    <mergeCell ref="D10:G10"/>
    <mergeCell ref="B11:G11"/>
    <mergeCell ref="A83:F83"/>
    <mergeCell ref="A25:F25"/>
    <mergeCell ref="A26:G26"/>
    <mergeCell ref="B27:D27"/>
    <mergeCell ref="E27:G27"/>
    <mergeCell ref="B28:D28"/>
    <mergeCell ref="B33:D33"/>
    <mergeCell ref="A40:G40"/>
    <mergeCell ref="B71:D71"/>
    <mergeCell ref="A73:F73"/>
    <mergeCell ref="A74:G74"/>
    <mergeCell ref="A80:F80"/>
    <mergeCell ref="B109:C109"/>
    <mergeCell ref="B84:F84"/>
    <mergeCell ref="A88:F88"/>
    <mergeCell ref="B89:F89"/>
    <mergeCell ref="B90:F90"/>
    <mergeCell ref="A91:G91"/>
    <mergeCell ref="C92:C96"/>
    <mergeCell ref="A98:F98"/>
    <mergeCell ref="A99:G99"/>
    <mergeCell ref="D101:D106"/>
    <mergeCell ref="B107:D107"/>
    <mergeCell ref="A108:B108"/>
  </mergeCells>
  <printOptions horizontalCentered="1"/>
  <pageMargins left="0.70866141732283472" right="0.70866141732283472" top="0.74803149606299213" bottom="0.74803149606299213" header="0.31496062992125984" footer="0.31496062992125984"/>
  <pageSetup paperSize="9" scale="57" fitToHeight="4" orientation="portrait" horizontalDpi="1200" r:id="rId1"/>
  <headerFooter>
    <oddFooter>&amp;Rстр. &amp;P из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1"/>
  <sheetViews>
    <sheetView zoomScaleNormal="100" zoomScaleSheetLayoutView="75" workbookViewId="0">
      <selection activeCell="C5" sqref="C5:G6"/>
    </sheetView>
  </sheetViews>
  <sheetFormatPr defaultRowHeight="70.5" customHeight="1" x14ac:dyDescent="0.25"/>
  <cols>
    <col min="1" max="1" width="9.140625" style="173" customWidth="1"/>
    <col min="2" max="2" width="72.5703125" style="173" customWidth="1"/>
    <col min="3" max="3" width="34.140625" style="173" customWidth="1"/>
    <col min="4" max="4" width="28.7109375" style="173" customWidth="1"/>
    <col min="5" max="5" width="20.7109375" style="173" customWidth="1"/>
    <col min="6" max="6" width="21.85546875" style="176" customWidth="1"/>
    <col min="7" max="7" width="16.5703125" style="176" customWidth="1"/>
    <col min="8" max="9" width="9.140625" style="173"/>
    <col min="10" max="10" width="12.28515625" style="173" customWidth="1"/>
    <col min="11" max="16384" width="9.140625" style="173"/>
  </cols>
  <sheetData>
    <row r="1" spans="1:9" ht="18" customHeight="1" x14ac:dyDescent="0.25">
      <c r="A1" s="858" t="s">
        <v>1023</v>
      </c>
      <c r="B1" s="858"/>
      <c r="C1" s="858"/>
      <c r="D1" s="858"/>
      <c r="E1" s="858"/>
      <c r="F1" s="858"/>
      <c r="G1" s="858"/>
    </row>
    <row r="2" spans="1:9" ht="18" customHeight="1" x14ac:dyDescent="0.25">
      <c r="A2" s="858"/>
      <c r="B2" s="858"/>
      <c r="C2" s="858"/>
      <c r="D2" s="858"/>
      <c r="E2" s="858"/>
      <c r="F2" s="858"/>
      <c r="G2" s="858"/>
    </row>
    <row r="3" spans="1:9" ht="18" customHeight="1" x14ac:dyDescent="0.25">
      <c r="A3" s="859" t="s">
        <v>585</v>
      </c>
      <c r="B3" s="859"/>
      <c r="C3" s="860" t="s">
        <v>586</v>
      </c>
      <c r="D3" s="860"/>
      <c r="E3" s="860"/>
      <c r="F3" s="860"/>
      <c r="G3" s="860"/>
    </row>
    <row r="4" spans="1:9" ht="29.25" customHeight="1" x14ac:dyDescent="0.25">
      <c r="A4" s="859"/>
      <c r="B4" s="859"/>
      <c r="C4" s="860"/>
      <c r="D4" s="860"/>
      <c r="E4" s="860"/>
      <c r="F4" s="860"/>
      <c r="G4" s="860"/>
    </row>
    <row r="5" spans="1:9" ht="44.25" customHeight="1" x14ac:dyDescent="0.25">
      <c r="A5" s="859" t="s">
        <v>191</v>
      </c>
      <c r="B5" s="859"/>
      <c r="C5" s="860" t="s">
        <v>584</v>
      </c>
      <c r="D5" s="860"/>
      <c r="E5" s="860"/>
      <c r="F5" s="860"/>
      <c r="G5" s="860"/>
    </row>
    <row r="6" spans="1:9" ht="40.5" hidden="1" customHeight="1" x14ac:dyDescent="0.25">
      <c r="A6" s="859"/>
      <c r="B6" s="859"/>
      <c r="C6" s="860"/>
      <c r="D6" s="860"/>
      <c r="E6" s="860"/>
      <c r="F6" s="860"/>
      <c r="G6" s="860"/>
    </row>
    <row r="7" spans="1:9" ht="18" customHeight="1" x14ac:dyDescent="0.25">
      <c r="A7" s="859" t="s">
        <v>587</v>
      </c>
      <c r="B7" s="859"/>
      <c r="C7" s="860" t="s">
        <v>130</v>
      </c>
      <c r="D7" s="860"/>
      <c r="E7" s="860"/>
      <c r="F7" s="860"/>
      <c r="G7" s="860"/>
    </row>
    <row r="8" spans="1:9" ht="18" customHeight="1" x14ac:dyDescent="0.25">
      <c r="A8" s="859"/>
      <c r="B8" s="859"/>
      <c r="C8" s="860"/>
      <c r="D8" s="860"/>
      <c r="E8" s="860"/>
      <c r="F8" s="860"/>
      <c r="G8" s="860"/>
    </row>
    <row r="9" spans="1:9" ht="18" customHeight="1" x14ac:dyDescent="0.25">
      <c r="B9" s="174"/>
      <c r="C9" s="175"/>
    </row>
    <row r="10" spans="1:9" ht="18.75" customHeight="1" thickBot="1" x14ac:dyDescent="0.3">
      <c r="B10" s="174"/>
      <c r="C10" s="175"/>
    </row>
    <row r="11" spans="1:9" ht="36.75" customHeight="1" thickBot="1" x14ac:dyDescent="0.3">
      <c r="A11" s="177" t="s">
        <v>588</v>
      </c>
      <c r="B11" s="178" t="s">
        <v>2</v>
      </c>
      <c r="C11" s="178" t="s">
        <v>589</v>
      </c>
      <c r="D11" s="178" t="s">
        <v>3</v>
      </c>
      <c r="E11" s="178" t="s">
        <v>4</v>
      </c>
      <c r="F11" s="179" t="s">
        <v>172</v>
      </c>
      <c r="G11" s="180" t="s">
        <v>590</v>
      </c>
    </row>
    <row r="12" spans="1:9" ht="18" customHeight="1" x14ac:dyDescent="0.25">
      <c r="A12" s="177">
        <v>1</v>
      </c>
      <c r="B12" s="178">
        <v>2</v>
      </c>
      <c r="C12" s="178">
        <v>3</v>
      </c>
      <c r="D12" s="178">
        <v>4</v>
      </c>
      <c r="E12" s="178">
        <v>5</v>
      </c>
      <c r="F12" s="181">
        <v>6</v>
      </c>
      <c r="G12" s="182">
        <v>7</v>
      </c>
    </row>
    <row r="13" spans="1:9" ht="18" customHeight="1" x14ac:dyDescent="0.25">
      <c r="A13" s="861">
        <v>1</v>
      </c>
      <c r="B13" s="857" t="s">
        <v>591</v>
      </c>
      <c r="C13" s="857"/>
      <c r="D13" s="857"/>
      <c r="E13" s="857"/>
      <c r="F13" s="857"/>
      <c r="G13" s="857"/>
    </row>
    <row r="14" spans="1:9" ht="64.5" customHeight="1" x14ac:dyDescent="0.25">
      <c r="A14" s="861"/>
      <c r="B14" s="183" t="s">
        <v>592</v>
      </c>
      <c r="C14" s="184" t="s">
        <v>593</v>
      </c>
      <c r="D14" s="185" t="s">
        <v>594</v>
      </c>
      <c r="E14" s="186">
        <v>1</v>
      </c>
      <c r="F14" s="187">
        <v>930</v>
      </c>
      <c r="G14" s="188">
        <f>E14*F14</f>
        <v>930</v>
      </c>
      <c r="I14" s="189"/>
    </row>
    <row r="15" spans="1:9" ht="43.5" customHeight="1" x14ac:dyDescent="0.25">
      <c r="A15" s="861"/>
      <c r="B15" s="190" t="s">
        <v>595</v>
      </c>
      <c r="C15" s="191" t="s">
        <v>596</v>
      </c>
      <c r="D15" s="192" t="s">
        <v>597</v>
      </c>
      <c r="E15" s="193">
        <v>30</v>
      </c>
      <c r="F15" s="194">
        <v>3.52</v>
      </c>
      <c r="G15" s="195">
        <f>E15*F15</f>
        <v>105.6</v>
      </c>
      <c r="I15" s="189"/>
    </row>
    <row r="16" spans="1:9" ht="60.75" customHeight="1" x14ac:dyDescent="0.25">
      <c r="A16" s="861"/>
      <c r="B16" s="196" t="s">
        <v>598</v>
      </c>
      <c r="C16" s="184" t="s">
        <v>599</v>
      </c>
      <c r="D16" s="197" t="s">
        <v>304</v>
      </c>
      <c r="E16" s="198">
        <v>7</v>
      </c>
      <c r="F16" s="199">
        <v>390</v>
      </c>
      <c r="G16" s="188">
        <f>E16*F16</f>
        <v>2730</v>
      </c>
    </row>
    <row r="17" spans="1:7" s="175" customFormat="1" ht="18" customHeight="1" x14ac:dyDescent="0.25">
      <c r="A17" s="842" t="s">
        <v>600</v>
      </c>
      <c r="B17" s="842"/>
      <c r="C17" s="842"/>
      <c r="D17" s="842"/>
      <c r="E17" s="842"/>
      <c r="F17" s="842"/>
      <c r="G17" s="200">
        <f>SUM(G14:G16)</f>
        <v>3765.6</v>
      </c>
    </row>
    <row r="18" spans="1:7" ht="18" customHeight="1" x14ac:dyDescent="0.25">
      <c r="A18" s="856">
        <v>2</v>
      </c>
      <c r="B18" s="857" t="s">
        <v>601</v>
      </c>
      <c r="C18" s="857"/>
      <c r="D18" s="857"/>
      <c r="E18" s="857"/>
      <c r="F18" s="857"/>
      <c r="G18" s="857"/>
    </row>
    <row r="19" spans="1:7" ht="44.25" customHeight="1" x14ac:dyDescent="0.25">
      <c r="A19" s="856"/>
      <c r="B19" s="201" t="s">
        <v>602</v>
      </c>
      <c r="C19" s="184" t="s">
        <v>603</v>
      </c>
      <c r="D19" s="191" t="s">
        <v>604</v>
      </c>
      <c r="E19" s="191">
        <v>1</v>
      </c>
      <c r="F19" s="191">
        <v>140</v>
      </c>
      <c r="G19" s="188">
        <f>E19*F19</f>
        <v>140</v>
      </c>
    </row>
    <row r="20" spans="1:7" ht="36" customHeight="1" x14ac:dyDescent="0.25">
      <c r="A20" s="856"/>
      <c r="B20" s="183" t="s">
        <v>605</v>
      </c>
      <c r="C20" s="184" t="s">
        <v>606</v>
      </c>
      <c r="D20" s="184" t="s">
        <v>607</v>
      </c>
      <c r="E20" s="184">
        <v>2</v>
      </c>
      <c r="F20" s="202">
        <v>530</v>
      </c>
      <c r="G20" s="188">
        <f>E20*F20</f>
        <v>1060</v>
      </c>
    </row>
    <row r="21" spans="1:7" ht="36" customHeight="1" x14ac:dyDescent="0.25">
      <c r="A21" s="856"/>
      <c r="B21" s="183" t="s">
        <v>608</v>
      </c>
      <c r="C21" s="184" t="s">
        <v>609</v>
      </c>
      <c r="D21" s="184" t="s">
        <v>610</v>
      </c>
      <c r="E21" s="203">
        <f>E15</f>
        <v>30</v>
      </c>
      <c r="F21" s="204">
        <v>0.25</v>
      </c>
      <c r="G21" s="188">
        <f>E21*F21</f>
        <v>7.5</v>
      </c>
    </row>
    <row r="22" spans="1:7" ht="72" customHeight="1" x14ac:dyDescent="0.25">
      <c r="A22" s="856"/>
      <c r="B22" s="183" t="s">
        <v>611</v>
      </c>
      <c r="C22" s="184" t="s">
        <v>612</v>
      </c>
      <c r="D22" s="184" t="s">
        <v>613</v>
      </c>
      <c r="E22" s="184" t="s">
        <v>614</v>
      </c>
      <c r="F22" s="204" t="s">
        <v>615</v>
      </c>
      <c r="G22" s="205">
        <f>78+(((E21-20)/5)*16)</f>
        <v>110</v>
      </c>
    </row>
    <row r="23" spans="1:7" ht="21.75" customHeight="1" x14ac:dyDescent="0.25">
      <c r="A23" s="842" t="s">
        <v>616</v>
      </c>
      <c r="B23" s="842"/>
      <c r="C23" s="842"/>
      <c r="D23" s="842"/>
      <c r="E23" s="842"/>
      <c r="F23" s="842"/>
      <c r="G23" s="200">
        <f>SUM(G19:G22)</f>
        <v>1317.5</v>
      </c>
    </row>
    <row r="24" spans="1:7" ht="18.75" customHeight="1" thickBot="1" x14ac:dyDescent="0.3">
      <c r="A24" s="843" t="s">
        <v>617</v>
      </c>
      <c r="B24" s="843"/>
      <c r="C24" s="843"/>
      <c r="D24" s="843"/>
      <c r="E24" s="843"/>
      <c r="F24" s="843"/>
      <c r="G24" s="206">
        <f>G23+G17</f>
        <v>5083.1000000000004</v>
      </c>
    </row>
    <row r="25" spans="1:7" s="208" customFormat="1" ht="46.5" customHeight="1" thickBot="1" x14ac:dyDescent="0.3">
      <c r="A25" s="852" t="s">
        <v>618</v>
      </c>
      <c r="B25" s="852"/>
      <c r="C25" s="853" t="s">
        <v>619</v>
      </c>
      <c r="D25" s="853"/>
      <c r="E25" s="853"/>
      <c r="F25" s="853"/>
      <c r="G25" s="207">
        <f>ROUND((G24*14.6),0)</f>
        <v>74213</v>
      </c>
    </row>
    <row r="26" spans="1:7" s="208" customFormat="1" ht="36" customHeight="1" thickBot="1" x14ac:dyDescent="0.3">
      <c r="A26" s="854" t="s">
        <v>620</v>
      </c>
      <c r="B26" s="854"/>
      <c r="C26" s="855" t="s">
        <v>621</v>
      </c>
      <c r="D26" s="855"/>
      <c r="E26" s="855"/>
      <c r="F26" s="855"/>
      <c r="G26" s="209">
        <f>ROUND((G25*4),0)</f>
        <v>296852</v>
      </c>
    </row>
    <row r="27" spans="1:7" s="208" customFormat="1" ht="18" customHeight="1" x14ac:dyDescent="0.25">
      <c r="A27" s="842" t="s">
        <v>617</v>
      </c>
      <c r="B27" s="842"/>
      <c r="C27" s="842"/>
      <c r="D27" s="842"/>
      <c r="E27" s="842"/>
      <c r="F27" s="842"/>
      <c r="G27" s="200">
        <f>G26</f>
        <v>296852</v>
      </c>
    </row>
    <row r="28" spans="1:7" ht="18.75" customHeight="1" thickBot="1" x14ac:dyDescent="0.3">
      <c r="A28" s="843" t="s">
        <v>622</v>
      </c>
      <c r="B28" s="843"/>
      <c r="C28" s="843"/>
      <c r="D28" s="843"/>
      <c r="E28" s="843"/>
      <c r="F28" s="843"/>
      <c r="G28" s="200">
        <f>G27</f>
        <v>296852</v>
      </c>
    </row>
    <row r="29" spans="1:7" ht="106.5" customHeight="1" x14ac:dyDescent="0.25">
      <c r="A29" s="844" t="s">
        <v>623</v>
      </c>
      <c r="B29" s="845"/>
      <c r="C29" s="846" t="s">
        <v>624</v>
      </c>
      <c r="D29" s="847"/>
      <c r="E29" s="848"/>
      <c r="F29" s="210">
        <v>32400</v>
      </c>
      <c r="G29" s="211">
        <f>G28+F29</f>
        <v>329252</v>
      </c>
    </row>
    <row r="30" spans="1:7" s="208" customFormat="1" ht="18" customHeight="1" x14ac:dyDescent="0.25">
      <c r="A30" s="849" t="s">
        <v>625</v>
      </c>
      <c r="B30" s="850"/>
      <c r="C30" s="850"/>
      <c r="D30" s="850"/>
      <c r="E30" s="851"/>
      <c r="F30" s="212"/>
      <c r="G30" s="213"/>
    </row>
    <row r="31" spans="1:7" ht="30" customHeight="1" x14ac:dyDescent="0.25">
      <c r="A31" s="214"/>
      <c r="B31" s="215" t="s">
        <v>626</v>
      </c>
      <c r="C31" s="216"/>
      <c r="D31" s="216"/>
      <c r="E31" s="216"/>
      <c r="F31" s="217"/>
      <c r="G31" s="218">
        <f>G29</f>
        <v>329252</v>
      </c>
    </row>
  </sheetData>
  <sheetProtection selectLockedCells="1" selectUnlockedCells="1"/>
  <mergeCells count="24">
    <mergeCell ref="A18:A22"/>
    <mergeCell ref="B18:G18"/>
    <mergeCell ref="A1:G1"/>
    <mergeCell ref="A2:G2"/>
    <mergeCell ref="A3:B4"/>
    <mergeCell ref="C3:G4"/>
    <mergeCell ref="A5:B6"/>
    <mergeCell ref="C5:G6"/>
    <mergeCell ref="A7:B8"/>
    <mergeCell ref="C7:G8"/>
    <mergeCell ref="A13:A16"/>
    <mergeCell ref="B13:G13"/>
    <mergeCell ref="A17:F17"/>
    <mergeCell ref="A23:F23"/>
    <mergeCell ref="A24:F24"/>
    <mergeCell ref="A25:B25"/>
    <mergeCell ref="C25:F25"/>
    <mergeCell ref="A26:B26"/>
    <mergeCell ref="C26:F26"/>
    <mergeCell ref="A27:F27"/>
    <mergeCell ref="A28:F28"/>
    <mergeCell ref="A29:B29"/>
    <mergeCell ref="C29:E29"/>
    <mergeCell ref="A30:E30"/>
  </mergeCells>
  <printOptions horizontalCentered="1"/>
  <pageMargins left="0.39374999999999999" right="0.15763888888888888" top="0.6694444444444444" bottom="0.15763888888888888" header="0.51180555555555551" footer="0.51180555555555551"/>
  <pageSetup paperSize="9" scale="56" firstPageNumber="0"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topLeftCell="A3" workbookViewId="0">
      <selection activeCell="I9" sqref="I9"/>
    </sheetView>
  </sheetViews>
  <sheetFormatPr defaultRowHeight="15" x14ac:dyDescent="0.25"/>
  <cols>
    <col min="1" max="50" width="8" style="168" customWidth="1"/>
    <col min="51" max="16384" width="9.140625" style="165"/>
  </cols>
  <sheetData>
    <row r="1" spans="1:16" ht="27.2" customHeight="1" x14ac:dyDescent="0.25">
      <c r="A1" s="777" t="s">
        <v>320</v>
      </c>
      <c r="B1" s="777"/>
      <c r="C1" s="777"/>
      <c r="D1" s="777"/>
      <c r="E1" s="778" t="s">
        <v>559</v>
      </c>
      <c r="F1" s="778"/>
      <c r="G1" s="778"/>
      <c r="H1" s="778"/>
      <c r="I1" s="778"/>
      <c r="J1" s="778"/>
      <c r="K1" s="778"/>
      <c r="L1" s="778"/>
      <c r="M1" s="778"/>
      <c r="N1" s="778"/>
      <c r="O1" s="778"/>
      <c r="P1" s="778"/>
    </row>
    <row r="2" spans="1:16" ht="15" customHeight="1" x14ac:dyDescent="0.25"/>
    <row r="3" spans="1:16" ht="15" customHeight="1" x14ac:dyDescent="0.25">
      <c r="A3" s="787" t="s">
        <v>1024</v>
      </c>
      <c r="B3" s="787"/>
      <c r="C3" s="787"/>
      <c r="D3" s="787"/>
      <c r="E3" s="787"/>
      <c r="F3" s="787"/>
      <c r="G3" s="787"/>
      <c r="H3" s="787"/>
      <c r="I3" s="787"/>
      <c r="J3" s="787"/>
      <c r="K3" s="787"/>
      <c r="L3" s="787"/>
      <c r="M3" s="787"/>
      <c r="N3" s="787"/>
      <c r="O3" s="787"/>
      <c r="P3" s="787"/>
    </row>
    <row r="4" spans="1:16" ht="15" customHeight="1" x14ac:dyDescent="0.25">
      <c r="A4" s="788" t="s">
        <v>560</v>
      </c>
      <c r="B4" s="788"/>
      <c r="C4" s="788"/>
      <c r="D4" s="788"/>
      <c r="E4" s="788"/>
      <c r="F4" s="788"/>
      <c r="G4" s="788"/>
      <c r="H4" s="788"/>
      <c r="I4" s="788"/>
      <c r="J4" s="788"/>
      <c r="K4" s="788"/>
      <c r="L4" s="788"/>
      <c r="M4" s="788"/>
      <c r="N4" s="788"/>
      <c r="O4" s="788"/>
      <c r="P4" s="788"/>
    </row>
    <row r="5" spans="1:16" ht="15" customHeight="1" x14ac:dyDescent="0.25"/>
    <row r="6" spans="1:16" ht="27.2" customHeight="1" x14ac:dyDescent="0.25">
      <c r="A6" s="767" t="s">
        <v>321</v>
      </c>
      <c r="B6" s="767"/>
      <c r="C6" s="767"/>
      <c r="D6" s="767"/>
      <c r="E6" s="767"/>
      <c r="F6" s="789" t="s">
        <v>584</v>
      </c>
      <c r="G6" s="789"/>
      <c r="H6" s="789"/>
      <c r="I6" s="789"/>
      <c r="J6" s="789"/>
      <c r="K6" s="789"/>
      <c r="L6" s="789"/>
      <c r="M6" s="789"/>
      <c r="N6" s="789"/>
      <c r="O6" s="789"/>
      <c r="P6" s="789"/>
    </row>
    <row r="7" spans="1:16" ht="15" customHeight="1" x14ac:dyDescent="0.25"/>
    <row r="8" spans="1:16" ht="15" customHeight="1" x14ac:dyDescent="0.25">
      <c r="A8" s="767" t="s">
        <v>474</v>
      </c>
      <c r="B8" s="767"/>
      <c r="C8" s="767"/>
      <c r="D8" s="767"/>
      <c r="E8" s="767"/>
      <c r="F8" s="789" t="s">
        <v>581</v>
      </c>
      <c r="G8" s="789"/>
      <c r="H8" s="789"/>
      <c r="I8" s="789"/>
      <c r="J8" s="789"/>
      <c r="K8" s="789"/>
      <c r="L8" s="789"/>
      <c r="M8" s="789"/>
      <c r="N8" s="789"/>
      <c r="O8" s="789"/>
      <c r="P8" s="789"/>
    </row>
    <row r="9" spans="1:16" ht="15" customHeight="1" x14ac:dyDescent="0.25"/>
    <row r="10" spans="1:16" ht="15" customHeight="1" x14ac:dyDescent="0.25">
      <c r="A10" s="767" t="s">
        <v>475</v>
      </c>
      <c r="B10" s="767"/>
      <c r="C10" s="767"/>
      <c r="D10" s="767"/>
      <c r="E10" s="767"/>
      <c r="F10" s="789" t="s">
        <v>692</v>
      </c>
      <c r="G10" s="789"/>
      <c r="H10" s="789"/>
      <c r="I10" s="789"/>
      <c r="J10" s="789"/>
      <c r="K10" s="789"/>
      <c r="L10" s="789"/>
      <c r="M10" s="789"/>
      <c r="N10" s="789"/>
      <c r="O10" s="789"/>
      <c r="P10" s="789"/>
    </row>
    <row r="11" spans="1:16" ht="15" customHeight="1" x14ac:dyDescent="0.25"/>
    <row r="12" spans="1:16" ht="15" customHeight="1" x14ac:dyDescent="0.25">
      <c r="A12" s="767" t="s">
        <v>476</v>
      </c>
      <c r="B12" s="767"/>
      <c r="C12" s="767"/>
      <c r="D12" s="767"/>
      <c r="E12" s="767"/>
      <c r="F12" s="789" t="s">
        <v>130</v>
      </c>
      <c r="G12" s="789"/>
      <c r="H12" s="789"/>
      <c r="I12" s="789"/>
      <c r="J12" s="789"/>
      <c r="K12" s="789"/>
      <c r="L12" s="789"/>
      <c r="M12" s="789"/>
      <c r="N12" s="789"/>
      <c r="O12" s="789"/>
      <c r="P12" s="789"/>
    </row>
    <row r="13" spans="1:16" ht="15" customHeight="1" x14ac:dyDescent="0.25"/>
    <row r="14" spans="1:16" ht="27.2" customHeight="1" x14ac:dyDescent="0.25">
      <c r="A14" s="767" t="s">
        <v>561</v>
      </c>
      <c r="B14" s="767"/>
      <c r="C14" s="767"/>
      <c r="D14" s="767"/>
      <c r="E14" s="767"/>
      <c r="F14" s="767"/>
      <c r="G14" s="767"/>
      <c r="H14" s="767"/>
      <c r="I14" s="767"/>
      <c r="J14" s="767"/>
      <c r="K14" s="767"/>
      <c r="L14" s="767"/>
      <c r="M14" s="767"/>
      <c r="N14" s="767"/>
      <c r="O14" s="767"/>
      <c r="P14" s="767"/>
    </row>
    <row r="15" spans="1:16" ht="15" customHeight="1" x14ac:dyDescent="0.25"/>
    <row r="16" spans="1:16" ht="15" customHeight="1" x14ac:dyDescent="0.25">
      <c r="A16" s="767" t="s">
        <v>323</v>
      </c>
      <c r="B16" s="767"/>
      <c r="C16" s="767"/>
      <c r="D16" s="767"/>
      <c r="E16" s="767"/>
      <c r="F16" s="767"/>
      <c r="G16" s="767"/>
      <c r="H16" s="767"/>
      <c r="I16" s="767"/>
      <c r="J16" s="767"/>
      <c r="K16" s="767"/>
      <c r="L16" s="767"/>
      <c r="M16" s="767"/>
      <c r="N16" s="767"/>
      <c r="O16" s="767"/>
      <c r="P16" s="767"/>
    </row>
    <row r="17" spans="1:16" ht="15" customHeight="1" x14ac:dyDescent="0.25"/>
    <row r="18" spans="1:16" ht="15" customHeight="1" x14ac:dyDescent="0.25">
      <c r="A18" s="172" t="s">
        <v>97</v>
      </c>
      <c r="B18" s="776" t="s">
        <v>111</v>
      </c>
      <c r="C18" s="776"/>
      <c r="D18" s="776"/>
      <c r="E18" s="776"/>
      <c r="F18" s="776"/>
      <c r="G18" s="776" t="s">
        <v>155</v>
      </c>
      <c r="H18" s="776"/>
      <c r="I18" s="776"/>
      <c r="J18" s="776"/>
      <c r="K18" s="776" t="s">
        <v>156</v>
      </c>
      <c r="L18" s="776"/>
      <c r="M18" s="776"/>
      <c r="N18" s="776"/>
      <c r="O18" s="776" t="s">
        <v>157</v>
      </c>
      <c r="P18" s="776"/>
    </row>
    <row r="19" spans="1:16" ht="15" customHeight="1" x14ac:dyDescent="0.25">
      <c r="A19" s="172">
        <v>1</v>
      </c>
      <c r="B19" s="776">
        <v>2</v>
      </c>
      <c r="C19" s="776"/>
      <c r="D19" s="776"/>
      <c r="E19" s="776"/>
      <c r="F19" s="776"/>
      <c r="G19" s="776">
        <v>3</v>
      </c>
      <c r="H19" s="776"/>
      <c r="I19" s="776"/>
      <c r="J19" s="776"/>
      <c r="K19" s="776">
        <v>4</v>
      </c>
      <c r="L19" s="776"/>
      <c r="M19" s="776"/>
      <c r="N19" s="776"/>
      <c r="O19" s="776">
        <v>5</v>
      </c>
      <c r="P19" s="776"/>
    </row>
    <row r="20" spans="1:16" ht="15" customHeight="1" x14ac:dyDescent="0.25">
      <c r="A20" s="171" t="s">
        <v>5</v>
      </c>
      <c r="B20" s="764" t="s">
        <v>339</v>
      </c>
      <c r="C20" s="764"/>
      <c r="D20" s="764"/>
      <c r="E20" s="764"/>
      <c r="F20" s="764"/>
      <c r="G20" s="764" t="s">
        <v>305</v>
      </c>
      <c r="H20" s="764"/>
      <c r="I20" s="764"/>
      <c r="J20" s="764"/>
      <c r="K20" s="764"/>
      <c r="L20" s="764"/>
      <c r="M20" s="764"/>
      <c r="N20" s="764"/>
      <c r="O20" s="764"/>
      <c r="P20" s="764"/>
    </row>
    <row r="21" spans="1:16" ht="95.25" customHeight="1" x14ac:dyDescent="0.25">
      <c r="A21" s="219" t="s">
        <v>6</v>
      </c>
      <c r="B21" s="771" t="s">
        <v>562</v>
      </c>
      <c r="C21" s="772"/>
      <c r="D21" s="772"/>
      <c r="E21" s="772"/>
      <c r="F21" s="772"/>
      <c r="G21" s="772" t="s">
        <v>693</v>
      </c>
      <c r="H21" s="772"/>
      <c r="I21" s="772"/>
      <c r="J21" s="772"/>
      <c r="K21" s="772" t="s">
        <v>694</v>
      </c>
      <c r="L21" s="772"/>
      <c r="M21" s="772"/>
      <c r="N21" s="772"/>
      <c r="O21" s="773">
        <f>ROUND(3270 * 7.5 * (1 + 0.1 + 1.5), 2)</f>
        <v>63765</v>
      </c>
      <c r="P21" s="772"/>
    </row>
    <row r="22" spans="1:16" ht="15" customHeight="1" x14ac:dyDescent="0.25">
      <c r="A22" s="169"/>
      <c r="B22" s="774" t="s">
        <v>306</v>
      </c>
      <c r="C22" s="774"/>
      <c r="D22" s="774"/>
      <c r="E22" s="774"/>
      <c r="F22" s="774"/>
      <c r="G22" s="774" t="s">
        <v>129</v>
      </c>
      <c r="H22" s="774"/>
      <c r="I22" s="774"/>
      <c r="J22" s="774"/>
      <c r="K22" s="774" t="s">
        <v>129</v>
      </c>
      <c r="L22" s="774"/>
      <c r="M22" s="774"/>
      <c r="N22" s="774"/>
      <c r="O22" s="774"/>
      <c r="P22" s="774"/>
    </row>
    <row r="23" spans="1:16" ht="27.2" customHeight="1" x14ac:dyDescent="0.25">
      <c r="A23" s="170"/>
      <c r="B23" s="775" t="s">
        <v>563</v>
      </c>
      <c r="C23" s="775"/>
      <c r="D23" s="775"/>
      <c r="E23" s="775"/>
      <c r="F23" s="775"/>
      <c r="G23" s="775" t="s">
        <v>564</v>
      </c>
      <c r="H23" s="775"/>
      <c r="I23" s="775"/>
      <c r="J23" s="775"/>
      <c r="K23" s="775" t="s">
        <v>129</v>
      </c>
      <c r="L23" s="775"/>
      <c r="M23" s="775"/>
      <c r="N23" s="775"/>
      <c r="O23" s="775"/>
      <c r="P23" s="775"/>
    </row>
    <row r="24" spans="1:16" ht="27.2" customHeight="1" x14ac:dyDescent="0.25">
      <c r="A24" s="170"/>
      <c r="B24" s="775" t="s">
        <v>565</v>
      </c>
      <c r="C24" s="775"/>
      <c r="D24" s="775"/>
      <c r="E24" s="775"/>
      <c r="F24" s="775"/>
      <c r="G24" s="775" t="s">
        <v>566</v>
      </c>
      <c r="H24" s="775"/>
      <c r="I24" s="775"/>
      <c r="J24" s="775"/>
      <c r="K24" s="775" t="s">
        <v>129</v>
      </c>
      <c r="L24" s="775"/>
      <c r="M24" s="775"/>
      <c r="N24" s="775"/>
      <c r="O24" s="775"/>
      <c r="P24" s="775"/>
    </row>
    <row r="25" spans="1:16" ht="15" customHeight="1" x14ac:dyDescent="0.25">
      <c r="A25" s="171" t="s">
        <v>7</v>
      </c>
      <c r="B25" s="764" t="s">
        <v>477</v>
      </c>
      <c r="C25" s="764"/>
      <c r="D25" s="764"/>
      <c r="E25" s="764"/>
      <c r="F25" s="764"/>
      <c r="G25" s="764"/>
      <c r="H25" s="764"/>
      <c r="I25" s="764"/>
      <c r="J25" s="764"/>
      <c r="K25" s="764" t="s">
        <v>129</v>
      </c>
      <c r="L25" s="764"/>
      <c r="M25" s="764"/>
      <c r="N25" s="764"/>
      <c r="O25" s="765">
        <f>ROUND($O$21,2)</f>
        <v>63765</v>
      </c>
      <c r="P25" s="764"/>
    </row>
    <row r="26" spans="1:16" ht="15" customHeight="1" x14ac:dyDescent="0.25">
      <c r="A26" s="171" t="s">
        <v>38</v>
      </c>
      <c r="B26" s="764" t="s">
        <v>478</v>
      </c>
      <c r="C26" s="764"/>
      <c r="D26" s="764"/>
      <c r="E26" s="764"/>
      <c r="F26" s="764"/>
      <c r="G26" s="764"/>
      <c r="H26" s="764"/>
      <c r="I26" s="764"/>
      <c r="J26" s="764"/>
      <c r="K26" s="764" t="s">
        <v>129</v>
      </c>
      <c r="L26" s="764"/>
      <c r="M26" s="764"/>
      <c r="N26" s="764"/>
      <c r="O26" s="765">
        <f>ROUND(($O$25),2)</f>
        <v>63765</v>
      </c>
      <c r="P26" s="764"/>
    </row>
    <row r="27" spans="1:16" ht="54.4" customHeight="1" x14ac:dyDescent="0.25">
      <c r="A27" s="219" t="s">
        <v>137</v>
      </c>
      <c r="B27" s="771" t="s">
        <v>567</v>
      </c>
      <c r="C27" s="772"/>
      <c r="D27" s="772"/>
      <c r="E27" s="772"/>
      <c r="F27" s="772"/>
      <c r="G27" s="772" t="s">
        <v>695</v>
      </c>
      <c r="H27" s="772"/>
      <c r="I27" s="772"/>
      <c r="J27" s="772"/>
      <c r="K27" s="772" t="s">
        <v>696</v>
      </c>
      <c r="L27" s="772"/>
      <c r="M27" s="772"/>
      <c r="N27" s="772"/>
      <c r="O27" s="773">
        <f>ROUND(1911 * 7.5 * 1.35 * 0.5, 2)</f>
        <v>9674.44</v>
      </c>
      <c r="P27" s="772"/>
    </row>
    <row r="28" spans="1:16" ht="15" customHeight="1" x14ac:dyDescent="0.25">
      <c r="A28" s="169"/>
      <c r="B28" s="774" t="s">
        <v>306</v>
      </c>
      <c r="C28" s="774"/>
      <c r="D28" s="774"/>
      <c r="E28" s="774"/>
      <c r="F28" s="774"/>
      <c r="G28" s="774" t="s">
        <v>129</v>
      </c>
      <c r="H28" s="774"/>
      <c r="I28" s="774"/>
      <c r="J28" s="774"/>
      <c r="K28" s="774" t="s">
        <v>129</v>
      </c>
      <c r="L28" s="774"/>
      <c r="M28" s="774"/>
      <c r="N28" s="774"/>
      <c r="O28" s="774"/>
      <c r="P28" s="774"/>
    </row>
    <row r="29" spans="1:16" ht="122.45" customHeight="1" x14ac:dyDescent="0.25">
      <c r="A29" s="170"/>
      <c r="B29" s="775" t="s">
        <v>568</v>
      </c>
      <c r="C29" s="775"/>
      <c r="D29" s="775"/>
      <c r="E29" s="775"/>
      <c r="F29" s="775"/>
      <c r="G29" s="775" t="s">
        <v>307</v>
      </c>
      <c r="H29" s="775"/>
      <c r="I29" s="775"/>
      <c r="J29" s="775"/>
      <c r="K29" s="775" t="s">
        <v>129</v>
      </c>
      <c r="L29" s="775"/>
      <c r="M29" s="775"/>
      <c r="N29" s="775"/>
      <c r="O29" s="775"/>
      <c r="P29" s="775"/>
    </row>
    <row r="30" spans="1:16" ht="40.9" customHeight="1" x14ac:dyDescent="0.25">
      <c r="A30" s="170"/>
      <c r="B30" s="775" t="s">
        <v>582</v>
      </c>
      <c r="C30" s="775"/>
      <c r="D30" s="775"/>
      <c r="E30" s="775"/>
      <c r="F30" s="775"/>
      <c r="G30" s="775" t="s">
        <v>583</v>
      </c>
      <c r="H30" s="775"/>
      <c r="I30" s="775"/>
      <c r="J30" s="775"/>
      <c r="K30" s="775" t="s">
        <v>129</v>
      </c>
      <c r="L30" s="775"/>
      <c r="M30" s="775"/>
      <c r="N30" s="775"/>
      <c r="O30" s="775"/>
      <c r="P30" s="775"/>
    </row>
    <row r="31" spans="1:16" ht="15" customHeight="1" x14ac:dyDescent="0.25">
      <c r="A31" s="171" t="s">
        <v>138</v>
      </c>
      <c r="B31" s="764" t="s">
        <v>339</v>
      </c>
      <c r="C31" s="764"/>
      <c r="D31" s="764"/>
      <c r="E31" s="764"/>
      <c r="F31" s="764"/>
      <c r="G31" s="764" t="s">
        <v>302</v>
      </c>
      <c r="H31" s="764"/>
      <c r="I31" s="764"/>
      <c r="J31" s="764"/>
      <c r="K31" s="764"/>
      <c r="L31" s="764"/>
      <c r="M31" s="764"/>
      <c r="N31" s="764"/>
      <c r="O31" s="764"/>
      <c r="P31" s="764"/>
    </row>
    <row r="32" spans="1:16" ht="68.099999999999994" customHeight="1" x14ac:dyDescent="0.25">
      <c r="A32" s="171" t="s">
        <v>17</v>
      </c>
      <c r="B32" s="862" t="s">
        <v>551</v>
      </c>
      <c r="C32" s="862"/>
      <c r="D32" s="862"/>
      <c r="E32" s="862"/>
      <c r="F32" s="862"/>
      <c r="G32" s="862" t="s">
        <v>552</v>
      </c>
      <c r="H32" s="862"/>
      <c r="I32" s="862"/>
      <c r="J32" s="862"/>
      <c r="K32" s="862" t="s">
        <v>569</v>
      </c>
      <c r="L32" s="862"/>
      <c r="M32" s="862"/>
      <c r="N32" s="862"/>
      <c r="O32" s="863">
        <f>ROUND(($O$26) * 0.25,2)</f>
        <v>15941.25</v>
      </c>
      <c r="P32" s="862"/>
    </row>
    <row r="33" spans="1:16" ht="68.099999999999994" customHeight="1" x14ac:dyDescent="0.25">
      <c r="A33" s="171" t="s">
        <v>93</v>
      </c>
      <c r="B33" s="862" t="s">
        <v>570</v>
      </c>
      <c r="C33" s="862"/>
      <c r="D33" s="862"/>
      <c r="E33" s="862"/>
      <c r="F33" s="862"/>
      <c r="G33" s="862" t="s">
        <v>553</v>
      </c>
      <c r="H33" s="862"/>
      <c r="I33" s="862"/>
      <c r="J33" s="862"/>
      <c r="K33" s="862" t="s">
        <v>571</v>
      </c>
      <c r="L33" s="862"/>
      <c r="M33" s="862"/>
      <c r="N33" s="862"/>
      <c r="O33" s="863">
        <f>ROUND(($O$26+$O$32) * (10/100),2)</f>
        <v>7970.63</v>
      </c>
      <c r="P33" s="862"/>
    </row>
    <row r="34" spans="1:16" ht="68.099999999999994" customHeight="1" x14ac:dyDescent="0.25">
      <c r="A34" s="171" t="s">
        <v>94</v>
      </c>
      <c r="B34" s="862" t="s">
        <v>554</v>
      </c>
      <c r="C34" s="862"/>
      <c r="D34" s="862"/>
      <c r="E34" s="862"/>
      <c r="F34" s="862"/>
      <c r="G34" s="862" t="s">
        <v>555</v>
      </c>
      <c r="H34" s="862"/>
      <c r="I34" s="862"/>
      <c r="J34" s="862"/>
      <c r="K34" s="862" t="s">
        <v>572</v>
      </c>
      <c r="L34" s="862"/>
      <c r="M34" s="862"/>
      <c r="N34" s="862"/>
      <c r="O34" s="863">
        <f>ROUND(($O$26+SUM($O$32:$O$33)) * (19.6/100),2)</f>
        <v>17184.669999999998</v>
      </c>
      <c r="P34" s="862"/>
    </row>
    <row r="35" spans="1:16" ht="68.099999999999994" customHeight="1" x14ac:dyDescent="0.25">
      <c r="A35" s="171" t="s">
        <v>95</v>
      </c>
      <c r="B35" s="862" t="s">
        <v>573</v>
      </c>
      <c r="C35" s="862"/>
      <c r="D35" s="862"/>
      <c r="E35" s="862"/>
      <c r="F35" s="862"/>
      <c r="G35" s="862" t="s">
        <v>556</v>
      </c>
      <c r="H35" s="862"/>
      <c r="I35" s="862"/>
      <c r="J35" s="862"/>
      <c r="K35" s="862" t="s">
        <v>574</v>
      </c>
      <c r="L35" s="862"/>
      <c r="M35" s="862"/>
      <c r="N35" s="862"/>
      <c r="O35" s="863">
        <f>ROUND(($O$26+SUM($O$32:$O$33)) * (1.5 * 6/100),2)</f>
        <v>7890.92</v>
      </c>
      <c r="P35" s="862"/>
    </row>
    <row r="36" spans="1:16" ht="15" customHeight="1" x14ac:dyDescent="0.25">
      <c r="A36" s="171" t="s">
        <v>162</v>
      </c>
      <c r="B36" s="764" t="s">
        <v>486</v>
      </c>
      <c r="C36" s="764"/>
      <c r="D36" s="764"/>
      <c r="E36" s="764"/>
      <c r="F36" s="764"/>
      <c r="G36" s="764"/>
      <c r="H36" s="764"/>
      <c r="I36" s="764"/>
      <c r="J36" s="764"/>
      <c r="K36" s="764" t="s">
        <v>129</v>
      </c>
      <c r="L36" s="764"/>
      <c r="M36" s="764"/>
      <c r="N36" s="764"/>
      <c r="O36" s="765">
        <f>ROUND((SUM($O$32:$O$35)),2)</f>
        <v>48987.47</v>
      </c>
      <c r="P36" s="764"/>
    </row>
    <row r="37" spans="1:16" ht="15" customHeight="1" x14ac:dyDescent="0.25">
      <c r="A37" s="171" t="s">
        <v>12</v>
      </c>
      <c r="B37" s="764" t="s">
        <v>362</v>
      </c>
      <c r="C37" s="764"/>
      <c r="D37" s="764"/>
      <c r="E37" s="764"/>
      <c r="F37" s="764"/>
      <c r="G37" s="764"/>
      <c r="H37" s="764"/>
      <c r="I37" s="764"/>
      <c r="J37" s="764"/>
      <c r="K37" s="764" t="s">
        <v>129</v>
      </c>
      <c r="L37" s="764"/>
      <c r="M37" s="764"/>
      <c r="N37" s="764"/>
      <c r="O37" s="765">
        <f>ROUND(SUM($O$26:$O$27)+$O$36,2)</f>
        <v>122426.91</v>
      </c>
      <c r="P37" s="764"/>
    </row>
    <row r="38" spans="1:16" ht="15" customHeight="1" x14ac:dyDescent="0.25">
      <c r="A38" s="171" t="s">
        <v>13</v>
      </c>
      <c r="B38" s="862" t="s">
        <v>557</v>
      </c>
      <c r="C38" s="862"/>
      <c r="D38" s="862"/>
      <c r="E38" s="862"/>
      <c r="F38" s="862"/>
      <c r="G38" s="862" t="s">
        <v>129</v>
      </c>
      <c r="H38" s="862"/>
      <c r="I38" s="862"/>
      <c r="J38" s="862"/>
      <c r="K38" s="862" t="s">
        <v>558</v>
      </c>
      <c r="L38" s="862"/>
      <c r="M38" s="862"/>
      <c r="N38" s="862"/>
      <c r="O38" s="863">
        <f>ROUND($O$37,2)</f>
        <v>122426.91</v>
      </c>
      <c r="P38" s="862"/>
    </row>
    <row r="39" spans="1:16" ht="40.9" customHeight="1" x14ac:dyDescent="0.25">
      <c r="A39" s="171" t="s">
        <v>15</v>
      </c>
      <c r="B39" s="862" t="s">
        <v>308</v>
      </c>
      <c r="C39" s="862"/>
      <c r="D39" s="862"/>
      <c r="E39" s="862"/>
      <c r="F39" s="862"/>
      <c r="G39" s="862" t="s">
        <v>489</v>
      </c>
      <c r="H39" s="862"/>
      <c r="I39" s="862"/>
      <c r="J39" s="862"/>
      <c r="K39" s="862" t="s">
        <v>575</v>
      </c>
      <c r="L39" s="862"/>
      <c r="M39" s="862"/>
      <c r="N39" s="862"/>
      <c r="O39" s="863">
        <f>ROUND(($O$38) * 7.07,2)</f>
        <v>865558.25</v>
      </c>
      <c r="P39" s="862"/>
    </row>
    <row r="40" spans="1:16" ht="15" customHeight="1" x14ac:dyDescent="0.25">
      <c r="A40" s="171" t="s">
        <v>139</v>
      </c>
      <c r="B40" s="764" t="s">
        <v>363</v>
      </c>
      <c r="C40" s="764"/>
      <c r="D40" s="764"/>
      <c r="E40" s="764"/>
      <c r="F40" s="764"/>
      <c r="G40" s="764"/>
      <c r="H40" s="764"/>
      <c r="I40" s="764"/>
      <c r="J40" s="764"/>
      <c r="K40" s="764" t="s">
        <v>129</v>
      </c>
      <c r="L40" s="764"/>
      <c r="M40" s="764"/>
      <c r="N40" s="764"/>
      <c r="O40" s="765">
        <f>ROUND(($O$39),2)</f>
        <v>865558.25</v>
      </c>
      <c r="P40" s="764"/>
    </row>
    <row r="41" spans="1:16" ht="15" customHeight="1" x14ac:dyDescent="0.25"/>
    <row r="42" spans="1:16" ht="30" customHeight="1" x14ac:dyDescent="0.25">
      <c r="A42" s="767" t="s">
        <v>364</v>
      </c>
      <c r="B42" s="767"/>
      <c r="C42" s="767"/>
      <c r="D42" s="767"/>
      <c r="E42" s="767"/>
      <c r="F42" s="768">
        <f>$O$40</f>
        <v>865558.25</v>
      </c>
      <c r="G42" s="768"/>
      <c r="H42" s="768"/>
      <c r="I42" s="768"/>
      <c r="J42" s="768"/>
      <c r="K42" s="768"/>
      <c r="L42" s="768"/>
      <c r="M42" s="768"/>
      <c r="N42" s="768"/>
      <c r="O42" s="768"/>
      <c r="P42" s="768"/>
    </row>
    <row r="43" spans="1:16" ht="15" customHeight="1" x14ac:dyDescent="0.25"/>
    <row r="44" spans="1:16" ht="15" customHeight="1" x14ac:dyDescent="0.25"/>
    <row r="45" spans="1:16" ht="15" customHeight="1" x14ac:dyDescent="0.25"/>
    <row r="46" spans="1:16" ht="15" customHeight="1" x14ac:dyDescent="0.25"/>
    <row r="47" spans="1:16" ht="15" customHeight="1" x14ac:dyDescent="0.25"/>
    <row r="48" spans="1:16" ht="15" customHeight="1" x14ac:dyDescent="0.25"/>
    <row r="49" ht="15" customHeight="1" x14ac:dyDescent="0.25"/>
    <row r="50" ht="15" customHeight="1" x14ac:dyDescent="0.25"/>
  </sheetData>
  <mergeCells count="108">
    <mergeCell ref="A1:D1"/>
    <mergeCell ref="E1:P1"/>
    <mergeCell ref="A3:P3"/>
    <mergeCell ref="A4:P4"/>
    <mergeCell ref="A6:E6"/>
    <mergeCell ref="F6:P6"/>
    <mergeCell ref="A14:P14"/>
    <mergeCell ref="A16:P16"/>
    <mergeCell ref="B18:F18"/>
    <mergeCell ref="G18:J18"/>
    <mergeCell ref="K18:N18"/>
    <mergeCell ref="O18:P18"/>
    <mergeCell ref="A8:E8"/>
    <mergeCell ref="F8:P8"/>
    <mergeCell ref="A10:E10"/>
    <mergeCell ref="F10:P10"/>
    <mergeCell ref="A12:E12"/>
    <mergeCell ref="F12:P12"/>
    <mergeCell ref="B21:F21"/>
    <mergeCell ref="G21:J21"/>
    <mergeCell ref="K21:N21"/>
    <mergeCell ref="O21:P21"/>
    <mergeCell ref="B22:F22"/>
    <mergeCell ref="G22:J22"/>
    <mergeCell ref="K22:N22"/>
    <mergeCell ref="O22:P22"/>
    <mergeCell ref="B19:F19"/>
    <mergeCell ref="G19:J19"/>
    <mergeCell ref="K19:N19"/>
    <mergeCell ref="O19:P19"/>
    <mergeCell ref="B20:F20"/>
    <mergeCell ref="G20:J20"/>
    <mergeCell ref="K20:N20"/>
    <mergeCell ref="O20:P20"/>
    <mergeCell ref="B25:F25"/>
    <mergeCell ref="G25:J25"/>
    <mergeCell ref="K25:N25"/>
    <mergeCell ref="O25:P25"/>
    <mergeCell ref="B26:F26"/>
    <mergeCell ref="G26:J26"/>
    <mergeCell ref="K26:N26"/>
    <mergeCell ref="O26:P26"/>
    <mergeCell ref="B23:F23"/>
    <mergeCell ref="G23:J23"/>
    <mergeCell ref="K23:N23"/>
    <mergeCell ref="O23:P23"/>
    <mergeCell ref="B24:F24"/>
    <mergeCell ref="G24:J24"/>
    <mergeCell ref="K24:N24"/>
    <mergeCell ref="O24:P24"/>
    <mergeCell ref="B29:F29"/>
    <mergeCell ref="G29:J29"/>
    <mergeCell ref="K29:N29"/>
    <mergeCell ref="O29:P29"/>
    <mergeCell ref="B30:F30"/>
    <mergeCell ref="G30:J30"/>
    <mergeCell ref="K30:N30"/>
    <mergeCell ref="O30:P30"/>
    <mergeCell ref="B27:F27"/>
    <mergeCell ref="G27:J27"/>
    <mergeCell ref="K27:N27"/>
    <mergeCell ref="O27:P27"/>
    <mergeCell ref="B28:F28"/>
    <mergeCell ref="G28:J28"/>
    <mergeCell ref="K28:N28"/>
    <mergeCell ref="O28:P28"/>
    <mergeCell ref="B33:F33"/>
    <mergeCell ref="G33:J33"/>
    <mergeCell ref="K33:N33"/>
    <mergeCell ref="O33:P33"/>
    <mergeCell ref="B34:F34"/>
    <mergeCell ref="G34:J34"/>
    <mergeCell ref="K34:N34"/>
    <mergeCell ref="O34:P34"/>
    <mergeCell ref="B31:F31"/>
    <mergeCell ref="G31:J31"/>
    <mergeCell ref="K31:N31"/>
    <mergeCell ref="O31:P31"/>
    <mergeCell ref="B32:F32"/>
    <mergeCell ref="G32:J32"/>
    <mergeCell ref="K32:N32"/>
    <mergeCell ref="O32:P32"/>
    <mergeCell ref="B37:F37"/>
    <mergeCell ref="G37:J37"/>
    <mergeCell ref="K37:N37"/>
    <mergeCell ref="O37:P37"/>
    <mergeCell ref="B38:F38"/>
    <mergeCell ref="G38:J38"/>
    <mergeCell ref="K38:N38"/>
    <mergeCell ref="O38:P38"/>
    <mergeCell ref="B35:F35"/>
    <mergeCell ref="G35:J35"/>
    <mergeCell ref="K35:N35"/>
    <mergeCell ref="O35:P35"/>
    <mergeCell ref="B36:F36"/>
    <mergeCell ref="G36:J36"/>
    <mergeCell ref="K36:N36"/>
    <mergeCell ref="O36:P36"/>
    <mergeCell ref="A42:E42"/>
    <mergeCell ref="F42:P42"/>
    <mergeCell ref="B39:F39"/>
    <mergeCell ref="G39:J39"/>
    <mergeCell ref="K39:N39"/>
    <mergeCell ref="O39:P39"/>
    <mergeCell ref="B40:F40"/>
    <mergeCell ref="G40:J40"/>
    <mergeCell ref="K40:N40"/>
    <mergeCell ref="O40:P40"/>
  </mergeCells>
  <pageMargins left="0.4" right="0.4" top="0.75" bottom="0.75" header="0.3" footer="0.3"/>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1091"/>
  <sheetViews>
    <sheetView showRuler="0" topLeftCell="A1074" workbookViewId="0">
      <selection activeCell="V1110" sqref="V1110"/>
    </sheetView>
  </sheetViews>
  <sheetFormatPr defaultRowHeight="15" x14ac:dyDescent="0.25"/>
  <cols>
    <col min="1" max="1" width="6.42578125" style="671" customWidth="1"/>
    <col min="2" max="50" width="8" style="671" customWidth="1"/>
    <col min="51" max="16384" width="9.140625" style="165"/>
  </cols>
  <sheetData>
    <row r="1" spans="1:16" ht="27.2" customHeight="1" x14ac:dyDescent="0.25">
      <c r="A1" s="777" t="s">
        <v>320</v>
      </c>
      <c r="B1" s="777"/>
      <c r="C1" s="777"/>
      <c r="D1" s="777"/>
      <c r="E1" s="778" t="s">
        <v>2180</v>
      </c>
      <c r="F1" s="778"/>
      <c r="G1" s="778"/>
      <c r="H1" s="778"/>
      <c r="I1" s="778"/>
      <c r="J1" s="778"/>
      <c r="K1" s="778"/>
      <c r="L1" s="778"/>
      <c r="M1" s="778"/>
      <c r="N1" s="778"/>
      <c r="O1" s="778"/>
      <c r="P1" s="778"/>
    </row>
    <row r="2" spans="1:16" ht="15" customHeight="1" x14ac:dyDescent="0.25"/>
    <row r="3" spans="1:16" ht="15" customHeight="1" x14ac:dyDescent="0.25">
      <c r="A3" s="787" t="s">
        <v>2042</v>
      </c>
      <c r="B3" s="787"/>
      <c r="C3" s="787"/>
      <c r="D3" s="787"/>
      <c r="E3" s="787"/>
      <c r="F3" s="787"/>
      <c r="G3" s="787"/>
      <c r="H3" s="787"/>
      <c r="I3" s="787"/>
      <c r="J3" s="787"/>
      <c r="K3" s="787"/>
      <c r="L3" s="787"/>
      <c r="M3" s="787"/>
      <c r="N3" s="787"/>
      <c r="O3" s="787"/>
      <c r="P3" s="787"/>
    </row>
    <row r="4" spans="1:16" ht="15" customHeight="1" x14ac:dyDescent="0.25">
      <c r="A4" s="788" t="s">
        <v>23</v>
      </c>
      <c r="B4" s="788"/>
      <c r="C4" s="788"/>
      <c r="D4" s="788"/>
      <c r="E4" s="788"/>
      <c r="F4" s="788"/>
      <c r="G4" s="788"/>
      <c r="H4" s="788"/>
      <c r="I4" s="788"/>
      <c r="J4" s="788"/>
      <c r="K4" s="788"/>
      <c r="L4" s="788"/>
      <c r="M4" s="788"/>
      <c r="N4" s="788"/>
      <c r="O4" s="788"/>
      <c r="P4" s="788"/>
    </row>
    <row r="5" spans="1:16" ht="15" customHeight="1" x14ac:dyDescent="0.25"/>
    <row r="6" spans="1:16" ht="27.2" customHeight="1" x14ac:dyDescent="0.25">
      <c r="A6" s="767" t="s">
        <v>321</v>
      </c>
      <c r="B6" s="767"/>
      <c r="C6" s="767"/>
      <c r="D6" s="767"/>
      <c r="E6" s="767"/>
      <c r="F6" s="789" t="s">
        <v>584</v>
      </c>
      <c r="G6" s="789"/>
      <c r="H6" s="789"/>
      <c r="I6" s="789"/>
      <c r="J6" s="789"/>
      <c r="K6" s="789"/>
      <c r="L6" s="789"/>
      <c r="M6" s="789"/>
      <c r="N6" s="789"/>
      <c r="O6" s="789"/>
      <c r="P6" s="789"/>
    </row>
    <row r="7" spans="1:16" ht="15" customHeight="1" x14ac:dyDescent="0.25"/>
    <row r="8" spans="1:16" ht="54.4" customHeight="1" x14ac:dyDescent="0.25">
      <c r="A8" s="767" t="s">
        <v>322</v>
      </c>
      <c r="B8" s="767"/>
      <c r="C8" s="767"/>
      <c r="D8" s="767"/>
      <c r="E8" s="767"/>
      <c r="F8" s="789" t="s">
        <v>33</v>
      </c>
      <c r="G8" s="789"/>
      <c r="H8" s="789"/>
      <c r="I8" s="789"/>
      <c r="J8" s="789"/>
      <c r="K8" s="789"/>
      <c r="L8" s="789"/>
      <c r="M8" s="789"/>
      <c r="N8" s="789"/>
      <c r="O8" s="789"/>
      <c r="P8" s="789"/>
    </row>
    <row r="9" spans="1:16" ht="15" customHeight="1" x14ac:dyDescent="0.25"/>
    <row r="10" spans="1:16" ht="27.2" customHeight="1" x14ac:dyDescent="0.25">
      <c r="A10" s="767" t="s">
        <v>50</v>
      </c>
      <c r="B10" s="767"/>
      <c r="C10" s="767"/>
      <c r="D10" s="767"/>
      <c r="E10" s="767"/>
      <c r="F10" s="789" t="s">
        <v>130</v>
      </c>
      <c r="G10" s="789"/>
      <c r="H10" s="789"/>
      <c r="I10" s="789"/>
      <c r="J10" s="789"/>
      <c r="K10" s="789"/>
      <c r="L10" s="789"/>
      <c r="M10" s="789"/>
      <c r="N10" s="789"/>
      <c r="O10" s="789"/>
      <c r="P10" s="789"/>
    </row>
    <row r="11" spans="1:16" ht="15" customHeight="1" x14ac:dyDescent="0.25"/>
    <row r="12" spans="1:16" ht="15" customHeight="1" x14ac:dyDescent="0.25">
      <c r="A12" s="767" t="s">
        <v>154</v>
      </c>
      <c r="B12" s="767"/>
      <c r="C12" s="767"/>
      <c r="D12" s="767"/>
      <c r="E12" s="767"/>
      <c r="F12" s="789" t="s">
        <v>692</v>
      </c>
      <c r="G12" s="789"/>
      <c r="H12" s="789"/>
      <c r="I12" s="789"/>
      <c r="J12" s="789"/>
      <c r="K12" s="789"/>
      <c r="L12" s="789"/>
      <c r="M12" s="789"/>
      <c r="N12" s="789"/>
      <c r="O12" s="789"/>
      <c r="P12" s="789"/>
    </row>
    <row r="13" spans="1:16" ht="15" customHeight="1" x14ac:dyDescent="0.25"/>
    <row r="14" spans="1:16" ht="15" customHeight="1" x14ac:dyDescent="0.25">
      <c r="A14" s="767" t="s">
        <v>323</v>
      </c>
      <c r="B14" s="767"/>
      <c r="C14" s="767"/>
      <c r="D14" s="767"/>
      <c r="E14" s="767"/>
      <c r="F14" s="767"/>
      <c r="G14" s="767"/>
      <c r="H14" s="767"/>
      <c r="I14" s="767"/>
      <c r="J14" s="767"/>
      <c r="K14" s="767"/>
      <c r="L14" s="767"/>
      <c r="M14" s="767"/>
      <c r="N14" s="767"/>
      <c r="O14" s="767"/>
      <c r="P14" s="767"/>
    </row>
    <row r="15" spans="1:16" ht="15" customHeight="1" x14ac:dyDescent="0.25"/>
    <row r="16" spans="1:16" ht="40.9" customHeight="1" x14ac:dyDescent="0.25">
      <c r="A16" s="672" t="s">
        <v>97</v>
      </c>
      <c r="B16" s="784" t="s">
        <v>324</v>
      </c>
      <c r="C16" s="784"/>
      <c r="D16" s="784"/>
      <c r="E16" s="784"/>
      <c r="F16" s="784" t="s">
        <v>198</v>
      </c>
      <c r="G16" s="784"/>
      <c r="H16" s="784"/>
      <c r="I16" s="784"/>
      <c r="J16" s="784" t="s">
        <v>156</v>
      </c>
      <c r="K16" s="784"/>
      <c r="L16" s="784"/>
      <c r="M16" s="784" t="s">
        <v>157</v>
      </c>
      <c r="N16" s="784"/>
      <c r="O16" s="784" t="s">
        <v>498</v>
      </c>
      <c r="P16" s="784"/>
    </row>
    <row r="17" spans="1:16" ht="15" customHeight="1" x14ac:dyDescent="0.25">
      <c r="A17" s="672">
        <v>1</v>
      </c>
      <c r="B17" s="784">
        <v>2</v>
      </c>
      <c r="C17" s="784"/>
      <c r="D17" s="784"/>
      <c r="E17" s="784"/>
      <c r="F17" s="784">
        <v>3</v>
      </c>
      <c r="G17" s="784"/>
      <c r="H17" s="784"/>
      <c r="I17" s="784"/>
      <c r="J17" s="784">
        <v>4</v>
      </c>
      <c r="K17" s="784"/>
      <c r="L17" s="784"/>
      <c r="M17" s="784">
        <v>5</v>
      </c>
      <c r="N17" s="784"/>
      <c r="O17" s="784">
        <v>6</v>
      </c>
      <c r="P17" s="784"/>
    </row>
    <row r="18" spans="1:16" ht="40.9" customHeight="1" x14ac:dyDescent="0.25">
      <c r="A18" s="673" t="s">
        <v>5</v>
      </c>
      <c r="B18" s="780" t="s">
        <v>339</v>
      </c>
      <c r="C18" s="780"/>
      <c r="D18" s="780"/>
      <c r="E18" s="780"/>
      <c r="F18" s="780" t="s">
        <v>1016</v>
      </c>
      <c r="G18" s="780"/>
      <c r="H18" s="780"/>
      <c r="I18" s="780"/>
      <c r="J18" s="780"/>
      <c r="K18" s="780"/>
      <c r="L18" s="780"/>
      <c r="M18" s="780"/>
      <c r="N18" s="780"/>
      <c r="O18" s="780"/>
      <c r="P18" s="780"/>
    </row>
    <row r="19" spans="1:16" ht="122.45" customHeight="1" x14ac:dyDescent="0.25">
      <c r="A19" s="674" t="s">
        <v>6</v>
      </c>
      <c r="B19" s="781" t="s">
        <v>1025</v>
      </c>
      <c r="C19" s="782"/>
      <c r="D19" s="782"/>
      <c r="E19" s="782"/>
      <c r="F19" s="782" t="s">
        <v>1026</v>
      </c>
      <c r="G19" s="782"/>
      <c r="H19" s="782"/>
      <c r="I19" s="782"/>
      <c r="J19" s="782" t="s">
        <v>2926</v>
      </c>
      <c r="K19" s="782"/>
      <c r="L19" s="782"/>
      <c r="M19" s="866">
        <f>ROUND((741700 + 6188 * (0.4 * 600 + 0.6 * 2200)) * 1 * 1.53 * 0.4 * 0.2 * 1.24574, 0)</f>
        <v>1585012</v>
      </c>
      <c r="N19" s="782"/>
      <c r="O19" s="782" t="s">
        <v>1027</v>
      </c>
      <c r="P19" s="782"/>
    </row>
    <row r="20" spans="1:16" ht="15" customHeight="1" x14ac:dyDescent="0.25">
      <c r="A20" s="676"/>
      <c r="B20" s="864" t="s">
        <v>306</v>
      </c>
      <c r="C20" s="864"/>
      <c r="D20" s="864"/>
      <c r="E20" s="864"/>
      <c r="F20" s="864" t="s">
        <v>129</v>
      </c>
      <c r="G20" s="864"/>
      <c r="H20" s="864"/>
      <c r="I20" s="864"/>
      <c r="J20" s="864" t="s">
        <v>129</v>
      </c>
      <c r="K20" s="864"/>
      <c r="L20" s="864"/>
      <c r="M20" s="864"/>
      <c r="N20" s="864"/>
      <c r="O20" s="864"/>
      <c r="P20" s="864"/>
    </row>
    <row r="21" spans="1:16" ht="15" customHeight="1" x14ac:dyDescent="0.25">
      <c r="A21" s="675"/>
      <c r="B21" s="865" t="s">
        <v>325</v>
      </c>
      <c r="C21" s="865"/>
      <c r="D21" s="865"/>
      <c r="E21" s="865"/>
      <c r="F21" s="865" t="s">
        <v>326</v>
      </c>
      <c r="G21" s="865"/>
      <c r="H21" s="865"/>
      <c r="I21" s="865"/>
      <c r="J21" s="865" t="s">
        <v>129</v>
      </c>
      <c r="K21" s="865"/>
      <c r="L21" s="865"/>
      <c r="M21" s="865"/>
      <c r="N21" s="865"/>
      <c r="O21" s="865"/>
      <c r="P21" s="865"/>
    </row>
    <row r="22" spans="1:16" ht="40.9" customHeight="1" x14ac:dyDescent="0.25">
      <c r="A22" s="675"/>
      <c r="B22" s="865" t="s">
        <v>336</v>
      </c>
      <c r="C22" s="865"/>
      <c r="D22" s="865"/>
      <c r="E22" s="865"/>
      <c r="F22" s="865" t="s">
        <v>337</v>
      </c>
      <c r="G22" s="865"/>
      <c r="H22" s="865"/>
      <c r="I22" s="865"/>
      <c r="J22" s="865" t="s">
        <v>129</v>
      </c>
      <c r="K22" s="865"/>
      <c r="L22" s="865"/>
      <c r="M22" s="865"/>
      <c r="N22" s="865"/>
      <c r="O22" s="865"/>
      <c r="P22" s="865"/>
    </row>
    <row r="23" spans="1:16" ht="95.25" customHeight="1" x14ac:dyDescent="0.25">
      <c r="A23" s="675"/>
      <c r="B23" s="865" t="s">
        <v>1764</v>
      </c>
      <c r="C23" s="865"/>
      <c r="D23" s="865"/>
      <c r="E23" s="865"/>
      <c r="F23" s="865" t="s">
        <v>1765</v>
      </c>
      <c r="G23" s="865"/>
      <c r="H23" s="865"/>
      <c r="I23" s="865"/>
      <c r="J23" s="865" t="s">
        <v>129</v>
      </c>
      <c r="K23" s="865"/>
      <c r="L23" s="865"/>
      <c r="M23" s="865"/>
      <c r="N23" s="865"/>
      <c r="O23" s="865"/>
      <c r="P23" s="865"/>
    </row>
    <row r="24" spans="1:16" ht="149.65" customHeight="1" x14ac:dyDescent="0.25">
      <c r="A24" s="675"/>
      <c r="B24" s="865" t="s">
        <v>329</v>
      </c>
      <c r="C24" s="865"/>
      <c r="D24" s="865"/>
      <c r="E24" s="865"/>
      <c r="F24" s="865" t="s">
        <v>2925</v>
      </c>
      <c r="G24" s="865"/>
      <c r="H24" s="865"/>
      <c r="I24" s="865"/>
      <c r="J24" s="865" t="s">
        <v>129</v>
      </c>
      <c r="K24" s="865"/>
      <c r="L24" s="865"/>
      <c r="M24" s="865"/>
      <c r="N24" s="865"/>
      <c r="O24" s="865"/>
      <c r="P24" s="865"/>
    </row>
    <row r="25" spans="1:16" ht="15" customHeight="1" x14ac:dyDescent="0.25">
      <c r="A25" s="676"/>
      <c r="B25" s="864" t="s">
        <v>330</v>
      </c>
      <c r="C25" s="864"/>
      <c r="D25" s="864"/>
      <c r="E25" s="864"/>
      <c r="F25" s="864" t="s">
        <v>129</v>
      </c>
      <c r="G25" s="864"/>
      <c r="H25" s="864"/>
      <c r="I25" s="864"/>
      <c r="J25" s="864" t="s">
        <v>129</v>
      </c>
      <c r="K25" s="864"/>
      <c r="L25" s="864"/>
      <c r="M25" s="864"/>
      <c r="N25" s="864"/>
      <c r="O25" s="864"/>
      <c r="P25" s="864"/>
    </row>
    <row r="26" spans="1:16" ht="15" customHeight="1" x14ac:dyDescent="0.25">
      <c r="A26" s="675"/>
      <c r="B26" s="865" t="s">
        <v>1028</v>
      </c>
      <c r="C26" s="865"/>
      <c r="D26" s="865"/>
      <c r="E26" s="865"/>
      <c r="F26" s="865" t="s">
        <v>2924</v>
      </c>
      <c r="G26" s="865"/>
      <c r="H26" s="865"/>
      <c r="I26" s="865"/>
      <c r="J26" s="865" t="s">
        <v>129</v>
      </c>
      <c r="K26" s="865"/>
      <c r="L26" s="865"/>
      <c r="M26" s="865"/>
      <c r="N26" s="865"/>
      <c r="O26" s="865"/>
      <c r="P26" s="865"/>
    </row>
    <row r="27" spans="1:16" ht="27.2" customHeight="1" x14ac:dyDescent="0.25">
      <c r="A27" s="675"/>
      <c r="B27" s="865" t="s">
        <v>1029</v>
      </c>
      <c r="C27" s="865"/>
      <c r="D27" s="865"/>
      <c r="E27" s="865"/>
      <c r="F27" s="865" t="s">
        <v>2923</v>
      </c>
      <c r="G27" s="865"/>
      <c r="H27" s="865"/>
      <c r="I27" s="865"/>
      <c r="J27" s="865" t="s">
        <v>129</v>
      </c>
      <c r="K27" s="865"/>
      <c r="L27" s="865"/>
      <c r="M27" s="865"/>
      <c r="N27" s="865"/>
      <c r="O27" s="865"/>
      <c r="P27" s="865"/>
    </row>
    <row r="28" spans="1:16" ht="40.9" customHeight="1" x14ac:dyDescent="0.25">
      <c r="A28" s="675"/>
      <c r="B28" s="865" t="s">
        <v>1030</v>
      </c>
      <c r="C28" s="865"/>
      <c r="D28" s="865"/>
      <c r="E28" s="865"/>
      <c r="F28" s="865" t="s">
        <v>2922</v>
      </c>
      <c r="G28" s="865"/>
      <c r="H28" s="865"/>
      <c r="I28" s="865"/>
      <c r="J28" s="865" t="s">
        <v>129</v>
      </c>
      <c r="K28" s="865"/>
      <c r="L28" s="865"/>
      <c r="M28" s="865"/>
      <c r="N28" s="865"/>
      <c r="O28" s="865"/>
      <c r="P28" s="865"/>
    </row>
    <row r="29" spans="1:16" ht="15" customHeight="1" x14ac:dyDescent="0.25">
      <c r="A29" s="675"/>
      <c r="B29" s="865" t="s">
        <v>1031</v>
      </c>
      <c r="C29" s="865"/>
      <c r="D29" s="865"/>
      <c r="E29" s="865"/>
      <c r="F29" s="865" t="s">
        <v>2921</v>
      </c>
      <c r="G29" s="865"/>
      <c r="H29" s="865"/>
      <c r="I29" s="865"/>
      <c r="J29" s="865" t="s">
        <v>129</v>
      </c>
      <c r="K29" s="865"/>
      <c r="L29" s="865"/>
      <c r="M29" s="865"/>
      <c r="N29" s="865"/>
      <c r="O29" s="865"/>
      <c r="P29" s="865"/>
    </row>
    <row r="30" spans="1:16" ht="54.4" customHeight="1" x14ac:dyDescent="0.25">
      <c r="A30" s="675"/>
      <c r="B30" s="865" t="s">
        <v>1032</v>
      </c>
      <c r="C30" s="865"/>
      <c r="D30" s="865"/>
      <c r="E30" s="865"/>
      <c r="F30" s="865" t="s">
        <v>2920</v>
      </c>
      <c r="G30" s="865"/>
      <c r="H30" s="865"/>
      <c r="I30" s="865"/>
      <c r="J30" s="865" t="s">
        <v>129</v>
      </c>
      <c r="K30" s="865"/>
      <c r="L30" s="865"/>
      <c r="M30" s="865"/>
      <c r="N30" s="865"/>
      <c r="O30" s="865"/>
      <c r="P30" s="865"/>
    </row>
    <row r="31" spans="1:16" ht="27.2" customHeight="1" x14ac:dyDescent="0.25">
      <c r="A31" s="675"/>
      <c r="B31" s="865" t="s">
        <v>1033</v>
      </c>
      <c r="C31" s="865"/>
      <c r="D31" s="865"/>
      <c r="E31" s="865"/>
      <c r="F31" s="865" t="s">
        <v>2917</v>
      </c>
      <c r="G31" s="865"/>
      <c r="H31" s="865"/>
      <c r="I31" s="865"/>
      <c r="J31" s="865" t="s">
        <v>129</v>
      </c>
      <c r="K31" s="865"/>
      <c r="L31" s="865"/>
      <c r="M31" s="865"/>
      <c r="N31" s="865"/>
      <c r="O31" s="865"/>
      <c r="P31" s="865"/>
    </row>
    <row r="32" spans="1:16" ht="40.9" customHeight="1" x14ac:dyDescent="0.25">
      <c r="A32" s="675"/>
      <c r="B32" s="865" t="s">
        <v>1034</v>
      </c>
      <c r="C32" s="865"/>
      <c r="D32" s="865"/>
      <c r="E32" s="865"/>
      <c r="F32" s="865" t="s">
        <v>2919</v>
      </c>
      <c r="G32" s="865"/>
      <c r="H32" s="865"/>
      <c r="I32" s="865"/>
      <c r="J32" s="865" t="s">
        <v>129</v>
      </c>
      <c r="K32" s="865"/>
      <c r="L32" s="865"/>
      <c r="M32" s="865"/>
      <c r="N32" s="865"/>
      <c r="O32" s="865"/>
      <c r="P32" s="865"/>
    </row>
    <row r="33" spans="1:16" ht="27.2" customHeight="1" x14ac:dyDescent="0.25">
      <c r="A33" s="675"/>
      <c r="B33" s="865" t="s">
        <v>1035</v>
      </c>
      <c r="C33" s="865"/>
      <c r="D33" s="865"/>
      <c r="E33" s="865"/>
      <c r="F33" s="865" t="s">
        <v>2919</v>
      </c>
      <c r="G33" s="865"/>
      <c r="H33" s="865"/>
      <c r="I33" s="865"/>
      <c r="J33" s="865" t="s">
        <v>129</v>
      </c>
      <c r="K33" s="865"/>
      <c r="L33" s="865"/>
      <c r="M33" s="865"/>
      <c r="N33" s="865"/>
      <c r="O33" s="865"/>
      <c r="P33" s="865"/>
    </row>
    <row r="34" spans="1:16" ht="27.2" customHeight="1" x14ac:dyDescent="0.25">
      <c r="A34" s="675"/>
      <c r="B34" s="865" t="s">
        <v>1036</v>
      </c>
      <c r="C34" s="865"/>
      <c r="D34" s="865"/>
      <c r="E34" s="865"/>
      <c r="F34" s="865" t="s">
        <v>2918</v>
      </c>
      <c r="G34" s="865"/>
      <c r="H34" s="865"/>
      <c r="I34" s="865"/>
      <c r="J34" s="865" t="s">
        <v>129</v>
      </c>
      <c r="K34" s="865"/>
      <c r="L34" s="865"/>
      <c r="M34" s="865"/>
      <c r="N34" s="865"/>
      <c r="O34" s="865"/>
      <c r="P34" s="865"/>
    </row>
    <row r="35" spans="1:16" ht="27.2" customHeight="1" x14ac:dyDescent="0.25">
      <c r="A35" s="675"/>
      <c r="B35" s="865" t="s">
        <v>1037</v>
      </c>
      <c r="C35" s="865"/>
      <c r="D35" s="865"/>
      <c r="E35" s="865"/>
      <c r="F35" s="865" t="s">
        <v>2917</v>
      </c>
      <c r="G35" s="865"/>
      <c r="H35" s="865"/>
      <c r="I35" s="865"/>
      <c r="J35" s="865" t="s">
        <v>129</v>
      </c>
      <c r="K35" s="865"/>
      <c r="L35" s="865"/>
      <c r="M35" s="865"/>
      <c r="N35" s="865"/>
      <c r="O35" s="865"/>
      <c r="P35" s="865"/>
    </row>
    <row r="36" spans="1:16" ht="27.2" customHeight="1" x14ac:dyDescent="0.25">
      <c r="A36" s="675"/>
      <c r="B36" s="865" t="s">
        <v>1038</v>
      </c>
      <c r="C36" s="865"/>
      <c r="D36" s="865"/>
      <c r="E36" s="865"/>
      <c r="F36" s="865" t="s">
        <v>2916</v>
      </c>
      <c r="G36" s="865"/>
      <c r="H36" s="865"/>
      <c r="I36" s="865"/>
      <c r="J36" s="865" t="s">
        <v>129</v>
      </c>
      <c r="K36" s="865"/>
      <c r="L36" s="865"/>
      <c r="M36" s="865"/>
      <c r="N36" s="865"/>
      <c r="O36" s="865"/>
      <c r="P36" s="865"/>
    </row>
    <row r="37" spans="1:16" ht="27.2" customHeight="1" x14ac:dyDescent="0.25">
      <c r="A37" s="675"/>
      <c r="B37" s="865" t="s">
        <v>1039</v>
      </c>
      <c r="C37" s="865"/>
      <c r="D37" s="865"/>
      <c r="E37" s="865"/>
      <c r="F37" s="865" t="s">
        <v>2915</v>
      </c>
      <c r="G37" s="865"/>
      <c r="H37" s="865"/>
      <c r="I37" s="865"/>
      <c r="J37" s="865" t="s">
        <v>129</v>
      </c>
      <c r="K37" s="865"/>
      <c r="L37" s="865"/>
      <c r="M37" s="865"/>
      <c r="N37" s="865"/>
      <c r="O37" s="865"/>
      <c r="P37" s="865"/>
    </row>
    <row r="38" spans="1:16" ht="27.2" customHeight="1" x14ac:dyDescent="0.25">
      <c r="A38" s="675"/>
      <c r="B38" s="865" t="s">
        <v>1040</v>
      </c>
      <c r="C38" s="865"/>
      <c r="D38" s="865"/>
      <c r="E38" s="865"/>
      <c r="F38" s="865" t="s">
        <v>2915</v>
      </c>
      <c r="G38" s="865"/>
      <c r="H38" s="865"/>
      <c r="I38" s="865"/>
      <c r="J38" s="865" t="s">
        <v>129</v>
      </c>
      <c r="K38" s="865"/>
      <c r="L38" s="865"/>
      <c r="M38" s="865"/>
      <c r="N38" s="865"/>
      <c r="O38" s="865"/>
      <c r="P38" s="865"/>
    </row>
    <row r="39" spans="1:16" ht="40.9" customHeight="1" x14ac:dyDescent="0.25">
      <c r="A39" s="675"/>
      <c r="B39" s="865" t="s">
        <v>1041</v>
      </c>
      <c r="C39" s="865"/>
      <c r="D39" s="865"/>
      <c r="E39" s="865"/>
      <c r="F39" s="865" t="s">
        <v>2914</v>
      </c>
      <c r="G39" s="865"/>
      <c r="H39" s="865"/>
      <c r="I39" s="865"/>
      <c r="J39" s="865" t="s">
        <v>129</v>
      </c>
      <c r="K39" s="865"/>
      <c r="L39" s="865"/>
      <c r="M39" s="865"/>
      <c r="N39" s="865"/>
      <c r="O39" s="865"/>
      <c r="P39" s="865"/>
    </row>
    <row r="40" spans="1:16" ht="54.4" customHeight="1" x14ac:dyDescent="0.25">
      <c r="A40" s="675"/>
      <c r="B40" s="865" t="s">
        <v>1042</v>
      </c>
      <c r="C40" s="865"/>
      <c r="D40" s="865"/>
      <c r="E40" s="865"/>
      <c r="F40" s="865" t="s">
        <v>2913</v>
      </c>
      <c r="G40" s="865"/>
      <c r="H40" s="865"/>
      <c r="I40" s="865"/>
      <c r="J40" s="865" t="s">
        <v>129</v>
      </c>
      <c r="K40" s="865"/>
      <c r="L40" s="865"/>
      <c r="M40" s="865"/>
      <c r="N40" s="865"/>
      <c r="O40" s="865"/>
      <c r="P40" s="865"/>
    </row>
    <row r="41" spans="1:16" ht="95.25" customHeight="1" x14ac:dyDescent="0.25">
      <c r="A41" s="674" t="s">
        <v>7</v>
      </c>
      <c r="B41" s="781" t="s">
        <v>1757</v>
      </c>
      <c r="C41" s="782"/>
      <c r="D41" s="782"/>
      <c r="E41" s="782"/>
      <c r="F41" s="782" t="s">
        <v>1758</v>
      </c>
      <c r="G41" s="782"/>
      <c r="H41" s="782"/>
      <c r="I41" s="782"/>
      <c r="J41" s="782" t="s">
        <v>2694</v>
      </c>
      <c r="K41" s="782"/>
      <c r="L41" s="782"/>
      <c r="M41" s="866">
        <f>ROUND(421600 * 1 * 1.53 * 0.4 * 4.5 * 0.2 * 0.8 * 1.24574, 0)</f>
        <v>231426</v>
      </c>
      <c r="N41" s="782"/>
      <c r="O41" s="782" t="s">
        <v>1759</v>
      </c>
      <c r="P41" s="782"/>
    </row>
    <row r="42" spans="1:16" ht="15" customHeight="1" x14ac:dyDescent="0.25">
      <c r="A42" s="676"/>
      <c r="B42" s="864" t="s">
        <v>306</v>
      </c>
      <c r="C42" s="864"/>
      <c r="D42" s="864"/>
      <c r="E42" s="864"/>
      <c r="F42" s="864" t="s">
        <v>129</v>
      </c>
      <c r="G42" s="864"/>
      <c r="H42" s="864"/>
      <c r="I42" s="864"/>
      <c r="J42" s="864" t="s">
        <v>129</v>
      </c>
      <c r="K42" s="864"/>
      <c r="L42" s="864"/>
      <c r="M42" s="864"/>
      <c r="N42" s="864"/>
      <c r="O42" s="864"/>
      <c r="P42" s="864"/>
    </row>
    <row r="43" spans="1:16" ht="15" customHeight="1" x14ac:dyDescent="0.25">
      <c r="A43" s="675"/>
      <c r="B43" s="865" t="s">
        <v>325</v>
      </c>
      <c r="C43" s="865"/>
      <c r="D43" s="865"/>
      <c r="E43" s="865"/>
      <c r="F43" s="865" t="s">
        <v>326</v>
      </c>
      <c r="G43" s="865"/>
      <c r="H43" s="865"/>
      <c r="I43" s="865"/>
      <c r="J43" s="865" t="s">
        <v>129</v>
      </c>
      <c r="K43" s="865"/>
      <c r="L43" s="865"/>
      <c r="M43" s="865"/>
      <c r="N43" s="865"/>
      <c r="O43" s="865"/>
      <c r="P43" s="865"/>
    </row>
    <row r="44" spans="1:16" ht="40.9" customHeight="1" x14ac:dyDescent="0.25">
      <c r="A44" s="675"/>
      <c r="B44" s="865" t="s">
        <v>336</v>
      </c>
      <c r="C44" s="865"/>
      <c r="D44" s="865"/>
      <c r="E44" s="865"/>
      <c r="F44" s="865" t="s">
        <v>337</v>
      </c>
      <c r="G44" s="865"/>
      <c r="H44" s="865"/>
      <c r="I44" s="865"/>
      <c r="J44" s="865" t="s">
        <v>129</v>
      </c>
      <c r="K44" s="865"/>
      <c r="L44" s="865"/>
      <c r="M44" s="865"/>
      <c r="N44" s="865"/>
      <c r="O44" s="865"/>
      <c r="P44" s="865"/>
    </row>
    <row r="45" spans="1:16" ht="272.10000000000002" customHeight="1" x14ac:dyDescent="0.25">
      <c r="A45" s="675"/>
      <c r="B45" s="865" t="s">
        <v>2040</v>
      </c>
      <c r="C45" s="865"/>
      <c r="D45" s="865"/>
      <c r="E45" s="865"/>
      <c r="F45" s="865" t="s">
        <v>2693</v>
      </c>
      <c r="G45" s="865"/>
      <c r="H45" s="865"/>
      <c r="I45" s="865"/>
      <c r="J45" s="865" t="s">
        <v>129</v>
      </c>
      <c r="K45" s="865"/>
      <c r="L45" s="865"/>
      <c r="M45" s="865"/>
      <c r="N45" s="865"/>
      <c r="O45" s="865"/>
      <c r="P45" s="865"/>
    </row>
    <row r="46" spans="1:16" ht="95.25" customHeight="1" x14ac:dyDescent="0.25">
      <c r="A46" s="675"/>
      <c r="B46" s="865" t="s">
        <v>1764</v>
      </c>
      <c r="C46" s="865"/>
      <c r="D46" s="865"/>
      <c r="E46" s="865"/>
      <c r="F46" s="865" t="s">
        <v>2692</v>
      </c>
      <c r="G46" s="865"/>
      <c r="H46" s="865"/>
      <c r="I46" s="865"/>
      <c r="J46" s="865" t="s">
        <v>129</v>
      </c>
      <c r="K46" s="865"/>
      <c r="L46" s="865"/>
      <c r="M46" s="865"/>
      <c r="N46" s="865"/>
      <c r="O46" s="865"/>
      <c r="P46" s="865"/>
    </row>
    <row r="47" spans="1:16" ht="244.9" customHeight="1" x14ac:dyDescent="0.25">
      <c r="A47" s="675"/>
      <c r="B47" s="865" t="s">
        <v>1760</v>
      </c>
      <c r="C47" s="865"/>
      <c r="D47" s="865"/>
      <c r="E47" s="865"/>
      <c r="F47" s="865" t="s">
        <v>2691</v>
      </c>
      <c r="G47" s="865"/>
      <c r="H47" s="865"/>
      <c r="I47" s="865"/>
      <c r="J47" s="865" t="s">
        <v>129</v>
      </c>
      <c r="K47" s="865"/>
      <c r="L47" s="865"/>
      <c r="M47" s="865"/>
      <c r="N47" s="865"/>
      <c r="O47" s="865"/>
      <c r="P47" s="865"/>
    </row>
    <row r="48" spans="1:16" ht="149.65" customHeight="1" x14ac:dyDescent="0.25">
      <c r="A48" s="675"/>
      <c r="B48" s="865" t="s">
        <v>329</v>
      </c>
      <c r="C48" s="865"/>
      <c r="D48" s="865"/>
      <c r="E48" s="865"/>
      <c r="F48" s="865" t="s">
        <v>2690</v>
      </c>
      <c r="G48" s="865"/>
      <c r="H48" s="865"/>
      <c r="I48" s="865"/>
      <c r="J48" s="865" t="s">
        <v>129</v>
      </c>
      <c r="K48" s="865"/>
      <c r="L48" s="865"/>
      <c r="M48" s="865"/>
      <c r="N48" s="865"/>
      <c r="O48" s="865"/>
      <c r="P48" s="865"/>
    </row>
    <row r="49" spans="1:16" ht="15" customHeight="1" x14ac:dyDescent="0.25">
      <c r="A49" s="676"/>
      <c r="B49" s="864" t="s">
        <v>330</v>
      </c>
      <c r="C49" s="864"/>
      <c r="D49" s="864"/>
      <c r="E49" s="864"/>
      <c r="F49" s="864" t="s">
        <v>129</v>
      </c>
      <c r="G49" s="864"/>
      <c r="H49" s="864"/>
      <c r="I49" s="864"/>
      <c r="J49" s="864" t="s">
        <v>129</v>
      </c>
      <c r="K49" s="864"/>
      <c r="L49" s="864"/>
      <c r="M49" s="864"/>
      <c r="N49" s="864"/>
      <c r="O49" s="864"/>
      <c r="P49" s="864"/>
    </row>
    <row r="50" spans="1:16" ht="15" customHeight="1" x14ac:dyDescent="0.25">
      <c r="A50" s="675"/>
      <c r="B50" s="865" t="s">
        <v>1028</v>
      </c>
      <c r="C50" s="865"/>
      <c r="D50" s="865"/>
      <c r="E50" s="865"/>
      <c r="F50" s="865" t="s">
        <v>2689</v>
      </c>
      <c r="G50" s="865"/>
      <c r="H50" s="865"/>
      <c r="I50" s="865"/>
      <c r="J50" s="865" t="s">
        <v>129</v>
      </c>
      <c r="K50" s="865"/>
      <c r="L50" s="865"/>
      <c r="M50" s="865"/>
      <c r="N50" s="865"/>
      <c r="O50" s="865"/>
      <c r="P50" s="865"/>
    </row>
    <row r="51" spans="1:16" ht="27.2" customHeight="1" x14ac:dyDescent="0.25">
      <c r="A51" s="675"/>
      <c r="B51" s="865" t="s">
        <v>1029</v>
      </c>
      <c r="C51" s="865"/>
      <c r="D51" s="865"/>
      <c r="E51" s="865"/>
      <c r="F51" s="865" t="s">
        <v>2688</v>
      </c>
      <c r="G51" s="865"/>
      <c r="H51" s="865"/>
      <c r="I51" s="865"/>
      <c r="J51" s="865" t="s">
        <v>129</v>
      </c>
      <c r="K51" s="865"/>
      <c r="L51" s="865"/>
      <c r="M51" s="865"/>
      <c r="N51" s="865"/>
      <c r="O51" s="865"/>
      <c r="P51" s="865"/>
    </row>
    <row r="52" spans="1:16" ht="40.9" customHeight="1" x14ac:dyDescent="0.25">
      <c r="A52" s="675"/>
      <c r="B52" s="865" t="s">
        <v>1030</v>
      </c>
      <c r="C52" s="865"/>
      <c r="D52" s="865"/>
      <c r="E52" s="865"/>
      <c r="F52" s="865" t="s">
        <v>2687</v>
      </c>
      <c r="G52" s="865"/>
      <c r="H52" s="865"/>
      <c r="I52" s="865"/>
      <c r="J52" s="865" t="s">
        <v>129</v>
      </c>
      <c r="K52" s="865"/>
      <c r="L52" s="865"/>
      <c r="M52" s="865"/>
      <c r="N52" s="865"/>
      <c r="O52" s="865"/>
      <c r="P52" s="865"/>
    </row>
    <row r="53" spans="1:16" x14ac:dyDescent="0.25">
      <c r="A53" s="675"/>
      <c r="B53" s="865" t="s">
        <v>1031</v>
      </c>
      <c r="C53" s="865"/>
      <c r="D53" s="865"/>
      <c r="E53" s="865"/>
      <c r="F53" s="865" t="s">
        <v>2686</v>
      </c>
      <c r="G53" s="865"/>
      <c r="H53" s="865"/>
      <c r="I53" s="865"/>
      <c r="J53" s="865" t="s">
        <v>129</v>
      </c>
      <c r="K53" s="865"/>
      <c r="L53" s="865"/>
      <c r="M53" s="865"/>
      <c r="N53" s="865"/>
      <c r="O53" s="865"/>
      <c r="P53" s="865"/>
    </row>
    <row r="54" spans="1:16" ht="54.4" customHeight="1" x14ac:dyDescent="0.25">
      <c r="A54" s="675"/>
      <c r="B54" s="865" t="s">
        <v>1032</v>
      </c>
      <c r="C54" s="865"/>
      <c r="D54" s="865"/>
      <c r="E54" s="865"/>
      <c r="F54" s="865" t="s">
        <v>2685</v>
      </c>
      <c r="G54" s="865"/>
      <c r="H54" s="865"/>
      <c r="I54" s="865"/>
      <c r="J54" s="865" t="s">
        <v>129</v>
      </c>
      <c r="K54" s="865"/>
      <c r="L54" s="865"/>
      <c r="M54" s="865"/>
      <c r="N54" s="865"/>
      <c r="O54" s="865"/>
      <c r="P54" s="865"/>
    </row>
    <row r="55" spans="1:16" ht="27.2" customHeight="1" x14ac:dyDescent="0.25">
      <c r="A55" s="675"/>
      <c r="B55" s="865" t="s">
        <v>1033</v>
      </c>
      <c r="C55" s="865"/>
      <c r="D55" s="865"/>
      <c r="E55" s="865"/>
      <c r="F55" s="865" t="s">
        <v>2682</v>
      </c>
      <c r="G55" s="865"/>
      <c r="H55" s="865"/>
      <c r="I55" s="865"/>
      <c r="J55" s="865" t="s">
        <v>129</v>
      </c>
      <c r="K55" s="865"/>
      <c r="L55" s="865"/>
      <c r="M55" s="865"/>
      <c r="N55" s="865"/>
      <c r="O55" s="865"/>
      <c r="P55" s="865"/>
    </row>
    <row r="56" spans="1:16" ht="40.9" customHeight="1" x14ac:dyDescent="0.25">
      <c r="A56" s="675"/>
      <c r="B56" s="865" t="s">
        <v>1034</v>
      </c>
      <c r="C56" s="865"/>
      <c r="D56" s="865"/>
      <c r="E56" s="865"/>
      <c r="F56" s="865" t="s">
        <v>2684</v>
      </c>
      <c r="G56" s="865"/>
      <c r="H56" s="865"/>
      <c r="I56" s="865"/>
      <c r="J56" s="865" t="s">
        <v>129</v>
      </c>
      <c r="K56" s="865"/>
      <c r="L56" s="865"/>
      <c r="M56" s="865"/>
      <c r="N56" s="865"/>
      <c r="O56" s="865"/>
      <c r="P56" s="865"/>
    </row>
    <row r="57" spans="1:16" ht="27.2" customHeight="1" x14ac:dyDescent="0.25">
      <c r="A57" s="675"/>
      <c r="B57" s="865" t="s">
        <v>1035</v>
      </c>
      <c r="C57" s="865"/>
      <c r="D57" s="865"/>
      <c r="E57" s="865"/>
      <c r="F57" s="865" t="s">
        <v>2683</v>
      </c>
      <c r="G57" s="865"/>
      <c r="H57" s="865"/>
      <c r="I57" s="865"/>
      <c r="J57" s="865" t="s">
        <v>129</v>
      </c>
      <c r="K57" s="865"/>
      <c r="L57" s="865"/>
      <c r="M57" s="865"/>
      <c r="N57" s="865"/>
      <c r="O57" s="865"/>
      <c r="P57" s="865"/>
    </row>
    <row r="58" spans="1:16" ht="27.2" customHeight="1" x14ac:dyDescent="0.25">
      <c r="A58" s="675"/>
      <c r="B58" s="865" t="s">
        <v>1036</v>
      </c>
      <c r="C58" s="865"/>
      <c r="D58" s="865"/>
      <c r="E58" s="865"/>
      <c r="F58" s="865" t="s">
        <v>2682</v>
      </c>
      <c r="G58" s="865"/>
      <c r="H58" s="865"/>
      <c r="I58" s="865"/>
      <c r="J58" s="865" t="s">
        <v>129</v>
      </c>
      <c r="K58" s="865"/>
      <c r="L58" s="865"/>
      <c r="M58" s="865"/>
      <c r="N58" s="865"/>
      <c r="O58" s="865"/>
      <c r="P58" s="865"/>
    </row>
    <row r="59" spans="1:16" ht="27.2" customHeight="1" x14ac:dyDescent="0.25">
      <c r="A59" s="675"/>
      <c r="B59" s="865" t="s">
        <v>1037</v>
      </c>
      <c r="C59" s="865"/>
      <c r="D59" s="865"/>
      <c r="E59" s="865"/>
      <c r="F59" s="865" t="s">
        <v>2681</v>
      </c>
      <c r="G59" s="865"/>
      <c r="H59" s="865"/>
      <c r="I59" s="865"/>
      <c r="J59" s="865" t="s">
        <v>129</v>
      </c>
      <c r="K59" s="865"/>
      <c r="L59" s="865"/>
      <c r="M59" s="865"/>
      <c r="N59" s="865"/>
      <c r="O59" s="865"/>
      <c r="P59" s="865"/>
    </row>
    <row r="60" spans="1:16" ht="27.2" customHeight="1" x14ac:dyDescent="0.25">
      <c r="A60" s="675"/>
      <c r="B60" s="865" t="s">
        <v>1038</v>
      </c>
      <c r="C60" s="865"/>
      <c r="D60" s="865"/>
      <c r="E60" s="865"/>
      <c r="F60" s="865" t="s">
        <v>2680</v>
      </c>
      <c r="G60" s="865"/>
      <c r="H60" s="865"/>
      <c r="I60" s="865"/>
      <c r="J60" s="865" t="s">
        <v>129</v>
      </c>
      <c r="K60" s="865"/>
      <c r="L60" s="865"/>
      <c r="M60" s="865"/>
      <c r="N60" s="865"/>
      <c r="O60" s="865"/>
      <c r="P60" s="865"/>
    </row>
    <row r="61" spans="1:16" ht="27.2" customHeight="1" x14ac:dyDescent="0.25">
      <c r="A61" s="675"/>
      <c r="B61" s="865" t="s">
        <v>1039</v>
      </c>
      <c r="C61" s="865"/>
      <c r="D61" s="865"/>
      <c r="E61" s="865"/>
      <c r="F61" s="865" t="s">
        <v>2679</v>
      </c>
      <c r="G61" s="865"/>
      <c r="H61" s="865"/>
      <c r="I61" s="865"/>
      <c r="J61" s="865" t="s">
        <v>129</v>
      </c>
      <c r="K61" s="865"/>
      <c r="L61" s="865"/>
      <c r="M61" s="865"/>
      <c r="N61" s="865"/>
      <c r="O61" s="865"/>
      <c r="P61" s="865"/>
    </row>
    <row r="62" spans="1:16" ht="27.2" customHeight="1" x14ac:dyDescent="0.25">
      <c r="A62" s="675"/>
      <c r="B62" s="865" t="s">
        <v>1040</v>
      </c>
      <c r="C62" s="865"/>
      <c r="D62" s="865"/>
      <c r="E62" s="865"/>
      <c r="F62" s="865" t="s">
        <v>2679</v>
      </c>
      <c r="G62" s="865"/>
      <c r="H62" s="865"/>
      <c r="I62" s="865"/>
      <c r="J62" s="865" t="s">
        <v>129</v>
      </c>
      <c r="K62" s="865"/>
      <c r="L62" s="865"/>
      <c r="M62" s="865"/>
      <c r="N62" s="865"/>
      <c r="O62" s="865"/>
      <c r="P62" s="865"/>
    </row>
    <row r="63" spans="1:16" ht="40.9" customHeight="1" x14ac:dyDescent="0.25">
      <c r="A63" s="675"/>
      <c r="B63" s="865" t="s">
        <v>1041</v>
      </c>
      <c r="C63" s="865"/>
      <c r="D63" s="865"/>
      <c r="E63" s="865"/>
      <c r="F63" s="865" t="s">
        <v>2678</v>
      </c>
      <c r="G63" s="865"/>
      <c r="H63" s="865"/>
      <c r="I63" s="865"/>
      <c r="J63" s="865" t="s">
        <v>129</v>
      </c>
      <c r="K63" s="865"/>
      <c r="L63" s="865"/>
      <c r="M63" s="865"/>
      <c r="N63" s="865"/>
      <c r="O63" s="865"/>
      <c r="P63" s="865"/>
    </row>
    <row r="64" spans="1:16" ht="54.4" customHeight="1" x14ac:dyDescent="0.25">
      <c r="A64" s="675"/>
      <c r="B64" s="865" t="s">
        <v>1042</v>
      </c>
      <c r="C64" s="865"/>
      <c r="D64" s="865"/>
      <c r="E64" s="865"/>
      <c r="F64" s="865" t="s">
        <v>2677</v>
      </c>
      <c r="G64" s="865"/>
      <c r="H64" s="865"/>
      <c r="I64" s="865"/>
      <c r="J64" s="865" t="s">
        <v>129</v>
      </c>
      <c r="K64" s="865"/>
      <c r="L64" s="865"/>
      <c r="M64" s="865"/>
      <c r="N64" s="865"/>
      <c r="O64" s="865"/>
      <c r="P64" s="865"/>
    </row>
    <row r="65" spans="1:16" ht="149.65" customHeight="1" x14ac:dyDescent="0.25">
      <c r="A65" s="674" t="s">
        <v>38</v>
      </c>
      <c r="B65" s="781" t="s">
        <v>1761</v>
      </c>
      <c r="C65" s="782"/>
      <c r="D65" s="782"/>
      <c r="E65" s="782"/>
      <c r="F65" s="782" t="s">
        <v>1762</v>
      </c>
      <c r="G65" s="782"/>
      <c r="H65" s="782"/>
      <c r="I65" s="782"/>
      <c r="J65" s="782" t="s">
        <v>1763</v>
      </c>
      <c r="K65" s="782"/>
      <c r="L65" s="782"/>
      <c r="M65" s="866">
        <f>ROUND((952600 + 21230 * (0.4 * 2 + 0.6 * 1)) * 1 * 1.53 * 0.4 * 0.2, 0)</f>
        <v>120236</v>
      </c>
      <c r="N65" s="782"/>
      <c r="O65" s="782" t="s">
        <v>129</v>
      </c>
      <c r="P65" s="782"/>
    </row>
    <row r="66" spans="1:16" x14ac:dyDescent="0.25">
      <c r="A66" s="676"/>
      <c r="B66" s="864" t="s">
        <v>306</v>
      </c>
      <c r="C66" s="864"/>
      <c r="D66" s="864"/>
      <c r="E66" s="864"/>
      <c r="F66" s="864" t="s">
        <v>129</v>
      </c>
      <c r="G66" s="864"/>
      <c r="H66" s="864"/>
      <c r="I66" s="864"/>
      <c r="J66" s="864" t="s">
        <v>129</v>
      </c>
      <c r="K66" s="864"/>
      <c r="L66" s="864"/>
      <c r="M66" s="864"/>
      <c r="N66" s="864"/>
      <c r="O66" s="864"/>
      <c r="P66" s="864"/>
    </row>
    <row r="67" spans="1:16" x14ac:dyDescent="0.25">
      <c r="A67" s="675"/>
      <c r="B67" s="865" t="s">
        <v>325</v>
      </c>
      <c r="C67" s="865"/>
      <c r="D67" s="865"/>
      <c r="E67" s="865"/>
      <c r="F67" s="865" t="s">
        <v>326</v>
      </c>
      <c r="G67" s="865"/>
      <c r="H67" s="865"/>
      <c r="I67" s="865"/>
      <c r="J67" s="865" t="s">
        <v>129</v>
      </c>
      <c r="K67" s="865"/>
      <c r="L67" s="865"/>
      <c r="M67" s="865"/>
      <c r="N67" s="865"/>
      <c r="O67" s="865"/>
      <c r="P67" s="865"/>
    </row>
    <row r="68" spans="1:16" ht="40.9" customHeight="1" x14ac:dyDescent="0.25">
      <c r="A68" s="675"/>
      <c r="B68" s="865" t="s">
        <v>336</v>
      </c>
      <c r="C68" s="865"/>
      <c r="D68" s="865"/>
      <c r="E68" s="865"/>
      <c r="F68" s="865" t="s">
        <v>337</v>
      </c>
      <c r="G68" s="865"/>
      <c r="H68" s="865"/>
      <c r="I68" s="865"/>
      <c r="J68" s="865" t="s">
        <v>129</v>
      </c>
      <c r="K68" s="865"/>
      <c r="L68" s="865"/>
      <c r="M68" s="865"/>
      <c r="N68" s="865"/>
      <c r="O68" s="865"/>
      <c r="P68" s="865"/>
    </row>
    <row r="69" spans="1:16" ht="95.25" customHeight="1" x14ac:dyDescent="0.25">
      <c r="A69" s="675"/>
      <c r="B69" s="865" t="s">
        <v>1764</v>
      </c>
      <c r="C69" s="865"/>
      <c r="D69" s="865"/>
      <c r="E69" s="865"/>
      <c r="F69" s="865" t="s">
        <v>1765</v>
      </c>
      <c r="G69" s="865"/>
      <c r="H69" s="865"/>
      <c r="I69" s="865"/>
      <c r="J69" s="865" t="s">
        <v>129</v>
      </c>
      <c r="K69" s="865"/>
      <c r="L69" s="865"/>
      <c r="M69" s="865"/>
      <c r="N69" s="865"/>
      <c r="O69" s="865"/>
      <c r="P69" s="865"/>
    </row>
    <row r="70" spans="1:16" x14ac:dyDescent="0.25">
      <c r="A70" s="676"/>
      <c r="B70" s="864" t="s">
        <v>330</v>
      </c>
      <c r="C70" s="864"/>
      <c r="D70" s="864"/>
      <c r="E70" s="864"/>
      <c r="F70" s="864" t="s">
        <v>129</v>
      </c>
      <c r="G70" s="864"/>
      <c r="H70" s="864"/>
      <c r="I70" s="864"/>
      <c r="J70" s="864" t="s">
        <v>129</v>
      </c>
      <c r="K70" s="864"/>
      <c r="L70" s="864"/>
      <c r="M70" s="864"/>
      <c r="N70" s="864"/>
      <c r="O70" s="864"/>
      <c r="P70" s="864"/>
    </row>
    <row r="71" spans="1:16" x14ac:dyDescent="0.25">
      <c r="A71" s="675"/>
      <c r="B71" s="865" t="s">
        <v>1028</v>
      </c>
      <c r="C71" s="865"/>
      <c r="D71" s="865"/>
      <c r="E71" s="865"/>
      <c r="F71" s="865" t="s">
        <v>1766</v>
      </c>
      <c r="G71" s="865"/>
      <c r="H71" s="865"/>
      <c r="I71" s="865"/>
      <c r="J71" s="865" t="s">
        <v>129</v>
      </c>
      <c r="K71" s="865"/>
      <c r="L71" s="865"/>
      <c r="M71" s="865"/>
      <c r="N71" s="865"/>
      <c r="O71" s="865"/>
      <c r="P71" s="865"/>
    </row>
    <row r="72" spans="1:16" ht="27.2" customHeight="1" x14ac:dyDescent="0.25">
      <c r="A72" s="675"/>
      <c r="B72" s="865" t="s">
        <v>1029</v>
      </c>
      <c r="C72" s="865"/>
      <c r="D72" s="865"/>
      <c r="E72" s="865"/>
      <c r="F72" s="865" t="s">
        <v>1767</v>
      </c>
      <c r="G72" s="865"/>
      <c r="H72" s="865"/>
      <c r="I72" s="865"/>
      <c r="J72" s="865" t="s">
        <v>129</v>
      </c>
      <c r="K72" s="865"/>
      <c r="L72" s="865"/>
      <c r="M72" s="865"/>
      <c r="N72" s="865"/>
      <c r="O72" s="865"/>
      <c r="P72" s="865"/>
    </row>
    <row r="73" spans="1:16" ht="40.9" customHeight="1" x14ac:dyDescent="0.25">
      <c r="A73" s="675"/>
      <c r="B73" s="865" t="s">
        <v>1030</v>
      </c>
      <c r="C73" s="865"/>
      <c r="D73" s="865"/>
      <c r="E73" s="865"/>
      <c r="F73" s="865" t="s">
        <v>1768</v>
      </c>
      <c r="G73" s="865"/>
      <c r="H73" s="865"/>
      <c r="I73" s="865"/>
      <c r="J73" s="865" t="s">
        <v>129</v>
      </c>
      <c r="K73" s="865"/>
      <c r="L73" s="865"/>
      <c r="M73" s="865"/>
      <c r="N73" s="865"/>
      <c r="O73" s="865"/>
      <c r="P73" s="865"/>
    </row>
    <row r="74" spans="1:16" x14ac:dyDescent="0.25">
      <c r="A74" s="675"/>
      <c r="B74" s="865" t="s">
        <v>1031</v>
      </c>
      <c r="C74" s="865"/>
      <c r="D74" s="865"/>
      <c r="E74" s="865"/>
      <c r="F74" s="865" t="s">
        <v>1769</v>
      </c>
      <c r="G74" s="865"/>
      <c r="H74" s="865"/>
      <c r="I74" s="865"/>
      <c r="J74" s="865" t="s">
        <v>129</v>
      </c>
      <c r="K74" s="865"/>
      <c r="L74" s="865"/>
      <c r="M74" s="865"/>
      <c r="N74" s="865"/>
      <c r="O74" s="865"/>
      <c r="P74" s="865"/>
    </row>
    <row r="75" spans="1:16" ht="54.4" customHeight="1" x14ac:dyDescent="0.25">
      <c r="A75" s="675"/>
      <c r="B75" s="865" t="s">
        <v>1032</v>
      </c>
      <c r="C75" s="865"/>
      <c r="D75" s="865"/>
      <c r="E75" s="865"/>
      <c r="F75" s="865" t="s">
        <v>1770</v>
      </c>
      <c r="G75" s="865"/>
      <c r="H75" s="865"/>
      <c r="I75" s="865"/>
      <c r="J75" s="865" t="s">
        <v>129</v>
      </c>
      <c r="K75" s="865"/>
      <c r="L75" s="865"/>
      <c r="M75" s="865"/>
      <c r="N75" s="865"/>
      <c r="O75" s="865"/>
      <c r="P75" s="865"/>
    </row>
    <row r="76" spans="1:16" x14ac:dyDescent="0.25">
      <c r="A76" s="675"/>
      <c r="B76" s="865" t="s">
        <v>1033</v>
      </c>
      <c r="C76" s="865"/>
      <c r="D76" s="865"/>
      <c r="E76" s="865"/>
      <c r="F76" s="865" t="s">
        <v>1771</v>
      </c>
      <c r="G76" s="865"/>
      <c r="H76" s="865"/>
      <c r="I76" s="865"/>
      <c r="J76" s="865" t="s">
        <v>129</v>
      </c>
      <c r="K76" s="865"/>
      <c r="L76" s="865"/>
      <c r="M76" s="865"/>
      <c r="N76" s="865"/>
      <c r="O76" s="865"/>
      <c r="P76" s="865"/>
    </row>
    <row r="77" spans="1:16" ht="27.2" customHeight="1" x14ac:dyDescent="0.25">
      <c r="A77" s="675"/>
      <c r="B77" s="865" t="s">
        <v>1772</v>
      </c>
      <c r="C77" s="865"/>
      <c r="D77" s="865"/>
      <c r="E77" s="865"/>
      <c r="F77" s="865" t="s">
        <v>1773</v>
      </c>
      <c r="G77" s="865"/>
      <c r="H77" s="865"/>
      <c r="I77" s="865"/>
      <c r="J77" s="865" t="s">
        <v>129</v>
      </c>
      <c r="K77" s="865"/>
      <c r="L77" s="865"/>
      <c r="M77" s="865"/>
      <c r="N77" s="865"/>
      <c r="O77" s="865"/>
      <c r="P77" s="865"/>
    </row>
    <row r="78" spans="1:16" x14ac:dyDescent="0.25">
      <c r="A78" s="675"/>
      <c r="B78" s="865" t="s">
        <v>1114</v>
      </c>
      <c r="C78" s="865"/>
      <c r="D78" s="865"/>
      <c r="E78" s="865"/>
      <c r="F78" s="865" t="s">
        <v>1774</v>
      </c>
      <c r="G78" s="865"/>
      <c r="H78" s="865"/>
      <c r="I78" s="865"/>
      <c r="J78" s="865" t="s">
        <v>129</v>
      </c>
      <c r="K78" s="865"/>
      <c r="L78" s="865"/>
      <c r="M78" s="865"/>
      <c r="N78" s="865"/>
      <c r="O78" s="865"/>
      <c r="P78" s="865"/>
    </row>
    <row r="79" spans="1:16" ht="27.2" customHeight="1" x14ac:dyDescent="0.25">
      <c r="A79" s="675"/>
      <c r="B79" s="865" t="s">
        <v>1775</v>
      </c>
      <c r="C79" s="865"/>
      <c r="D79" s="865"/>
      <c r="E79" s="865"/>
      <c r="F79" s="865" t="s">
        <v>1773</v>
      </c>
      <c r="G79" s="865"/>
      <c r="H79" s="865"/>
      <c r="I79" s="865"/>
      <c r="J79" s="865" t="s">
        <v>129</v>
      </c>
      <c r="K79" s="865"/>
      <c r="L79" s="865"/>
      <c r="M79" s="865"/>
      <c r="N79" s="865"/>
      <c r="O79" s="865"/>
      <c r="P79" s="865"/>
    </row>
    <row r="80" spans="1:16" ht="27.2" customHeight="1" x14ac:dyDescent="0.25">
      <c r="A80" s="675"/>
      <c r="B80" s="865" t="s">
        <v>1037</v>
      </c>
      <c r="C80" s="865"/>
      <c r="D80" s="865"/>
      <c r="E80" s="865"/>
      <c r="F80" s="865" t="s">
        <v>1773</v>
      </c>
      <c r="G80" s="865"/>
      <c r="H80" s="865"/>
      <c r="I80" s="865"/>
      <c r="J80" s="865" t="s">
        <v>129</v>
      </c>
      <c r="K80" s="865"/>
      <c r="L80" s="865"/>
      <c r="M80" s="865"/>
      <c r="N80" s="865"/>
      <c r="O80" s="865"/>
      <c r="P80" s="865"/>
    </row>
    <row r="81" spans="1:16" ht="27.2" customHeight="1" x14ac:dyDescent="0.25">
      <c r="A81" s="675"/>
      <c r="B81" s="865" t="s">
        <v>1038</v>
      </c>
      <c r="C81" s="865"/>
      <c r="D81" s="865"/>
      <c r="E81" s="865"/>
      <c r="F81" s="865" t="s">
        <v>1776</v>
      </c>
      <c r="G81" s="865"/>
      <c r="H81" s="865"/>
      <c r="I81" s="865"/>
      <c r="J81" s="865" t="s">
        <v>129</v>
      </c>
      <c r="K81" s="865"/>
      <c r="L81" s="865"/>
      <c r="M81" s="865"/>
      <c r="N81" s="865"/>
      <c r="O81" s="865"/>
      <c r="P81" s="865"/>
    </row>
    <row r="82" spans="1:16" ht="27.2" customHeight="1" x14ac:dyDescent="0.25">
      <c r="A82" s="675"/>
      <c r="B82" s="865" t="s">
        <v>1039</v>
      </c>
      <c r="C82" s="865"/>
      <c r="D82" s="865"/>
      <c r="E82" s="865"/>
      <c r="F82" s="865" t="s">
        <v>1777</v>
      </c>
      <c r="G82" s="865"/>
      <c r="H82" s="865"/>
      <c r="I82" s="865"/>
      <c r="J82" s="865" t="s">
        <v>129</v>
      </c>
      <c r="K82" s="865"/>
      <c r="L82" s="865"/>
      <c r="M82" s="865"/>
      <c r="N82" s="865"/>
      <c r="O82" s="865"/>
      <c r="P82" s="865"/>
    </row>
    <row r="83" spans="1:16" ht="27.2" customHeight="1" x14ac:dyDescent="0.25">
      <c r="A83" s="675"/>
      <c r="B83" s="865" t="s">
        <v>1040</v>
      </c>
      <c r="C83" s="865"/>
      <c r="D83" s="865"/>
      <c r="E83" s="865"/>
      <c r="F83" s="865" t="s">
        <v>1777</v>
      </c>
      <c r="G83" s="865"/>
      <c r="H83" s="865"/>
      <c r="I83" s="865"/>
      <c r="J83" s="865" t="s">
        <v>129</v>
      </c>
      <c r="K83" s="865"/>
      <c r="L83" s="865"/>
      <c r="M83" s="865"/>
      <c r="N83" s="865"/>
      <c r="O83" s="865"/>
      <c r="P83" s="865"/>
    </row>
    <row r="84" spans="1:16" ht="40.9" customHeight="1" x14ac:dyDescent="0.25">
      <c r="A84" s="675"/>
      <c r="B84" s="865" t="s">
        <v>1041</v>
      </c>
      <c r="C84" s="865"/>
      <c r="D84" s="865"/>
      <c r="E84" s="865"/>
      <c r="F84" s="865" t="s">
        <v>1767</v>
      </c>
      <c r="G84" s="865"/>
      <c r="H84" s="865"/>
      <c r="I84" s="865"/>
      <c r="J84" s="865" t="s">
        <v>129</v>
      </c>
      <c r="K84" s="865"/>
      <c r="L84" s="865"/>
      <c r="M84" s="865"/>
      <c r="N84" s="865"/>
      <c r="O84" s="865"/>
      <c r="P84" s="865"/>
    </row>
    <row r="85" spans="1:16" ht="54.4" customHeight="1" x14ac:dyDescent="0.25">
      <c r="A85" s="675"/>
      <c r="B85" s="865" t="s">
        <v>1042</v>
      </c>
      <c r="C85" s="865"/>
      <c r="D85" s="865"/>
      <c r="E85" s="865"/>
      <c r="F85" s="865" t="s">
        <v>1776</v>
      </c>
      <c r="G85" s="865"/>
      <c r="H85" s="865"/>
      <c r="I85" s="865"/>
      <c r="J85" s="865" t="s">
        <v>129</v>
      </c>
      <c r="K85" s="865"/>
      <c r="L85" s="865"/>
      <c r="M85" s="865"/>
      <c r="N85" s="865"/>
      <c r="O85" s="865"/>
      <c r="P85" s="865"/>
    </row>
    <row r="86" spans="1:16" ht="122.45" customHeight="1" x14ac:dyDescent="0.25">
      <c r="A86" s="674" t="s">
        <v>40</v>
      </c>
      <c r="B86" s="781" t="s">
        <v>1043</v>
      </c>
      <c r="C86" s="782"/>
      <c r="D86" s="782"/>
      <c r="E86" s="782"/>
      <c r="F86" s="782" t="s">
        <v>1044</v>
      </c>
      <c r="G86" s="782"/>
      <c r="H86" s="782"/>
      <c r="I86" s="782"/>
      <c r="J86" s="782" t="s">
        <v>2676</v>
      </c>
      <c r="K86" s="782"/>
      <c r="L86" s="782"/>
      <c r="M86" s="866">
        <f>ROUND((72700 + 16 * (0.4 * 500 + 0.6 * 400)) * 1 * 1.53 * 0.4 * 0.2 * 1.2407, 0)</f>
        <v>12109</v>
      </c>
      <c r="N86" s="782"/>
      <c r="O86" s="782" t="s">
        <v>1045</v>
      </c>
      <c r="P86" s="782"/>
    </row>
    <row r="87" spans="1:16" x14ac:dyDescent="0.25">
      <c r="A87" s="676"/>
      <c r="B87" s="864" t="s">
        <v>306</v>
      </c>
      <c r="C87" s="864"/>
      <c r="D87" s="864"/>
      <c r="E87" s="864"/>
      <c r="F87" s="864" t="s">
        <v>129</v>
      </c>
      <c r="G87" s="864"/>
      <c r="H87" s="864"/>
      <c r="I87" s="864"/>
      <c r="J87" s="864" t="s">
        <v>129</v>
      </c>
      <c r="K87" s="864"/>
      <c r="L87" s="864"/>
      <c r="M87" s="864"/>
      <c r="N87" s="864"/>
      <c r="O87" s="864"/>
      <c r="P87" s="864"/>
    </row>
    <row r="88" spans="1:16" x14ac:dyDescent="0.25">
      <c r="A88" s="675"/>
      <c r="B88" s="865" t="s">
        <v>325</v>
      </c>
      <c r="C88" s="865"/>
      <c r="D88" s="865"/>
      <c r="E88" s="865"/>
      <c r="F88" s="865" t="s">
        <v>326</v>
      </c>
      <c r="G88" s="865"/>
      <c r="H88" s="865"/>
      <c r="I88" s="865"/>
      <c r="J88" s="865" t="s">
        <v>129</v>
      </c>
      <c r="K88" s="865"/>
      <c r="L88" s="865"/>
      <c r="M88" s="865"/>
      <c r="N88" s="865"/>
      <c r="O88" s="865"/>
      <c r="P88" s="865"/>
    </row>
    <row r="89" spans="1:16" ht="40.9" customHeight="1" x14ac:dyDescent="0.25">
      <c r="A89" s="675"/>
      <c r="B89" s="865" t="s">
        <v>336</v>
      </c>
      <c r="C89" s="865"/>
      <c r="D89" s="865"/>
      <c r="E89" s="865"/>
      <c r="F89" s="865" t="s">
        <v>337</v>
      </c>
      <c r="G89" s="865"/>
      <c r="H89" s="865"/>
      <c r="I89" s="865"/>
      <c r="J89" s="865" t="s">
        <v>129</v>
      </c>
      <c r="K89" s="865"/>
      <c r="L89" s="865"/>
      <c r="M89" s="865"/>
      <c r="N89" s="865"/>
      <c r="O89" s="865"/>
      <c r="P89" s="865"/>
    </row>
    <row r="90" spans="1:16" ht="95.25" customHeight="1" x14ac:dyDescent="0.25">
      <c r="A90" s="675"/>
      <c r="B90" s="865" t="s">
        <v>1764</v>
      </c>
      <c r="C90" s="865"/>
      <c r="D90" s="865"/>
      <c r="E90" s="865"/>
      <c r="F90" s="865" t="s">
        <v>1765</v>
      </c>
      <c r="G90" s="865"/>
      <c r="H90" s="865"/>
      <c r="I90" s="865"/>
      <c r="J90" s="865" t="s">
        <v>129</v>
      </c>
      <c r="K90" s="865"/>
      <c r="L90" s="865"/>
      <c r="M90" s="865"/>
      <c r="N90" s="865"/>
      <c r="O90" s="865"/>
      <c r="P90" s="865"/>
    </row>
    <row r="91" spans="1:16" ht="149.65" customHeight="1" x14ac:dyDescent="0.25">
      <c r="A91" s="675"/>
      <c r="B91" s="865" t="s">
        <v>329</v>
      </c>
      <c r="C91" s="865"/>
      <c r="D91" s="865"/>
      <c r="E91" s="865"/>
      <c r="F91" s="865" t="s">
        <v>2675</v>
      </c>
      <c r="G91" s="865"/>
      <c r="H91" s="865"/>
      <c r="I91" s="865"/>
      <c r="J91" s="865" t="s">
        <v>129</v>
      </c>
      <c r="K91" s="865"/>
      <c r="L91" s="865"/>
      <c r="M91" s="865"/>
      <c r="N91" s="865"/>
      <c r="O91" s="865"/>
      <c r="P91" s="865"/>
    </row>
    <row r="92" spans="1:16" x14ac:dyDescent="0.25">
      <c r="A92" s="676"/>
      <c r="B92" s="864" t="s">
        <v>330</v>
      </c>
      <c r="C92" s="864"/>
      <c r="D92" s="864"/>
      <c r="E92" s="864"/>
      <c r="F92" s="864" t="s">
        <v>129</v>
      </c>
      <c r="G92" s="864"/>
      <c r="H92" s="864"/>
      <c r="I92" s="864"/>
      <c r="J92" s="864" t="s">
        <v>129</v>
      </c>
      <c r="K92" s="864"/>
      <c r="L92" s="864"/>
      <c r="M92" s="864"/>
      <c r="N92" s="864"/>
      <c r="O92" s="864"/>
      <c r="P92" s="864"/>
    </row>
    <row r="93" spans="1:16" x14ac:dyDescent="0.25">
      <c r="A93" s="675"/>
      <c r="B93" s="865" t="s">
        <v>1028</v>
      </c>
      <c r="C93" s="865"/>
      <c r="D93" s="865"/>
      <c r="E93" s="865"/>
      <c r="F93" s="865" t="s">
        <v>2674</v>
      </c>
      <c r="G93" s="865"/>
      <c r="H93" s="865"/>
      <c r="I93" s="865"/>
      <c r="J93" s="865" t="s">
        <v>129</v>
      </c>
      <c r="K93" s="865"/>
      <c r="L93" s="865"/>
      <c r="M93" s="865"/>
      <c r="N93" s="865"/>
      <c r="O93" s="865"/>
      <c r="P93" s="865"/>
    </row>
    <row r="94" spans="1:16" ht="54.4" customHeight="1" x14ac:dyDescent="0.25">
      <c r="A94" s="675"/>
      <c r="B94" s="865" t="s">
        <v>1046</v>
      </c>
      <c r="C94" s="865"/>
      <c r="D94" s="865"/>
      <c r="E94" s="865"/>
      <c r="F94" s="865" t="s">
        <v>2673</v>
      </c>
      <c r="G94" s="865"/>
      <c r="H94" s="865"/>
      <c r="I94" s="865"/>
      <c r="J94" s="865" t="s">
        <v>129</v>
      </c>
      <c r="K94" s="865"/>
      <c r="L94" s="865"/>
      <c r="M94" s="865"/>
      <c r="N94" s="865"/>
      <c r="O94" s="865"/>
      <c r="P94" s="865"/>
    </row>
    <row r="95" spans="1:16" ht="27.2" customHeight="1" x14ac:dyDescent="0.25">
      <c r="A95" s="675"/>
      <c r="B95" s="865" t="s">
        <v>1047</v>
      </c>
      <c r="C95" s="865"/>
      <c r="D95" s="865"/>
      <c r="E95" s="865"/>
      <c r="F95" s="865" t="s">
        <v>2672</v>
      </c>
      <c r="G95" s="865"/>
      <c r="H95" s="865"/>
      <c r="I95" s="865"/>
      <c r="J95" s="865" t="s">
        <v>129</v>
      </c>
      <c r="K95" s="865"/>
      <c r="L95" s="865"/>
      <c r="M95" s="865"/>
      <c r="N95" s="865"/>
      <c r="O95" s="865"/>
      <c r="P95" s="865"/>
    </row>
    <row r="96" spans="1:16" ht="40.9" customHeight="1" x14ac:dyDescent="0.25">
      <c r="A96" s="675"/>
      <c r="B96" s="865" t="s">
        <v>1048</v>
      </c>
      <c r="C96" s="865"/>
      <c r="D96" s="865"/>
      <c r="E96" s="865"/>
      <c r="F96" s="865" t="s">
        <v>2671</v>
      </c>
      <c r="G96" s="865"/>
      <c r="H96" s="865"/>
      <c r="I96" s="865"/>
      <c r="J96" s="865" t="s">
        <v>129</v>
      </c>
      <c r="K96" s="865"/>
      <c r="L96" s="865"/>
      <c r="M96" s="865"/>
      <c r="N96" s="865"/>
      <c r="O96" s="865"/>
      <c r="P96" s="865"/>
    </row>
    <row r="97" spans="1:16" x14ac:dyDescent="0.25">
      <c r="A97" s="675"/>
      <c r="B97" s="865" t="s">
        <v>1049</v>
      </c>
      <c r="C97" s="865"/>
      <c r="D97" s="865"/>
      <c r="E97" s="865"/>
      <c r="F97" s="865" t="s">
        <v>2670</v>
      </c>
      <c r="G97" s="865"/>
      <c r="H97" s="865"/>
      <c r="I97" s="865"/>
      <c r="J97" s="865" t="s">
        <v>129</v>
      </c>
      <c r="K97" s="865"/>
      <c r="L97" s="865"/>
      <c r="M97" s="865"/>
      <c r="N97" s="865"/>
      <c r="O97" s="865"/>
      <c r="P97" s="865"/>
    </row>
    <row r="98" spans="1:16" x14ac:dyDescent="0.25">
      <c r="A98" s="675"/>
      <c r="B98" s="865" t="s">
        <v>1050</v>
      </c>
      <c r="C98" s="865"/>
      <c r="D98" s="865"/>
      <c r="E98" s="865"/>
      <c r="F98" s="865" t="s">
        <v>2668</v>
      </c>
      <c r="G98" s="865"/>
      <c r="H98" s="865"/>
      <c r="I98" s="865"/>
      <c r="J98" s="865" t="s">
        <v>129</v>
      </c>
      <c r="K98" s="865"/>
      <c r="L98" s="865"/>
      <c r="M98" s="865"/>
      <c r="N98" s="865"/>
      <c r="O98" s="865"/>
      <c r="P98" s="865"/>
    </row>
    <row r="99" spans="1:16" ht="27.2" customHeight="1" x14ac:dyDescent="0.25">
      <c r="A99" s="675"/>
      <c r="B99" s="865" t="s">
        <v>1051</v>
      </c>
      <c r="C99" s="865"/>
      <c r="D99" s="865"/>
      <c r="E99" s="865"/>
      <c r="F99" s="865" t="s">
        <v>2669</v>
      </c>
      <c r="G99" s="865"/>
      <c r="H99" s="865"/>
      <c r="I99" s="865"/>
      <c r="J99" s="865" t="s">
        <v>129</v>
      </c>
      <c r="K99" s="865"/>
      <c r="L99" s="865"/>
      <c r="M99" s="865"/>
      <c r="N99" s="865"/>
      <c r="O99" s="865"/>
      <c r="P99" s="865"/>
    </row>
    <row r="100" spans="1:16" ht="27.2" customHeight="1" x14ac:dyDescent="0.25">
      <c r="A100" s="675"/>
      <c r="B100" s="865" t="s">
        <v>1052</v>
      </c>
      <c r="C100" s="865"/>
      <c r="D100" s="865"/>
      <c r="E100" s="865"/>
      <c r="F100" s="865" t="s">
        <v>2668</v>
      </c>
      <c r="G100" s="865"/>
      <c r="H100" s="865"/>
      <c r="I100" s="865"/>
      <c r="J100" s="865" t="s">
        <v>129</v>
      </c>
      <c r="K100" s="865"/>
      <c r="L100" s="865"/>
      <c r="M100" s="865"/>
      <c r="N100" s="865"/>
      <c r="O100" s="865"/>
      <c r="P100" s="865"/>
    </row>
    <row r="101" spans="1:16" ht="27.2" customHeight="1" x14ac:dyDescent="0.25">
      <c r="A101" s="675"/>
      <c r="B101" s="865" t="s">
        <v>1053</v>
      </c>
      <c r="C101" s="865"/>
      <c r="D101" s="865"/>
      <c r="E101" s="865"/>
      <c r="F101" s="865" t="s">
        <v>2667</v>
      </c>
      <c r="G101" s="865"/>
      <c r="H101" s="865"/>
      <c r="I101" s="865"/>
      <c r="J101" s="865" t="s">
        <v>129</v>
      </c>
      <c r="K101" s="865"/>
      <c r="L101" s="865"/>
      <c r="M101" s="865"/>
      <c r="N101" s="865"/>
      <c r="O101" s="865"/>
      <c r="P101" s="865"/>
    </row>
    <row r="102" spans="1:16" ht="27.2" customHeight="1" x14ac:dyDescent="0.25">
      <c r="A102" s="675"/>
      <c r="B102" s="865" t="s">
        <v>1054</v>
      </c>
      <c r="C102" s="865"/>
      <c r="D102" s="865"/>
      <c r="E102" s="865"/>
      <c r="F102" s="865" t="s">
        <v>2666</v>
      </c>
      <c r="G102" s="865"/>
      <c r="H102" s="865"/>
      <c r="I102" s="865"/>
      <c r="J102" s="865" t="s">
        <v>129</v>
      </c>
      <c r="K102" s="865"/>
      <c r="L102" s="865"/>
      <c r="M102" s="865"/>
      <c r="N102" s="865"/>
      <c r="O102" s="865"/>
      <c r="P102" s="865"/>
    </row>
    <row r="103" spans="1:16" ht="27.2" customHeight="1" x14ac:dyDescent="0.25">
      <c r="A103" s="675"/>
      <c r="B103" s="865" t="s">
        <v>1055</v>
      </c>
      <c r="C103" s="865"/>
      <c r="D103" s="865"/>
      <c r="E103" s="865"/>
      <c r="F103" s="865" t="s">
        <v>2665</v>
      </c>
      <c r="G103" s="865"/>
      <c r="H103" s="865"/>
      <c r="I103" s="865"/>
      <c r="J103" s="865" t="s">
        <v>129</v>
      </c>
      <c r="K103" s="865"/>
      <c r="L103" s="865"/>
      <c r="M103" s="865"/>
      <c r="N103" s="865"/>
      <c r="O103" s="865"/>
      <c r="P103" s="865"/>
    </row>
    <row r="104" spans="1:16" ht="54.4" customHeight="1" x14ac:dyDescent="0.25">
      <c r="A104" s="675"/>
      <c r="B104" s="865" t="s">
        <v>1056</v>
      </c>
      <c r="C104" s="865"/>
      <c r="D104" s="865"/>
      <c r="E104" s="865"/>
      <c r="F104" s="865" t="s">
        <v>2664</v>
      </c>
      <c r="G104" s="865"/>
      <c r="H104" s="865"/>
      <c r="I104" s="865"/>
      <c r="J104" s="865" t="s">
        <v>129</v>
      </c>
      <c r="K104" s="865"/>
      <c r="L104" s="865"/>
      <c r="M104" s="865"/>
      <c r="N104" s="865"/>
      <c r="O104" s="865"/>
      <c r="P104" s="865"/>
    </row>
    <row r="105" spans="1:16" ht="149.65" customHeight="1" x14ac:dyDescent="0.25">
      <c r="A105" s="674" t="s">
        <v>42</v>
      </c>
      <c r="B105" s="781" t="s">
        <v>1778</v>
      </c>
      <c r="C105" s="782"/>
      <c r="D105" s="782"/>
      <c r="E105" s="782"/>
      <c r="F105" s="782" t="s">
        <v>1779</v>
      </c>
      <c r="G105" s="782"/>
      <c r="H105" s="782"/>
      <c r="I105" s="782"/>
      <c r="J105" s="782" t="s">
        <v>2912</v>
      </c>
      <c r="K105" s="782"/>
      <c r="L105" s="782"/>
      <c r="M105" s="866">
        <f>ROUND((3478 + 441 * 23) * 1 * 7.1 * 0.4 * 4.7 * 0.2 * 1.27667, 0)</f>
        <v>46423</v>
      </c>
      <c r="N105" s="782"/>
      <c r="O105" s="782" t="s">
        <v>129</v>
      </c>
      <c r="P105" s="782"/>
    </row>
    <row r="106" spans="1:16" x14ac:dyDescent="0.25">
      <c r="A106" s="676"/>
      <c r="B106" s="864" t="s">
        <v>306</v>
      </c>
      <c r="C106" s="864"/>
      <c r="D106" s="864"/>
      <c r="E106" s="864"/>
      <c r="F106" s="864" t="s">
        <v>129</v>
      </c>
      <c r="G106" s="864"/>
      <c r="H106" s="864"/>
      <c r="I106" s="864"/>
      <c r="J106" s="864" t="s">
        <v>129</v>
      </c>
      <c r="K106" s="864"/>
      <c r="L106" s="864"/>
      <c r="M106" s="864"/>
      <c r="N106" s="864"/>
      <c r="O106" s="864"/>
      <c r="P106" s="864"/>
    </row>
    <row r="107" spans="1:16" x14ac:dyDescent="0.25">
      <c r="A107" s="675"/>
      <c r="B107" s="865" t="s">
        <v>325</v>
      </c>
      <c r="C107" s="865"/>
      <c r="D107" s="865"/>
      <c r="E107" s="865"/>
      <c r="F107" s="865" t="s">
        <v>326</v>
      </c>
      <c r="G107" s="865"/>
      <c r="H107" s="865"/>
      <c r="I107" s="865"/>
      <c r="J107" s="865" t="s">
        <v>129</v>
      </c>
      <c r="K107" s="865"/>
      <c r="L107" s="865"/>
      <c r="M107" s="865"/>
      <c r="N107" s="865"/>
      <c r="O107" s="865"/>
      <c r="P107" s="865"/>
    </row>
    <row r="108" spans="1:16" ht="40.9" customHeight="1" x14ac:dyDescent="0.25">
      <c r="A108" s="675"/>
      <c r="B108" s="865" t="s">
        <v>360</v>
      </c>
      <c r="C108" s="865"/>
      <c r="D108" s="865"/>
      <c r="E108" s="865"/>
      <c r="F108" s="865" t="s">
        <v>361</v>
      </c>
      <c r="G108" s="865"/>
      <c r="H108" s="865"/>
      <c r="I108" s="865"/>
      <c r="J108" s="865" t="s">
        <v>129</v>
      </c>
      <c r="K108" s="865"/>
      <c r="L108" s="865"/>
      <c r="M108" s="865"/>
      <c r="N108" s="865"/>
      <c r="O108" s="865"/>
      <c r="P108" s="865"/>
    </row>
    <row r="109" spans="1:16" ht="68.099999999999994" customHeight="1" x14ac:dyDescent="0.25">
      <c r="A109" s="675"/>
      <c r="B109" s="865" t="s">
        <v>1780</v>
      </c>
      <c r="C109" s="865"/>
      <c r="D109" s="865"/>
      <c r="E109" s="865"/>
      <c r="F109" s="865" t="s">
        <v>2663</v>
      </c>
      <c r="G109" s="865"/>
      <c r="H109" s="865"/>
      <c r="I109" s="865"/>
      <c r="J109" s="865" t="s">
        <v>129</v>
      </c>
      <c r="K109" s="865"/>
      <c r="L109" s="865"/>
      <c r="M109" s="865"/>
      <c r="N109" s="865"/>
      <c r="O109" s="865"/>
      <c r="P109" s="865"/>
    </row>
    <row r="110" spans="1:16" ht="108.75" customHeight="1" x14ac:dyDescent="0.25">
      <c r="A110" s="675"/>
      <c r="B110" s="865" t="s">
        <v>2608</v>
      </c>
      <c r="C110" s="865"/>
      <c r="D110" s="865"/>
      <c r="E110" s="865"/>
      <c r="F110" s="865" t="s">
        <v>334</v>
      </c>
      <c r="G110" s="865"/>
      <c r="H110" s="865"/>
      <c r="I110" s="865"/>
      <c r="J110" s="865" t="s">
        <v>129</v>
      </c>
      <c r="K110" s="865"/>
      <c r="L110" s="865"/>
      <c r="M110" s="865"/>
      <c r="N110" s="865"/>
      <c r="O110" s="865"/>
      <c r="P110" s="865"/>
    </row>
    <row r="111" spans="1:16" ht="149.65" customHeight="1" x14ac:dyDescent="0.25">
      <c r="A111" s="675"/>
      <c r="B111" s="865" t="s">
        <v>329</v>
      </c>
      <c r="C111" s="865"/>
      <c r="D111" s="865"/>
      <c r="E111" s="865"/>
      <c r="F111" s="865" t="s">
        <v>2906</v>
      </c>
      <c r="G111" s="865"/>
      <c r="H111" s="865"/>
      <c r="I111" s="865"/>
      <c r="J111" s="865" t="s">
        <v>129</v>
      </c>
      <c r="K111" s="865"/>
      <c r="L111" s="865"/>
      <c r="M111" s="865"/>
      <c r="N111" s="865"/>
      <c r="O111" s="865"/>
      <c r="P111" s="865"/>
    </row>
    <row r="112" spans="1:16" x14ac:dyDescent="0.25">
      <c r="A112" s="676"/>
      <c r="B112" s="864" t="s">
        <v>330</v>
      </c>
      <c r="C112" s="864"/>
      <c r="D112" s="864"/>
      <c r="E112" s="864"/>
      <c r="F112" s="864" t="s">
        <v>129</v>
      </c>
      <c r="G112" s="864"/>
      <c r="H112" s="864"/>
      <c r="I112" s="864"/>
      <c r="J112" s="864" t="s">
        <v>129</v>
      </c>
      <c r="K112" s="864"/>
      <c r="L112" s="864"/>
      <c r="M112" s="864"/>
      <c r="N112" s="864"/>
      <c r="O112" s="864"/>
      <c r="P112" s="864"/>
    </row>
    <row r="113" spans="1:16" x14ac:dyDescent="0.25">
      <c r="A113" s="675"/>
      <c r="B113" s="865" t="s">
        <v>1028</v>
      </c>
      <c r="C113" s="865"/>
      <c r="D113" s="865"/>
      <c r="E113" s="865"/>
      <c r="F113" s="865" t="s">
        <v>2911</v>
      </c>
      <c r="G113" s="865"/>
      <c r="H113" s="865"/>
      <c r="I113" s="865"/>
      <c r="J113" s="865" t="s">
        <v>129</v>
      </c>
      <c r="K113" s="865"/>
      <c r="L113" s="865"/>
      <c r="M113" s="865"/>
      <c r="N113" s="865"/>
      <c r="O113" s="865"/>
      <c r="P113" s="865"/>
    </row>
    <row r="114" spans="1:16" ht="27.2" customHeight="1" x14ac:dyDescent="0.25">
      <c r="A114" s="675"/>
      <c r="B114" s="865" t="s">
        <v>1222</v>
      </c>
      <c r="C114" s="865"/>
      <c r="D114" s="865"/>
      <c r="E114" s="865"/>
      <c r="F114" s="865" t="s">
        <v>2910</v>
      </c>
      <c r="G114" s="865"/>
      <c r="H114" s="865"/>
      <c r="I114" s="865"/>
      <c r="J114" s="865" t="s">
        <v>129</v>
      </c>
      <c r="K114" s="865"/>
      <c r="L114" s="865"/>
      <c r="M114" s="865"/>
      <c r="N114" s="865"/>
      <c r="O114" s="865"/>
      <c r="P114" s="865"/>
    </row>
    <row r="115" spans="1:16" ht="27.2" customHeight="1" x14ac:dyDescent="0.25">
      <c r="A115" s="675"/>
      <c r="B115" s="865" t="s">
        <v>1053</v>
      </c>
      <c r="C115" s="865"/>
      <c r="D115" s="865"/>
      <c r="E115" s="865"/>
      <c r="F115" s="865" t="s">
        <v>2909</v>
      </c>
      <c r="G115" s="865"/>
      <c r="H115" s="865"/>
      <c r="I115" s="865"/>
      <c r="J115" s="865" t="s">
        <v>129</v>
      </c>
      <c r="K115" s="865"/>
      <c r="L115" s="865"/>
      <c r="M115" s="865"/>
      <c r="N115" s="865"/>
      <c r="O115" s="865"/>
      <c r="P115" s="865"/>
    </row>
    <row r="116" spans="1:16" x14ac:dyDescent="0.25">
      <c r="A116" s="675"/>
      <c r="B116" s="865" t="s">
        <v>1482</v>
      </c>
      <c r="C116" s="865"/>
      <c r="D116" s="865"/>
      <c r="E116" s="865"/>
      <c r="F116" s="865" t="s">
        <v>2908</v>
      </c>
      <c r="G116" s="865"/>
      <c r="H116" s="865"/>
      <c r="I116" s="865"/>
      <c r="J116" s="865" t="s">
        <v>129</v>
      </c>
      <c r="K116" s="865"/>
      <c r="L116" s="865"/>
      <c r="M116" s="865"/>
      <c r="N116" s="865"/>
      <c r="O116" s="865"/>
      <c r="P116" s="865"/>
    </row>
    <row r="117" spans="1:16" ht="135.94999999999999" customHeight="1" x14ac:dyDescent="0.25">
      <c r="A117" s="674" t="s">
        <v>158</v>
      </c>
      <c r="B117" s="781" t="s">
        <v>1782</v>
      </c>
      <c r="C117" s="782"/>
      <c r="D117" s="782"/>
      <c r="E117" s="782"/>
      <c r="F117" s="782" t="s">
        <v>1783</v>
      </c>
      <c r="G117" s="782"/>
      <c r="H117" s="782"/>
      <c r="I117" s="782"/>
      <c r="J117" s="782" t="s">
        <v>2907</v>
      </c>
      <c r="K117" s="782"/>
      <c r="L117" s="782"/>
      <c r="M117" s="866">
        <f>ROUND((59180 + 190 * 23) * 1 * 7.1 * 0.4 * 4.7 * 0.2 * 1.27667, 0)</f>
        <v>216591</v>
      </c>
      <c r="N117" s="782"/>
      <c r="O117" s="782" t="s">
        <v>129</v>
      </c>
      <c r="P117" s="782"/>
    </row>
    <row r="118" spans="1:16" x14ac:dyDescent="0.25">
      <c r="A118" s="676"/>
      <c r="B118" s="864" t="s">
        <v>306</v>
      </c>
      <c r="C118" s="864"/>
      <c r="D118" s="864"/>
      <c r="E118" s="864"/>
      <c r="F118" s="864" t="s">
        <v>129</v>
      </c>
      <c r="G118" s="864"/>
      <c r="H118" s="864"/>
      <c r="I118" s="864"/>
      <c r="J118" s="864" t="s">
        <v>129</v>
      </c>
      <c r="K118" s="864"/>
      <c r="L118" s="864"/>
      <c r="M118" s="864"/>
      <c r="N118" s="864"/>
      <c r="O118" s="864"/>
      <c r="P118" s="864"/>
    </row>
    <row r="119" spans="1:16" x14ac:dyDescent="0.25">
      <c r="A119" s="675"/>
      <c r="B119" s="865" t="s">
        <v>325</v>
      </c>
      <c r="C119" s="865"/>
      <c r="D119" s="865"/>
      <c r="E119" s="865"/>
      <c r="F119" s="865" t="s">
        <v>326</v>
      </c>
      <c r="G119" s="865"/>
      <c r="H119" s="865"/>
      <c r="I119" s="865"/>
      <c r="J119" s="865" t="s">
        <v>129</v>
      </c>
      <c r="K119" s="865"/>
      <c r="L119" s="865"/>
      <c r="M119" s="865"/>
      <c r="N119" s="865"/>
      <c r="O119" s="865"/>
      <c r="P119" s="865"/>
    </row>
    <row r="120" spans="1:16" ht="40.9" customHeight="1" x14ac:dyDescent="0.25">
      <c r="A120" s="675"/>
      <c r="B120" s="865" t="s">
        <v>360</v>
      </c>
      <c r="C120" s="865"/>
      <c r="D120" s="865"/>
      <c r="E120" s="865"/>
      <c r="F120" s="865" t="s">
        <v>361</v>
      </c>
      <c r="G120" s="865"/>
      <c r="H120" s="865"/>
      <c r="I120" s="865"/>
      <c r="J120" s="865" t="s">
        <v>129</v>
      </c>
      <c r="K120" s="865"/>
      <c r="L120" s="865"/>
      <c r="M120" s="865"/>
      <c r="N120" s="865"/>
      <c r="O120" s="865"/>
      <c r="P120" s="865"/>
    </row>
    <row r="121" spans="1:16" ht="68.099999999999994" customHeight="1" x14ac:dyDescent="0.25">
      <c r="A121" s="675"/>
      <c r="B121" s="865" t="s">
        <v>1780</v>
      </c>
      <c r="C121" s="865"/>
      <c r="D121" s="865"/>
      <c r="E121" s="865"/>
      <c r="F121" s="865" t="s">
        <v>2663</v>
      </c>
      <c r="G121" s="865"/>
      <c r="H121" s="865"/>
      <c r="I121" s="865"/>
      <c r="J121" s="865" t="s">
        <v>129</v>
      </c>
      <c r="K121" s="865"/>
      <c r="L121" s="865"/>
      <c r="M121" s="865"/>
      <c r="N121" s="865"/>
      <c r="O121" s="865"/>
      <c r="P121" s="865"/>
    </row>
    <row r="122" spans="1:16" ht="108.75" customHeight="1" x14ac:dyDescent="0.25">
      <c r="A122" s="675"/>
      <c r="B122" s="865" t="s">
        <v>2608</v>
      </c>
      <c r="C122" s="865"/>
      <c r="D122" s="865"/>
      <c r="E122" s="865"/>
      <c r="F122" s="865" t="s">
        <v>334</v>
      </c>
      <c r="G122" s="865"/>
      <c r="H122" s="865"/>
      <c r="I122" s="865"/>
      <c r="J122" s="865" t="s">
        <v>129</v>
      </c>
      <c r="K122" s="865"/>
      <c r="L122" s="865"/>
      <c r="M122" s="865"/>
      <c r="N122" s="865"/>
      <c r="O122" s="865"/>
      <c r="P122" s="865"/>
    </row>
    <row r="123" spans="1:16" ht="149.65" customHeight="1" x14ac:dyDescent="0.25">
      <c r="A123" s="675"/>
      <c r="B123" s="865" t="s">
        <v>329</v>
      </c>
      <c r="C123" s="865"/>
      <c r="D123" s="865"/>
      <c r="E123" s="865"/>
      <c r="F123" s="865" t="s">
        <v>2906</v>
      </c>
      <c r="G123" s="865"/>
      <c r="H123" s="865"/>
      <c r="I123" s="865"/>
      <c r="J123" s="865" t="s">
        <v>129</v>
      </c>
      <c r="K123" s="865"/>
      <c r="L123" s="865"/>
      <c r="M123" s="865"/>
      <c r="N123" s="865"/>
      <c r="O123" s="865"/>
      <c r="P123" s="865"/>
    </row>
    <row r="124" spans="1:16" x14ac:dyDescent="0.25">
      <c r="A124" s="676"/>
      <c r="B124" s="864" t="s">
        <v>330</v>
      </c>
      <c r="C124" s="864"/>
      <c r="D124" s="864"/>
      <c r="E124" s="864"/>
      <c r="F124" s="864" t="s">
        <v>129</v>
      </c>
      <c r="G124" s="864"/>
      <c r="H124" s="864"/>
      <c r="I124" s="864"/>
      <c r="J124" s="864" t="s">
        <v>129</v>
      </c>
      <c r="K124" s="864"/>
      <c r="L124" s="864"/>
      <c r="M124" s="864"/>
      <c r="N124" s="864"/>
      <c r="O124" s="864"/>
      <c r="P124" s="864"/>
    </row>
    <row r="125" spans="1:16" x14ac:dyDescent="0.25">
      <c r="A125" s="675"/>
      <c r="B125" s="865" t="s">
        <v>1028</v>
      </c>
      <c r="C125" s="865"/>
      <c r="D125" s="865"/>
      <c r="E125" s="865"/>
      <c r="F125" s="865" t="s">
        <v>2905</v>
      </c>
      <c r="G125" s="865"/>
      <c r="H125" s="865"/>
      <c r="I125" s="865"/>
      <c r="J125" s="865" t="s">
        <v>129</v>
      </c>
      <c r="K125" s="865"/>
      <c r="L125" s="865"/>
      <c r="M125" s="865"/>
      <c r="N125" s="865"/>
      <c r="O125" s="865"/>
      <c r="P125" s="865"/>
    </row>
    <row r="126" spans="1:16" ht="27.2" customHeight="1" x14ac:dyDescent="0.25">
      <c r="A126" s="675"/>
      <c r="B126" s="865" t="s">
        <v>1222</v>
      </c>
      <c r="C126" s="865"/>
      <c r="D126" s="865"/>
      <c r="E126" s="865"/>
      <c r="F126" s="865" t="s">
        <v>2904</v>
      </c>
      <c r="G126" s="865"/>
      <c r="H126" s="865"/>
      <c r="I126" s="865"/>
      <c r="J126" s="865" t="s">
        <v>129</v>
      </c>
      <c r="K126" s="865"/>
      <c r="L126" s="865"/>
      <c r="M126" s="865"/>
      <c r="N126" s="865"/>
      <c r="O126" s="865"/>
      <c r="P126" s="865"/>
    </row>
    <row r="127" spans="1:16" ht="27.2" customHeight="1" x14ac:dyDescent="0.25">
      <c r="A127" s="675"/>
      <c r="B127" s="865" t="s">
        <v>1053</v>
      </c>
      <c r="C127" s="865"/>
      <c r="D127" s="865"/>
      <c r="E127" s="865"/>
      <c r="F127" s="865" t="s">
        <v>2903</v>
      </c>
      <c r="G127" s="865"/>
      <c r="H127" s="865"/>
      <c r="I127" s="865"/>
      <c r="J127" s="865" t="s">
        <v>129</v>
      </c>
      <c r="K127" s="865"/>
      <c r="L127" s="865"/>
      <c r="M127" s="865"/>
      <c r="N127" s="865"/>
      <c r="O127" s="865"/>
      <c r="P127" s="865"/>
    </row>
    <row r="128" spans="1:16" x14ac:dyDescent="0.25">
      <c r="A128" s="675"/>
      <c r="B128" s="865" t="s">
        <v>1482</v>
      </c>
      <c r="C128" s="865"/>
      <c r="D128" s="865"/>
      <c r="E128" s="865"/>
      <c r="F128" s="865" t="s">
        <v>2902</v>
      </c>
      <c r="G128" s="865"/>
      <c r="H128" s="865"/>
      <c r="I128" s="865"/>
      <c r="J128" s="865" t="s">
        <v>129</v>
      </c>
      <c r="K128" s="865"/>
      <c r="L128" s="865"/>
      <c r="M128" s="865"/>
      <c r="N128" s="865"/>
      <c r="O128" s="865"/>
      <c r="P128" s="865"/>
    </row>
    <row r="129" spans="1:16" ht="122.45" customHeight="1" x14ac:dyDescent="0.25">
      <c r="A129" s="674" t="s">
        <v>173</v>
      </c>
      <c r="B129" s="781" t="s">
        <v>1057</v>
      </c>
      <c r="C129" s="782"/>
      <c r="D129" s="782"/>
      <c r="E129" s="782"/>
      <c r="F129" s="782" t="s">
        <v>1058</v>
      </c>
      <c r="G129" s="782"/>
      <c r="H129" s="782"/>
      <c r="I129" s="782"/>
      <c r="J129" s="782" t="s">
        <v>2901</v>
      </c>
      <c r="K129" s="782"/>
      <c r="L129" s="782"/>
      <c r="M129" s="866">
        <f>ROUND((437500 + 2393 * 600) * 1 * 1.53 * 0.4 * 0.8 * 0.35 * 1.25851, 0)</f>
        <v>403993</v>
      </c>
      <c r="N129" s="782"/>
      <c r="O129" s="782" t="s">
        <v>129</v>
      </c>
      <c r="P129" s="782"/>
    </row>
    <row r="130" spans="1:16" x14ac:dyDescent="0.25">
      <c r="A130" s="676"/>
      <c r="B130" s="864" t="s">
        <v>306</v>
      </c>
      <c r="C130" s="864"/>
      <c r="D130" s="864"/>
      <c r="E130" s="864"/>
      <c r="F130" s="864" t="s">
        <v>129</v>
      </c>
      <c r="G130" s="864"/>
      <c r="H130" s="864"/>
      <c r="I130" s="864"/>
      <c r="J130" s="864" t="s">
        <v>129</v>
      </c>
      <c r="K130" s="864"/>
      <c r="L130" s="864"/>
      <c r="M130" s="864"/>
      <c r="N130" s="864"/>
      <c r="O130" s="864"/>
      <c r="P130" s="864"/>
    </row>
    <row r="131" spans="1:16" x14ac:dyDescent="0.25">
      <c r="A131" s="675"/>
      <c r="B131" s="865" t="s">
        <v>325</v>
      </c>
      <c r="C131" s="865"/>
      <c r="D131" s="865"/>
      <c r="E131" s="865"/>
      <c r="F131" s="865" t="s">
        <v>326</v>
      </c>
      <c r="G131" s="865"/>
      <c r="H131" s="865"/>
      <c r="I131" s="865"/>
      <c r="J131" s="865" t="s">
        <v>129</v>
      </c>
      <c r="K131" s="865"/>
      <c r="L131" s="865"/>
      <c r="M131" s="865"/>
      <c r="N131" s="865"/>
      <c r="O131" s="865"/>
      <c r="P131" s="865"/>
    </row>
    <row r="132" spans="1:16" ht="40.9" customHeight="1" x14ac:dyDescent="0.25">
      <c r="A132" s="675"/>
      <c r="B132" s="865" t="s">
        <v>336</v>
      </c>
      <c r="C132" s="865"/>
      <c r="D132" s="865"/>
      <c r="E132" s="865"/>
      <c r="F132" s="865" t="s">
        <v>337</v>
      </c>
      <c r="G132" s="865"/>
      <c r="H132" s="865"/>
      <c r="I132" s="865"/>
      <c r="J132" s="865" t="s">
        <v>129</v>
      </c>
      <c r="K132" s="865"/>
      <c r="L132" s="865"/>
      <c r="M132" s="865"/>
      <c r="N132" s="865"/>
      <c r="O132" s="865"/>
      <c r="P132" s="865"/>
    </row>
    <row r="133" spans="1:16" ht="122.45" customHeight="1" x14ac:dyDescent="0.25">
      <c r="A133" s="675"/>
      <c r="B133" s="865" t="s">
        <v>1059</v>
      </c>
      <c r="C133" s="865"/>
      <c r="D133" s="865"/>
      <c r="E133" s="865"/>
      <c r="F133" s="865" t="s">
        <v>1060</v>
      </c>
      <c r="G133" s="865"/>
      <c r="H133" s="865"/>
      <c r="I133" s="865"/>
      <c r="J133" s="865" t="s">
        <v>129</v>
      </c>
      <c r="K133" s="865"/>
      <c r="L133" s="865"/>
      <c r="M133" s="865"/>
      <c r="N133" s="865"/>
      <c r="O133" s="865"/>
      <c r="P133" s="865"/>
    </row>
    <row r="134" spans="1:16" ht="135.94999999999999" customHeight="1" x14ac:dyDescent="0.25">
      <c r="A134" s="675"/>
      <c r="B134" s="865" t="s">
        <v>1371</v>
      </c>
      <c r="C134" s="865"/>
      <c r="D134" s="865"/>
      <c r="E134" s="865"/>
      <c r="F134" s="865" t="s">
        <v>2446</v>
      </c>
      <c r="G134" s="865"/>
      <c r="H134" s="865"/>
      <c r="I134" s="865"/>
      <c r="J134" s="865" t="s">
        <v>129</v>
      </c>
      <c r="K134" s="865"/>
      <c r="L134" s="865"/>
      <c r="M134" s="865"/>
      <c r="N134" s="865"/>
      <c r="O134" s="865"/>
      <c r="P134" s="865"/>
    </row>
    <row r="135" spans="1:16" ht="149.65" customHeight="1" x14ac:dyDescent="0.25">
      <c r="A135" s="675"/>
      <c r="B135" s="865" t="s">
        <v>329</v>
      </c>
      <c r="C135" s="865"/>
      <c r="D135" s="865"/>
      <c r="E135" s="865"/>
      <c r="F135" s="865" t="s">
        <v>2900</v>
      </c>
      <c r="G135" s="865"/>
      <c r="H135" s="865"/>
      <c r="I135" s="865"/>
      <c r="J135" s="865" t="s">
        <v>129</v>
      </c>
      <c r="K135" s="865"/>
      <c r="L135" s="865"/>
      <c r="M135" s="865"/>
      <c r="N135" s="865"/>
      <c r="O135" s="865"/>
      <c r="P135" s="865"/>
    </row>
    <row r="136" spans="1:16" x14ac:dyDescent="0.25">
      <c r="A136" s="676"/>
      <c r="B136" s="864" t="s">
        <v>330</v>
      </c>
      <c r="C136" s="864"/>
      <c r="D136" s="864"/>
      <c r="E136" s="864"/>
      <c r="F136" s="864" t="s">
        <v>129</v>
      </c>
      <c r="G136" s="864"/>
      <c r="H136" s="864"/>
      <c r="I136" s="864"/>
      <c r="J136" s="864" t="s">
        <v>129</v>
      </c>
      <c r="K136" s="864"/>
      <c r="L136" s="864"/>
      <c r="M136" s="864"/>
      <c r="N136" s="864"/>
      <c r="O136" s="864"/>
      <c r="P136" s="864"/>
    </row>
    <row r="137" spans="1:16" x14ac:dyDescent="0.25">
      <c r="A137" s="675"/>
      <c r="B137" s="865" t="s">
        <v>1028</v>
      </c>
      <c r="C137" s="865"/>
      <c r="D137" s="865"/>
      <c r="E137" s="865"/>
      <c r="F137" s="865" t="s">
        <v>2899</v>
      </c>
      <c r="G137" s="865"/>
      <c r="H137" s="865"/>
      <c r="I137" s="865"/>
      <c r="J137" s="865" t="s">
        <v>129</v>
      </c>
      <c r="K137" s="865"/>
      <c r="L137" s="865"/>
      <c r="M137" s="865"/>
      <c r="N137" s="865"/>
      <c r="O137" s="865"/>
      <c r="P137" s="865"/>
    </row>
    <row r="138" spans="1:16" ht="27.2" customHeight="1" x14ac:dyDescent="0.25">
      <c r="A138" s="675"/>
      <c r="B138" s="865" t="s">
        <v>1029</v>
      </c>
      <c r="C138" s="865"/>
      <c r="D138" s="865"/>
      <c r="E138" s="865"/>
      <c r="F138" s="865" t="s">
        <v>2898</v>
      </c>
      <c r="G138" s="865"/>
      <c r="H138" s="865"/>
      <c r="I138" s="865"/>
      <c r="J138" s="865" t="s">
        <v>129</v>
      </c>
      <c r="K138" s="865"/>
      <c r="L138" s="865"/>
      <c r="M138" s="865"/>
      <c r="N138" s="865"/>
      <c r="O138" s="865"/>
      <c r="P138" s="865"/>
    </row>
    <row r="139" spans="1:16" ht="27.2" customHeight="1" x14ac:dyDescent="0.25">
      <c r="A139" s="675"/>
      <c r="B139" s="865" t="s">
        <v>1061</v>
      </c>
      <c r="C139" s="865"/>
      <c r="D139" s="865"/>
      <c r="E139" s="865"/>
      <c r="F139" s="865" t="s">
        <v>2897</v>
      </c>
      <c r="G139" s="865"/>
      <c r="H139" s="865"/>
      <c r="I139" s="865"/>
      <c r="J139" s="865" t="s">
        <v>129</v>
      </c>
      <c r="K139" s="865"/>
      <c r="L139" s="865"/>
      <c r="M139" s="865"/>
      <c r="N139" s="865"/>
      <c r="O139" s="865"/>
      <c r="P139" s="865"/>
    </row>
    <row r="140" spans="1:16" ht="27.2" customHeight="1" x14ac:dyDescent="0.25">
      <c r="A140" s="675"/>
      <c r="B140" s="865" t="s">
        <v>1062</v>
      </c>
      <c r="C140" s="865"/>
      <c r="D140" s="865"/>
      <c r="E140" s="865"/>
      <c r="F140" s="865" t="s">
        <v>2896</v>
      </c>
      <c r="G140" s="865"/>
      <c r="H140" s="865"/>
      <c r="I140" s="865"/>
      <c r="J140" s="865" t="s">
        <v>129</v>
      </c>
      <c r="K140" s="865"/>
      <c r="L140" s="865"/>
      <c r="M140" s="865"/>
      <c r="N140" s="865"/>
      <c r="O140" s="865"/>
      <c r="P140" s="865"/>
    </row>
    <row r="141" spans="1:16" ht="27.2" customHeight="1" x14ac:dyDescent="0.25">
      <c r="A141" s="675"/>
      <c r="B141" s="865" t="s">
        <v>1063</v>
      </c>
      <c r="C141" s="865"/>
      <c r="D141" s="865"/>
      <c r="E141" s="865"/>
      <c r="F141" s="865" t="s">
        <v>2895</v>
      </c>
      <c r="G141" s="865"/>
      <c r="H141" s="865"/>
      <c r="I141" s="865"/>
      <c r="J141" s="865" t="s">
        <v>129</v>
      </c>
      <c r="K141" s="865"/>
      <c r="L141" s="865"/>
      <c r="M141" s="865"/>
      <c r="N141" s="865"/>
      <c r="O141" s="865"/>
      <c r="P141" s="865"/>
    </row>
    <row r="142" spans="1:16" ht="27.2" customHeight="1" x14ac:dyDescent="0.25">
      <c r="A142" s="675"/>
      <c r="B142" s="865" t="s">
        <v>1064</v>
      </c>
      <c r="C142" s="865"/>
      <c r="D142" s="865"/>
      <c r="E142" s="865"/>
      <c r="F142" s="865" t="s">
        <v>2894</v>
      </c>
      <c r="G142" s="865"/>
      <c r="H142" s="865"/>
      <c r="I142" s="865"/>
      <c r="J142" s="865" t="s">
        <v>129</v>
      </c>
      <c r="K142" s="865"/>
      <c r="L142" s="865"/>
      <c r="M142" s="865"/>
      <c r="N142" s="865"/>
      <c r="O142" s="865"/>
      <c r="P142" s="865"/>
    </row>
    <row r="143" spans="1:16" x14ac:dyDescent="0.25">
      <c r="A143" s="675"/>
      <c r="B143" s="865" t="s">
        <v>1065</v>
      </c>
      <c r="C143" s="865"/>
      <c r="D143" s="865"/>
      <c r="E143" s="865"/>
      <c r="F143" s="865" t="s">
        <v>2893</v>
      </c>
      <c r="G143" s="865"/>
      <c r="H143" s="865"/>
      <c r="I143" s="865"/>
      <c r="J143" s="865" t="s">
        <v>129</v>
      </c>
      <c r="K143" s="865"/>
      <c r="L143" s="865"/>
      <c r="M143" s="865"/>
      <c r="N143" s="865"/>
      <c r="O143" s="865"/>
      <c r="P143" s="865"/>
    </row>
    <row r="144" spans="1:16" ht="40.9" customHeight="1" x14ac:dyDescent="0.25">
      <c r="A144" s="675"/>
      <c r="B144" s="865" t="s">
        <v>1066</v>
      </c>
      <c r="C144" s="865"/>
      <c r="D144" s="865"/>
      <c r="E144" s="865"/>
      <c r="F144" s="865" t="s">
        <v>2892</v>
      </c>
      <c r="G144" s="865"/>
      <c r="H144" s="865"/>
      <c r="I144" s="865"/>
      <c r="J144" s="865" t="s">
        <v>129</v>
      </c>
      <c r="K144" s="865"/>
      <c r="L144" s="865"/>
      <c r="M144" s="865"/>
      <c r="N144" s="865"/>
      <c r="O144" s="865"/>
      <c r="P144" s="865"/>
    </row>
    <row r="145" spans="1:16" ht="27.2" customHeight="1" x14ac:dyDescent="0.25">
      <c r="A145" s="675"/>
      <c r="B145" s="865" t="s">
        <v>1033</v>
      </c>
      <c r="C145" s="865"/>
      <c r="D145" s="865"/>
      <c r="E145" s="865"/>
      <c r="F145" s="865" t="s">
        <v>2890</v>
      </c>
      <c r="G145" s="865"/>
      <c r="H145" s="865"/>
      <c r="I145" s="865"/>
      <c r="J145" s="865" t="s">
        <v>129</v>
      </c>
      <c r="K145" s="865"/>
      <c r="L145" s="865"/>
      <c r="M145" s="865"/>
      <c r="N145" s="865"/>
      <c r="O145" s="865"/>
      <c r="P145" s="865"/>
    </row>
    <row r="146" spans="1:16" ht="40.9" customHeight="1" x14ac:dyDescent="0.25">
      <c r="A146" s="675"/>
      <c r="B146" s="865" t="s">
        <v>1067</v>
      </c>
      <c r="C146" s="865"/>
      <c r="D146" s="865"/>
      <c r="E146" s="865"/>
      <c r="F146" s="865" t="s">
        <v>2890</v>
      </c>
      <c r="G146" s="865"/>
      <c r="H146" s="865"/>
      <c r="I146" s="865"/>
      <c r="J146" s="865" t="s">
        <v>129</v>
      </c>
      <c r="K146" s="865"/>
      <c r="L146" s="865"/>
      <c r="M146" s="865"/>
      <c r="N146" s="865"/>
      <c r="O146" s="865"/>
      <c r="P146" s="865"/>
    </row>
    <row r="147" spans="1:16" x14ac:dyDescent="0.25">
      <c r="A147" s="675"/>
      <c r="B147" s="865" t="s">
        <v>1068</v>
      </c>
      <c r="C147" s="865"/>
      <c r="D147" s="865"/>
      <c r="E147" s="865"/>
      <c r="F147" s="865" t="s">
        <v>2891</v>
      </c>
      <c r="G147" s="865"/>
      <c r="H147" s="865"/>
      <c r="I147" s="865"/>
      <c r="J147" s="865" t="s">
        <v>129</v>
      </c>
      <c r="K147" s="865"/>
      <c r="L147" s="865"/>
      <c r="M147" s="865"/>
      <c r="N147" s="865"/>
      <c r="O147" s="865"/>
      <c r="P147" s="865"/>
    </row>
    <row r="148" spans="1:16" x14ac:dyDescent="0.25">
      <c r="A148" s="675"/>
      <c r="B148" s="865" t="s">
        <v>1069</v>
      </c>
      <c r="C148" s="865"/>
      <c r="D148" s="865"/>
      <c r="E148" s="865"/>
      <c r="F148" s="865" t="s">
        <v>2891</v>
      </c>
      <c r="G148" s="865"/>
      <c r="H148" s="865"/>
      <c r="I148" s="865"/>
      <c r="J148" s="865" t="s">
        <v>129</v>
      </c>
      <c r="K148" s="865"/>
      <c r="L148" s="865"/>
      <c r="M148" s="865"/>
      <c r="N148" s="865"/>
      <c r="O148" s="865"/>
      <c r="P148" s="865"/>
    </row>
    <row r="149" spans="1:16" ht="27.2" customHeight="1" x14ac:dyDescent="0.25">
      <c r="A149" s="675"/>
      <c r="B149" s="865" t="s">
        <v>1070</v>
      </c>
      <c r="C149" s="865"/>
      <c r="D149" s="865"/>
      <c r="E149" s="865"/>
      <c r="F149" s="865" t="s">
        <v>2890</v>
      </c>
      <c r="G149" s="865"/>
      <c r="H149" s="865"/>
      <c r="I149" s="865"/>
      <c r="J149" s="865" t="s">
        <v>129</v>
      </c>
      <c r="K149" s="865"/>
      <c r="L149" s="865"/>
      <c r="M149" s="865"/>
      <c r="N149" s="865"/>
      <c r="O149" s="865"/>
      <c r="P149" s="865"/>
    </row>
    <row r="150" spans="1:16" ht="27.2" customHeight="1" x14ac:dyDescent="0.25">
      <c r="A150" s="675"/>
      <c r="B150" s="865" t="s">
        <v>1071</v>
      </c>
      <c r="C150" s="865"/>
      <c r="D150" s="865"/>
      <c r="E150" s="865"/>
      <c r="F150" s="865" t="s">
        <v>2889</v>
      </c>
      <c r="G150" s="865"/>
      <c r="H150" s="865"/>
      <c r="I150" s="865"/>
      <c r="J150" s="865" t="s">
        <v>129</v>
      </c>
      <c r="K150" s="865"/>
      <c r="L150" s="865"/>
      <c r="M150" s="865"/>
      <c r="N150" s="865"/>
      <c r="O150" s="865"/>
      <c r="P150" s="865"/>
    </row>
    <row r="151" spans="1:16" x14ac:dyDescent="0.25">
      <c r="A151" s="675"/>
      <c r="B151" s="865" t="s">
        <v>1072</v>
      </c>
      <c r="C151" s="865"/>
      <c r="D151" s="865"/>
      <c r="E151" s="865"/>
      <c r="F151" s="865" t="s">
        <v>2888</v>
      </c>
      <c r="G151" s="865"/>
      <c r="H151" s="865"/>
      <c r="I151" s="865"/>
      <c r="J151" s="865" t="s">
        <v>129</v>
      </c>
      <c r="K151" s="865"/>
      <c r="L151" s="865"/>
      <c r="M151" s="865"/>
      <c r="N151" s="865"/>
      <c r="O151" s="865"/>
      <c r="P151" s="865"/>
    </row>
    <row r="152" spans="1:16" ht="27.2" customHeight="1" x14ac:dyDescent="0.25">
      <c r="A152" s="675"/>
      <c r="B152" s="865" t="s">
        <v>1073</v>
      </c>
      <c r="C152" s="865"/>
      <c r="D152" s="865"/>
      <c r="E152" s="865"/>
      <c r="F152" s="865" t="s">
        <v>2887</v>
      </c>
      <c r="G152" s="865"/>
      <c r="H152" s="865"/>
      <c r="I152" s="865"/>
      <c r="J152" s="865" t="s">
        <v>129</v>
      </c>
      <c r="K152" s="865"/>
      <c r="L152" s="865"/>
      <c r="M152" s="865"/>
      <c r="N152" s="865"/>
      <c r="O152" s="865"/>
      <c r="P152" s="865"/>
    </row>
    <row r="153" spans="1:16" ht="27.2" customHeight="1" x14ac:dyDescent="0.25">
      <c r="A153" s="675"/>
      <c r="B153" s="865" t="s">
        <v>1074</v>
      </c>
      <c r="C153" s="865"/>
      <c r="D153" s="865"/>
      <c r="E153" s="865"/>
      <c r="F153" s="865" t="s">
        <v>2885</v>
      </c>
      <c r="G153" s="865"/>
      <c r="H153" s="865"/>
      <c r="I153" s="865"/>
      <c r="J153" s="865" t="s">
        <v>129</v>
      </c>
      <c r="K153" s="865"/>
      <c r="L153" s="865"/>
      <c r="M153" s="865"/>
      <c r="N153" s="865"/>
      <c r="O153" s="865"/>
      <c r="P153" s="865"/>
    </row>
    <row r="154" spans="1:16" ht="27.2" customHeight="1" x14ac:dyDescent="0.25">
      <c r="A154" s="675"/>
      <c r="B154" s="865" t="s">
        <v>1075</v>
      </c>
      <c r="C154" s="865"/>
      <c r="D154" s="865"/>
      <c r="E154" s="865"/>
      <c r="F154" s="865" t="s">
        <v>2886</v>
      </c>
      <c r="G154" s="865"/>
      <c r="H154" s="865"/>
      <c r="I154" s="865"/>
      <c r="J154" s="865" t="s">
        <v>129</v>
      </c>
      <c r="K154" s="865"/>
      <c r="L154" s="865"/>
      <c r="M154" s="865"/>
      <c r="N154" s="865"/>
      <c r="O154" s="865"/>
      <c r="P154" s="865"/>
    </row>
    <row r="155" spans="1:16" ht="40.9" customHeight="1" x14ac:dyDescent="0.25">
      <c r="A155" s="675"/>
      <c r="B155" s="865" t="s">
        <v>1076</v>
      </c>
      <c r="C155" s="865"/>
      <c r="D155" s="865"/>
      <c r="E155" s="865"/>
      <c r="F155" s="865" t="s">
        <v>2885</v>
      </c>
      <c r="G155" s="865"/>
      <c r="H155" s="865"/>
      <c r="I155" s="865"/>
      <c r="J155" s="865" t="s">
        <v>129</v>
      </c>
      <c r="K155" s="865"/>
      <c r="L155" s="865"/>
      <c r="M155" s="865"/>
      <c r="N155" s="865"/>
      <c r="O155" s="865"/>
      <c r="P155" s="865"/>
    </row>
    <row r="156" spans="1:16" ht="54.4" customHeight="1" x14ac:dyDescent="0.25">
      <c r="A156" s="675"/>
      <c r="B156" s="865" t="s">
        <v>1077</v>
      </c>
      <c r="C156" s="865"/>
      <c r="D156" s="865"/>
      <c r="E156" s="865"/>
      <c r="F156" s="865" t="s">
        <v>2884</v>
      </c>
      <c r="G156" s="865"/>
      <c r="H156" s="865"/>
      <c r="I156" s="865"/>
      <c r="J156" s="865" t="s">
        <v>129</v>
      </c>
      <c r="K156" s="865"/>
      <c r="L156" s="865"/>
      <c r="M156" s="865"/>
      <c r="N156" s="865"/>
      <c r="O156" s="865"/>
      <c r="P156" s="865"/>
    </row>
    <row r="157" spans="1:16" ht="163.15" customHeight="1" x14ac:dyDescent="0.25">
      <c r="A157" s="674" t="s">
        <v>174</v>
      </c>
      <c r="B157" s="781" t="s">
        <v>1078</v>
      </c>
      <c r="C157" s="782"/>
      <c r="D157" s="782"/>
      <c r="E157" s="782"/>
      <c r="F157" s="782" t="s">
        <v>1079</v>
      </c>
      <c r="G157" s="782"/>
      <c r="H157" s="782"/>
      <c r="I157" s="782"/>
      <c r="J157" s="782" t="s">
        <v>2977</v>
      </c>
      <c r="K157" s="782"/>
      <c r="L157" s="782"/>
      <c r="M157" s="866">
        <f>ROUND((463700 + 1299 * (0.4 * 1800 + 0.6 * 3500)) * 1 * 1.68 * 0.4 * 0.9 * 1.2 * 0.2 * 1.30452, 0)</f>
        <v>781440</v>
      </c>
      <c r="N157" s="782"/>
      <c r="O157" s="782" t="s">
        <v>1784</v>
      </c>
      <c r="P157" s="782"/>
    </row>
    <row r="158" spans="1:16" x14ac:dyDescent="0.25">
      <c r="A158" s="676"/>
      <c r="B158" s="864" t="s">
        <v>306</v>
      </c>
      <c r="C158" s="864"/>
      <c r="D158" s="864"/>
      <c r="E158" s="864"/>
      <c r="F158" s="864" t="s">
        <v>129</v>
      </c>
      <c r="G158" s="864"/>
      <c r="H158" s="864"/>
      <c r="I158" s="864"/>
      <c r="J158" s="864" t="s">
        <v>129</v>
      </c>
      <c r="K158" s="864"/>
      <c r="L158" s="864"/>
      <c r="M158" s="864"/>
      <c r="N158" s="864"/>
      <c r="O158" s="864"/>
      <c r="P158" s="864"/>
    </row>
    <row r="159" spans="1:16" x14ac:dyDescent="0.25">
      <c r="A159" s="675"/>
      <c r="B159" s="865" t="s">
        <v>325</v>
      </c>
      <c r="C159" s="865"/>
      <c r="D159" s="865"/>
      <c r="E159" s="865"/>
      <c r="F159" s="865" t="s">
        <v>326</v>
      </c>
      <c r="G159" s="865"/>
      <c r="H159" s="865"/>
      <c r="I159" s="865"/>
      <c r="J159" s="865" t="s">
        <v>129</v>
      </c>
      <c r="K159" s="865"/>
      <c r="L159" s="865"/>
      <c r="M159" s="865"/>
      <c r="N159" s="865"/>
      <c r="O159" s="865"/>
      <c r="P159" s="865"/>
    </row>
    <row r="160" spans="1:16" ht="40.9" customHeight="1" x14ac:dyDescent="0.25">
      <c r="A160" s="675"/>
      <c r="B160" s="865" t="s">
        <v>331</v>
      </c>
      <c r="C160" s="865"/>
      <c r="D160" s="865"/>
      <c r="E160" s="865"/>
      <c r="F160" s="865" t="s">
        <v>332</v>
      </c>
      <c r="G160" s="865"/>
      <c r="H160" s="865"/>
      <c r="I160" s="865"/>
      <c r="J160" s="865" t="s">
        <v>129</v>
      </c>
      <c r="K160" s="865"/>
      <c r="L160" s="865"/>
      <c r="M160" s="865"/>
      <c r="N160" s="865"/>
      <c r="O160" s="865"/>
      <c r="P160" s="865"/>
    </row>
    <row r="161" spans="1:16" ht="108.75" customHeight="1" x14ac:dyDescent="0.25">
      <c r="A161" s="675"/>
      <c r="B161" s="865" t="s">
        <v>1809</v>
      </c>
      <c r="C161" s="865"/>
      <c r="D161" s="865"/>
      <c r="E161" s="865"/>
      <c r="F161" s="865" t="s">
        <v>1810</v>
      </c>
      <c r="G161" s="865"/>
      <c r="H161" s="865"/>
      <c r="I161" s="865"/>
      <c r="J161" s="865" t="s">
        <v>129</v>
      </c>
      <c r="K161" s="865"/>
      <c r="L161" s="865"/>
      <c r="M161" s="865"/>
      <c r="N161" s="865"/>
      <c r="O161" s="865"/>
      <c r="P161" s="865"/>
    </row>
    <row r="162" spans="1:16" ht="95.25" customHeight="1" x14ac:dyDescent="0.25">
      <c r="A162" s="675"/>
      <c r="B162" s="865" t="s">
        <v>1080</v>
      </c>
      <c r="C162" s="865"/>
      <c r="D162" s="865"/>
      <c r="E162" s="865"/>
      <c r="F162" s="865" t="s">
        <v>2976</v>
      </c>
      <c r="G162" s="865"/>
      <c r="H162" s="865"/>
      <c r="I162" s="865"/>
      <c r="J162" s="865" t="s">
        <v>129</v>
      </c>
      <c r="K162" s="865"/>
      <c r="L162" s="865"/>
      <c r="M162" s="865"/>
      <c r="N162" s="865"/>
      <c r="O162" s="865"/>
      <c r="P162" s="865"/>
    </row>
    <row r="163" spans="1:16" ht="122.45" customHeight="1" x14ac:dyDescent="0.25">
      <c r="A163" s="675"/>
      <c r="B163" s="865" t="s">
        <v>1785</v>
      </c>
      <c r="C163" s="865"/>
      <c r="D163" s="865"/>
      <c r="E163" s="865"/>
      <c r="F163" s="865" t="s">
        <v>2975</v>
      </c>
      <c r="G163" s="865"/>
      <c r="H163" s="865"/>
      <c r="I163" s="865"/>
      <c r="J163" s="865" t="s">
        <v>129</v>
      </c>
      <c r="K163" s="865"/>
      <c r="L163" s="865"/>
      <c r="M163" s="865"/>
      <c r="N163" s="865"/>
      <c r="O163" s="865"/>
      <c r="P163" s="865"/>
    </row>
    <row r="164" spans="1:16" ht="149.65" customHeight="1" x14ac:dyDescent="0.25">
      <c r="A164" s="675"/>
      <c r="B164" s="865" t="s">
        <v>329</v>
      </c>
      <c r="C164" s="865"/>
      <c r="D164" s="865"/>
      <c r="E164" s="865"/>
      <c r="F164" s="865" t="s">
        <v>2662</v>
      </c>
      <c r="G164" s="865"/>
      <c r="H164" s="865"/>
      <c r="I164" s="865"/>
      <c r="J164" s="865" t="s">
        <v>129</v>
      </c>
      <c r="K164" s="865"/>
      <c r="L164" s="865"/>
      <c r="M164" s="865"/>
      <c r="N164" s="865"/>
      <c r="O164" s="865"/>
      <c r="P164" s="865"/>
    </row>
    <row r="165" spans="1:16" ht="231.2" customHeight="1" x14ac:dyDescent="0.25">
      <c r="A165" s="675"/>
      <c r="B165" s="865" t="s">
        <v>1081</v>
      </c>
      <c r="C165" s="865"/>
      <c r="D165" s="865"/>
      <c r="E165" s="865"/>
      <c r="F165" s="865" t="s">
        <v>2974</v>
      </c>
      <c r="G165" s="865"/>
      <c r="H165" s="865"/>
      <c r="I165" s="865"/>
      <c r="J165" s="865" t="s">
        <v>129</v>
      </c>
      <c r="K165" s="865"/>
      <c r="L165" s="865"/>
      <c r="M165" s="865"/>
      <c r="N165" s="865"/>
      <c r="O165" s="865"/>
      <c r="P165" s="865"/>
    </row>
    <row r="166" spans="1:16" x14ac:dyDescent="0.25">
      <c r="A166" s="676"/>
      <c r="B166" s="864" t="s">
        <v>330</v>
      </c>
      <c r="C166" s="864"/>
      <c r="D166" s="864"/>
      <c r="E166" s="864"/>
      <c r="F166" s="864" t="s">
        <v>129</v>
      </c>
      <c r="G166" s="864"/>
      <c r="H166" s="864"/>
      <c r="I166" s="864"/>
      <c r="J166" s="864" t="s">
        <v>129</v>
      </c>
      <c r="K166" s="864"/>
      <c r="L166" s="864"/>
      <c r="M166" s="864"/>
      <c r="N166" s="864"/>
      <c r="O166" s="864"/>
      <c r="P166" s="864"/>
    </row>
    <row r="167" spans="1:16" x14ac:dyDescent="0.25">
      <c r="A167" s="675"/>
      <c r="B167" s="865" t="s">
        <v>1028</v>
      </c>
      <c r="C167" s="865"/>
      <c r="D167" s="865"/>
      <c r="E167" s="865"/>
      <c r="F167" s="865" t="s">
        <v>2973</v>
      </c>
      <c r="G167" s="865"/>
      <c r="H167" s="865"/>
      <c r="I167" s="865"/>
      <c r="J167" s="865" t="s">
        <v>129</v>
      </c>
      <c r="K167" s="865"/>
      <c r="L167" s="865"/>
      <c r="M167" s="865"/>
      <c r="N167" s="865"/>
      <c r="O167" s="865"/>
      <c r="P167" s="865"/>
    </row>
    <row r="168" spans="1:16" ht="27.2" customHeight="1" x14ac:dyDescent="0.25">
      <c r="A168" s="675"/>
      <c r="B168" s="865" t="s">
        <v>1082</v>
      </c>
      <c r="C168" s="865"/>
      <c r="D168" s="865"/>
      <c r="E168" s="865"/>
      <c r="F168" s="865" t="s">
        <v>2972</v>
      </c>
      <c r="G168" s="865"/>
      <c r="H168" s="865"/>
      <c r="I168" s="865"/>
      <c r="J168" s="865" t="s">
        <v>129</v>
      </c>
      <c r="K168" s="865"/>
      <c r="L168" s="865"/>
      <c r="M168" s="865"/>
      <c r="N168" s="865"/>
      <c r="O168" s="865"/>
      <c r="P168" s="865"/>
    </row>
    <row r="169" spans="1:16" x14ac:dyDescent="0.25">
      <c r="A169" s="675"/>
      <c r="B169" s="865" t="s">
        <v>1083</v>
      </c>
      <c r="C169" s="865"/>
      <c r="D169" s="865"/>
      <c r="E169" s="865"/>
      <c r="F169" s="865" t="s">
        <v>2971</v>
      </c>
      <c r="G169" s="865"/>
      <c r="H169" s="865"/>
      <c r="I169" s="865"/>
      <c r="J169" s="865" t="s">
        <v>129</v>
      </c>
      <c r="K169" s="865"/>
      <c r="L169" s="865"/>
      <c r="M169" s="865"/>
      <c r="N169" s="865"/>
      <c r="O169" s="865"/>
      <c r="P169" s="865"/>
    </row>
    <row r="170" spans="1:16" ht="27.2" customHeight="1" x14ac:dyDescent="0.25">
      <c r="A170" s="675"/>
      <c r="B170" s="865" t="s">
        <v>1084</v>
      </c>
      <c r="C170" s="865"/>
      <c r="D170" s="865"/>
      <c r="E170" s="865"/>
      <c r="F170" s="865" t="s">
        <v>2970</v>
      </c>
      <c r="G170" s="865"/>
      <c r="H170" s="865"/>
      <c r="I170" s="865"/>
      <c r="J170" s="865" t="s">
        <v>129</v>
      </c>
      <c r="K170" s="865"/>
      <c r="L170" s="865"/>
      <c r="M170" s="865"/>
      <c r="N170" s="865"/>
      <c r="O170" s="865"/>
      <c r="P170" s="865"/>
    </row>
    <row r="171" spans="1:16" ht="81.599999999999994" customHeight="1" x14ac:dyDescent="0.25">
      <c r="A171" s="675"/>
      <c r="B171" s="865" t="s">
        <v>1085</v>
      </c>
      <c r="C171" s="865"/>
      <c r="D171" s="865"/>
      <c r="E171" s="865"/>
      <c r="F171" s="865" t="s">
        <v>2969</v>
      </c>
      <c r="G171" s="865"/>
      <c r="H171" s="865"/>
      <c r="I171" s="865"/>
      <c r="J171" s="865" t="s">
        <v>129</v>
      </c>
      <c r="K171" s="865"/>
      <c r="L171" s="865"/>
      <c r="M171" s="865"/>
      <c r="N171" s="865"/>
      <c r="O171" s="865"/>
      <c r="P171" s="865"/>
    </row>
    <row r="172" spans="1:16" ht="27.2" customHeight="1" x14ac:dyDescent="0.25">
      <c r="A172" s="675"/>
      <c r="B172" s="865" t="s">
        <v>1086</v>
      </c>
      <c r="C172" s="865"/>
      <c r="D172" s="865"/>
      <c r="E172" s="865"/>
      <c r="F172" s="865" t="s">
        <v>2968</v>
      </c>
      <c r="G172" s="865"/>
      <c r="H172" s="865"/>
      <c r="I172" s="865"/>
      <c r="J172" s="865" t="s">
        <v>129</v>
      </c>
      <c r="K172" s="865"/>
      <c r="L172" s="865"/>
      <c r="M172" s="865"/>
      <c r="N172" s="865"/>
      <c r="O172" s="865"/>
      <c r="P172" s="865"/>
    </row>
    <row r="173" spans="1:16" ht="27.2" customHeight="1" x14ac:dyDescent="0.25">
      <c r="A173" s="675"/>
      <c r="B173" s="865" t="s">
        <v>1087</v>
      </c>
      <c r="C173" s="865"/>
      <c r="D173" s="865"/>
      <c r="E173" s="865"/>
      <c r="F173" s="865" t="s">
        <v>2967</v>
      </c>
      <c r="G173" s="865"/>
      <c r="H173" s="865"/>
      <c r="I173" s="865"/>
      <c r="J173" s="865" t="s">
        <v>129</v>
      </c>
      <c r="K173" s="865"/>
      <c r="L173" s="865"/>
      <c r="M173" s="865"/>
      <c r="N173" s="865"/>
      <c r="O173" s="865"/>
      <c r="P173" s="865"/>
    </row>
    <row r="174" spans="1:16" ht="27.2" customHeight="1" x14ac:dyDescent="0.25">
      <c r="A174" s="675"/>
      <c r="B174" s="865" t="s">
        <v>1088</v>
      </c>
      <c r="C174" s="865"/>
      <c r="D174" s="865"/>
      <c r="E174" s="865"/>
      <c r="F174" s="865" t="s">
        <v>2967</v>
      </c>
      <c r="G174" s="865"/>
      <c r="H174" s="865"/>
      <c r="I174" s="865"/>
      <c r="J174" s="865" t="s">
        <v>129</v>
      </c>
      <c r="K174" s="865"/>
      <c r="L174" s="865"/>
      <c r="M174" s="865"/>
      <c r="N174" s="865"/>
      <c r="O174" s="865"/>
      <c r="P174" s="865"/>
    </row>
    <row r="175" spans="1:16" ht="27.2" customHeight="1" x14ac:dyDescent="0.25">
      <c r="A175" s="675"/>
      <c r="B175" s="865" t="s">
        <v>1089</v>
      </c>
      <c r="C175" s="865"/>
      <c r="D175" s="865"/>
      <c r="E175" s="865"/>
      <c r="F175" s="865" t="s">
        <v>2966</v>
      </c>
      <c r="G175" s="865"/>
      <c r="H175" s="865"/>
      <c r="I175" s="865"/>
      <c r="J175" s="865" t="s">
        <v>129</v>
      </c>
      <c r="K175" s="865"/>
      <c r="L175" s="865"/>
      <c r="M175" s="865"/>
      <c r="N175" s="865"/>
      <c r="O175" s="865"/>
      <c r="P175" s="865"/>
    </row>
    <row r="176" spans="1:16" ht="27.2" customHeight="1" x14ac:dyDescent="0.25">
      <c r="A176" s="675"/>
      <c r="B176" s="865" t="s">
        <v>1070</v>
      </c>
      <c r="C176" s="865"/>
      <c r="D176" s="865"/>
      <c r="E176" s="865"/>
      <c r="F176" s="865" t="s">
        <v>2965</v>
      </c>
      <c r="G176" s="865"/>
      <c r="H176" s="865"/>
      <c r="I176" s="865"/>
      <c r="J176" s="865" t="s">
        <v>129</v>
      </c>
      <c r="K176" s="865"/>
      <c r="L176" s="865"/>
      <c r="M176" s="865"/>
      <c r="N176" s="865"/>
      <c r="O176" s="865"/>
      <c r="P176" s="865"/>
    </row>
    <row r="177" spans="1:16" ht="27.2" customHeight="1" x14ac:dyDescent="0.25">
      <c r="A177" s="675"/>
      <c r="B177" s="865" t="s">
        <v>1071</v>
      </c>
      <c r="C177" s="865"/>
      <c r="D177" s="865"/>
      <c r="E177" s="865"/>
      <c r="F177" s="865" t="s">
        <v>2964</v>
      </c>
      <c r="G177" s="865"/>
      <c r="H177" s="865"/>
      <c r="I177" s="865"/>
      <c r="J177" s="865" t="s">
        <v>129</v>
      </c>
      <c r="K177" s="865"/>
      <c r="L177" s="865"/>
      <c r="M177" s="865"/>
      <c r="N177" s="865"/>
      <c r="O177" s="865"/>
      <c r="P177" s="865"/>
    </row>
    <row r="178" spans="1:16" ht="27.2" customHeight="1" x14ac:dyDescent="0.25">
      <c r="A178" s="675"/>
      <c r="B178" s="865" t="s">
        <v>1038</v>
      </c>
      <c r="C178" s="865"/>
      <c r="D178" s="865"/>
      <c r="E178" s="865"/>
      <c r="F178" s="865" t="s">
        <v>2963</v>
      </c>
      <c r="G178" s="865"/>
      <c r="H178" s="865"/>
      <c r="I178" s="865"/>
      <c r="J178" s="865" t="s">
        <v>129</v>
      </c>
      <c r="K178" s="865"/>
      <c r="L178" s="865"/>
      <c r="M178" s="865"/>
      <c r="N178" s="865"/>
      <c r="O178" s="865"/>
      <c r="P178" s="865"/>
    </row>
    <row r="179" spans="1:16" ht="27.2" customHeight="1" x14ac:dyDescent="0.25">
      <c r="A179" s="675"/>
      <c r="B179" s="865" t="s">
        <v>1039</v>
      </c>
      <c r="C179" s="865"/>
      <c r="D179" s="865"/>
      <c r="E179" s="865"/>
      <c r="F179" s="865" t="s">
        <v>2962</v>
      </c>
      <c r="G179" s="865"/>
      <c r="H179" s="865"/>
      <c r="I179" s="865"/>
      <c r="J179" s="865" t="s">
        <v>129</v>
      </c>
      <c r="K179" s="865"/>
      <c r="L179" s="865"/>
      <c r="M179" s="865"/>
      <c r="N179" s="865"/>
      <c r="O179" s="865"/>
      <c r="P179" s="865"/>
    </row>
    <row r="180" spans="1:16" ht="27.2" customHeight="1" x14ac:dyDescent="0.25">
      <c r="A180" s="675"/>
      <c r="B180" s="865" t="s">
        <v>1040</v>
      </c>
      <c r="C180" s="865"/>
      <c r="D180" s="865"/>
      <c r="E180" s="865"/>
      <c r="F180" s="865" t="s">
        <v>2961</v>
      </c>
      <c r="G180" s="865"/>
      <c r="H180" s="865"/>
      <c r="I180" s="865"/>
      <c r="J180" s="865" t="s">
        <v>129</v>
      </c>
      <c r="K180" s="865"/>
      <c r="L180" s="865"/>
      <c r="M180" s="865"/>
      <c r="N180" s="865"/>
      <c r="O180" s="865"/>
      <c r="P180" s="865"/>
    </row>
    <row r="181" spans="1:16" ht="40.9" customHeight="1" x14ac:dyDescent="0.25">
      <c r="A181" s="675"/>
      <c r="B181" s="865" t="s">
        <v>1090</v>
      </c>
      <c r="C181" s="865"/>
      <c r="D181" s="865"/>
      <c r="E181" s="865"/>
      <c r="F181" s="865" t="s">
        <v>2960</v>
      </c>
      <c r="G181" s="865"/>
      <c r="H181" s="865"/>
      <c r="I181" s="865"/>
      <c r="J181" s="865" t="s">
        <v>129</v>
      </c>
      <c r="K181" s="865"/>
      <c r="L181" s="865"/>
      <c r="M181" s="865"/>
      <c r="N181" s="865"/>
      <c r="O181" s="865"/>
      <c r="P181" s="865"/>
    </row>
    <row r="182" spans="1:16" ht="95.25" customHeight="1" x14ac:dyDescent="0.25">
      <c r="A182" s="675"/>
      <c r="B182" s="865" t="s">
        <v>1091</v>
      </c>
      <c r="C182" s="865"/>
      <c r="D182" s="865"/>
      <c r="E182" s="865"/>
      <c r="F182" s="865" t="s">
        <v>2960</v>
      </c>
      <c r="G182" s="865"/>
      <c r="H182" s="865"/>
      <c r="I182" s="865"/>
      <c r="J182" s="865" t="s">
        <v>129</v>
      </c>
      <c r="K182" s="865"/>
      <c r="L182" s="865"/>
      <c r="M182" s="865"/>
      <c r="N182" s="865"/>
      <c r="O182" s="865"/>
      <c r="P182" s="865"/>
    </row>
    <row r="183" spans="1:16" x14ac:dyDescent="0.25">
      <c r="A183" s="675"/>
      <c r="B183" s="865" t="s">
        <v>1092</v>
      </c>
      <c r="C183" s="865"/>
      <c r="D183" s="865"/>
      <c r="E183" s="865"/>
      <c r="F183" s="865" t="s">
        <v>2959</v>
      </c>
      <c r="G183" s="865"/>
      <c r="H183" s="865"/>
      <c r="I183" s="865"/>
      <c r="J183" s="865" t="s">
        <v>129</v>
      </c>
      <c r="K183" s="865"/>
      <c r="L183" s="865"/>
      <c r="M183" s="865"/>
      <c r="N183" s="865"/>
      <c r="O183" s="865"/>
      <c r="P183" s="865"/>
    </row>
    <row r="184" spans="1:16" ht="163.15" customHeight="1" x14ac:dyDescent="0.25">
      <c r="A184" s="674" t="s">
        <v>175</v>
      </c>
      <c r="B184" s="781" t="s">
        <v>1093</v>
      </c>
      <c r="C184" s="782"/>
      <c r="D184" s="782"/>
      <c r="E184" s="782"/>
      <c r="F184" s="782" t="s">
        <v>1094</v>
      </c>
      <c r="G184" s="782"/>
      <c r="H184" s="782"/>
      <c r="I184" s="782"/>
      <c r="J184" s="782" t="s">
        <v>1095</v>
      </c>
      <c r="K184" s="782"/>
      <c r="L184" s="782"/>
      <c r="M184" s="866">
        <f>ROUND(33400 * 1 * 1.53 * 0.4 * 1.26809, 0)</f>
        <v>25921</v>
      </c>
      <c r="N184" s="782"/>
      <c r="O184" s="782" t="s">
        <v>1096</v>
      </c>
      <c r="P184" s="782"/>
    </row>
    <row r="185" spans="1:16" x14ac:dyDescent="0.25">
      <c r="A185" s="676"/>
      <c r="B185" s="864" t="s">
        <v>306</v>
      </c>
      <c r="C185" s="864"/>
      <c r="D185" s="864"/>
      <c r="E185" s="864"/>
      <c r="F185" s="864" t="s">
        <v>129</v>
      </c>
      <c r="G185" s="864"/>
      <c r="H185" s="864"/>
      <c r="I185" s="864"/>
      <c r="J185" s="864" t="s">
        <v>129</v>
      </c>
      <c r="K185" s="864"/>
      <c r="L185" s="864"/>
      <c r="M185" s="864"/>
      <c r="N185" s="864"/>
      <c r="O185" s="864"/>
      <c r="P185" s="864"/>
    </row>
    <row r="186" spans="1:16" x14ac:dyDescent="0.25">
      <c r="A186" s="675"/>
      <c r="B186" s="865" t="s">
        <v>325</v>
      </c>
      <c r="C186" s="865"/>
      <c r="D186" s="865"/>
      <c r="E186" s="865"/>
      <c r="F186" s="865" t="s">
        <v>326</v>
      </c>
      <c r="G186" s="865"/>
      <c r="H186" s="865"/>
      <c r="I186" s="865"/>
      <c r="J186" s="865" t="s">
        <v>129</v>
      </c>
      <c r="K186" s="865"/>
      <c r="L186" s="865"/>
      <c r="M186" s="865"/>
      <c r="N186" s="865"/>
      <c r="O186" s="865"/>
      <c r="P186" s="865"/>
    </row>
    <row r="187" spans="1:16" ht="40.9" customHeight="1" x14ac:dyDescent="0.25">
      <c r="A187" s="675"/>
      <c r="B187" s="865" t="s">
        <v>336</v>
      </c>
      <c r="C187" s="865"/>
      <c r="D187" s="865"/>
      <c r="E187" s="865"/>
      <c r="F187" s="865" t="s">
        <v>337</v>
      </c>
      <c r="G187" s="865"/>
      <c r="H187" s="865"/>
      <c r="I187" s="865"/>
      <c r="J187" s="865" t="s">
        <v>129</v>
      </c>
      <c r="K187" s="865"/>
      <c r="L187" s="865"/>
      <c r="M187" s="865"/>
      <c r="N187" s="865"/>
      <c r="O187" s="865"/>
      <c r="P187" s="865"/>
    </row>
    <row r="188" spans="1:16" ht="149.65" customHeight="1" x14ac:dyDescent="0.25">
      <c r="A188" s="675"/>
      <c r="B188" s="865" t="s">
        <v>329</v>
      </c>
      <c r="C188" s="865"/>
      <c r="D188" s="865"/>
      <c r="E188" s="865"/>
      <c r="F188" s="865" t="s">
        <v>1097</v>
      </c>
      <c r="G188" s="865"/>
      <c r="H188" s="865"/>
      <c r="I188" s="865"/>
      <c r="J188" s="865" t="s">
        <v>129</v>
      </c>
      <c r="K188" s="865"/>
      <c r="L188" s="865"/>
      <c r="M188" s="865"/>
      <c r="N188" s="865"/>
      <c r="O188" s="865"/>
      <c r="P188" s="865"/>
    </row>
    <row r="189" spans="1:16" x14ac:dyDescent="0.25">
      <c r="A189" s="676"/>
      <c r="B189" s="864" t="s">
        <v>330</v>
      </c>
      <c r="C189" s="864"/>
      <c r="D189" s="864"/>
      <c r="E189" s="864"/>
      <c r="F189" s="864" t="s">
        <v>129</v>
      </c>
      <c r="G189" s="864"/>
      <c r="H189" s="864"/>
      <c r="I189" s="864"/>
      <c r="J189" s="864" t="s">
        <v>129</v>
      </c>
      <c r="K189" s="864"/>
      <c r="L189" s="864"/>
      <c r="M189" s="864"/>
      <c r="N189" s="864"/>
      <c r="O189" s="864"/>
      <c r="P189" s="864"/>
    </row>
    <row r="190" spans="1:16" x14ac:dyDescent="0.25">
      <c r="A190" s="675"/>
      <c r="B190" s="865" t="s">
        <v>1028</v>
      </c>
      <c r="C190" s="865"/>
      <c r="D190" s="865"/>
      <c r="E190" s="865"/>
      <c r="F190" s="865" t="s">
        <v>1098</v>
      </c>
      <c r="G190" s="865"/>
      <c r="H190" s="865"/>
      <c r="I190" s="865"/>
      <c r="J190" s="865" t="s">
        <v>129</v>
      </c>
      <c r="K190" s="865"/>
      <c r="L190" s="865"/>
      <c r="M190" s="865"/>
      <c r="N190" s="865"/>
      <c r="O190" s="865"/>
      <c r="P190" s="865"/>
    </row>
    <row r="191" spans="1:16" ht="27.2" customHeight="1" x14ac:dyDescent="0.25">
      <c r="A191" s="675"/>
      <c r="B191" s="865" t="s">
        <v>1029</v>
      </c>
      <c r="C191" s="865"/>
      <c r="D191" s="865"/>
      <c r="E191" s="865"/>
      <c r="F191" s="865" t="s">
        <v>1099</v>
      </c>
      <c r="G191" s="865"/>
      <c r="H191" s="865"/>
      <c r="I191" s="865"/>
      <c r="J191" s="865" t="s">
        <v>129</v>
      </c>
      <c r="K191" s="865"/>
      <c r="L191" s="865"/>
      <c r="M191" s="865"/>
      <c r="N191" s="865"/>
      <c r="O191" s="865"/>
      <c r="P191" s="865"/>
    </row>
    <row r="192" spans="1:16" ht="27.2" customHeight="1" x14ac:dyDescent="0.25">
      <c r="A192" s="675"/>
      <c r="B192" s="865" t="s">
        <v>1061</v>
      </c>
      <c r="C192" s="865"/>
      <c r="D192" s="865"/>
      <c r="E192" s="865"/>
      <c r="F192" s="865" t="s">
        <v>1100</v>
      </c>
      <c r="G192" s="865"/>
      <c r="H192" s="865"/>
      <c r="I192" s="865"/>
      <c r="J192" s="865" t="s">
        <v>129</v>
      </c>
      <c r="K192" s="865"/>
      <c r="L192" s="865"/>
      <c r="M192" s="865"/>
      <c r="N192" s="865"/>
      <c r="O192" s="865"/>
      <c r="P192" s="865"/>
    </row>
    <row r="193" spans="1:16" ht="27.2" customHeight="1" x14ac:dyDescent="0.25">
      <c r="A193" s="675"/>
      <c r="B193" s="865" t="s">
        <v>1062</v>
      </c>
      <c r="C193" s="865"/>
      <c r="D193" s="865"/>
      <c r="E193" s="865"/>
      <c r="F193" s="865" t="s">
        <v>1101</v>
      </c>
      <c r="G193" s="865"/>
      <c r="H193" s="865"/>
      <c r="I193" s="865"/>
      <c r="J193" s="865" t="s">
        <v>129</v>
      </c>
      <c r="K193" s="865"/>
      <c r="L193" s="865"/>
      <c r="M193" s="865"/>
      <c r="N193" s="865"/>
      <c r="O193" s="865"/>
      <c r="P193" s="865"/>
    </row>
    <row r="194" spans="1:16" ht="27.2" customHeight="1" x14ac:dyDescent="0.25">
      <c r="A194" s="675"/>
      <c r="B194" s="865" t="s">
        <v>1063</v>
      </c>
      <c r="C194" s="865"/>
      <c r="D194" s="865"/>
      <c r="E194" s="865"/>
      <c r="F194" s="865" t="s">
        <v>1101</v>
      </c>
      <c r="G194" s="865"/>
      <c r="H194" s="865"/>
      <c r="I194" s="865"/>
      <c r="J194" s="865" t="s">
        <v>129</v>
      </c>
      <c r="K194" s="865"/>
      <c r="L194" s="865"/>
      <c r="M194" s="865"/>
      <c r="N194" s="865"/>
      <c r="O194" s="865"/>
      <c r="P194" s="865"/>
    </row>
    <row r="195" spans="1:16" ht="27.2" customHeight="1" x14ac:dyDescent="0.25">
      <c r="A195" s="675"/>
      <c r="B195" s="865" t="s">
        <v>1064</v>
      </c>
      <c r="C195" s="865"/>
      <c r="D195" s="865"/>
      <c r="E195" s="865"/>
      <c r="F195" s="865" t="s">
        <v>1102</v>
      </c>
      <c r="G195" s="865"/>
      <c r="H195" s="865"/>
      <c r="I195" s="865"/>
      <c r="J195" s="865" t="s">
        <v>129</v>
      </c>
      <c r="K195" s="865"/>
      <c r="L195" s="865"/>
      <c r="M195" s="865"/>
      <c r="N195" s="865"/>
      <c r="O195" s="865"/>
      <c r="P195" s="865"/>
    </row>
    <row r="196" spans="1:16" x14ac:dyDescent="0.25">
      <c r="A196" s="675"/>
      <c r="B196" s="865" t="s">
        <v>1065</v>
      </c>
      <c r="C196" s="865"/>
      <c r="D196" s="865"/>
      <c r="E196" s="865"/>
      <c r="F196" s="865" t="s">
        <v>1103</v>
      </c>
      <c r="G196" s="865"/>
      <c r="H196" s="865"/>
      <c r="I196" s="865"/>
      <c r="J196" s="865" t="s">
        <v>129</v>
      </c>
      <c r="K196" s="865"/>
      <c r="L196" s="865"/>
      <c r="M196" s="865"/>
      <c r="N196" s="865"/>
      <c r="O196" s="865"/>
      <c r="P196" s="865"/>
    </row>
    <row r="197" spans="1:16" ht="27.2" customHeight="1" x14ac:dyDescent="0.25">
      <c r="A197" s="675"/>
      <c r="B197" s="865" t="s">
        <v>1104</v>
      </c>
      <c r="C197" s="865"/>
      <c r="D197" s="865"/>
      <c r="E197" s="865"/>
      <c r="F197" s="865" t="s">
        <v>1105</v>
      </c>
      <c r="G197" s="865"/>
      <c r="H197" s="865"/>
      <c r="I197" s="865"/>
      <c r="J197" s="865" t="s">
        <v>129</v>
      </c>
      <c r="K197" s="865"/>
      <c r="L197" s="865"/>
      <c r="M197" s="865"/>
      <c r="N197" s="865"/>
      <c r="O197" s="865"/>
      <c r="P197" s="865"/>
    </row>
    <row r="198" spans="1:16" ht="27.2" customHeight="1" x14ac:dyDescent="0.25">
      <c r="A198" s="675"/>
      <c r="B198" s="865" t="s">
        <v>1106</v>
      </c>
      <c r="C198" s="865"/>
      <c r="D198" s="865"/>
      <c r="E198" s="865"/>
      <c r="F198" s="865" t="s">
        <v>1107</v>
      </c>
      <c r="G198" s="865"/>
      <c r="H198" s="865"/>
      <c r="I198" s="865"/>
      <c r="J198" s="865" t="s">
        <v>129</v>
      </c>
      <c r="K198" s="865"/>
      <c r="L198" s="865"/>
      <c r="M198" s="865"/>
      <c r="N198" s="865"/>
      <c r="O198" s="865"/>
      <c r="P198" s="865"/>
    </row>
    <row r="199" spans="1:16" ht="40.9" customHeight="1" x14ac:dyDescent="0.25">
      <c r="A199" s="675"/>
      <c r="B199" s="865" t="s">
        <v>1108</v>
      </c>
      <c r="C199" s="865"/>
      <c r="D199" s="865"/>
      <c r="E199" s="865"/>
      <c r="F199" s="865" t="s">
        <v>1107</v>
      </c>
      <c r="G199" s="865"/>
      <c r="H199" s="865"/>
      <c r="I199" s="865"/>
      <c r="J199" s="865" t="s">
        <v>129</v>
      </c>
      <c r="K199" s="865"/>
      <c r="L199" s="865"/>
      <c r="M199" s="865"/>
      <c r="N199" s="865"/>
      <c r="O199" s="865"/>
      <c r="P199" s="865"/>
    </row>
    <row r="200" spans="1:16" ht="54.4" customHeight="1" x14ac:dyDescent="0.25">
      <c r="A200" s="675"/>
      <c r="B200" s="865" t="s">
        <v>1109</v>
      </c>
      <c r="C200" s="865"/>
      <c r="D200" s="865"/>
      <c r="E200" s="865"/>
      <c r="F200" s="865" t="s">
        <v>1110</v>
      </c>
      <c r="G200" s="865"/>
      <c r="H200" s="865"/>
      <c r="I200" s="865"/>
      <c r="J200" s="865" t="s">
        <v>129</v>
      </c>
      <c r="K200" s="865"/>
      <c r="L200" s="865"/>
      <c r="M200" s="865"/>
      <c r="N200" s="865"/>
      <c r="O200" s="865"/>
      <c r="P200" s="865"/>
    </row>
    <row r="201" spans="1:16" ht="135.94999999999999" customHeight="1" x14ac:dyDescent="0.25">
      <c r="A201" s="674" t="s">
        <v>20</v>
      </c>
      <c r="B201" s="781" t="s">
        <v>1111</v>
      </c>
      <c r="C201" s="782"/>
      <c r="D201" s="782"/>
      <c r="E201" s="782"/>
      <c r="F201" s="782" t="s">
        <v>1112</v>
      </c>
      <c r="G201" s="782"/>
      <c r="H201" s="782"/>
      <c r="I201" s="782"/>
      <c r="J201" s="782" t="s">
        <v>2661</v>
      </c>
      <c r="K201" s="782"/>
      <c r="L201" s="782"/>
      <c r="M201" s="866">
        <f>ROUND((757900 + 26 * 18) * 1 * 1.53 * 0.4 * 0.2 * 1.24574, 0)</f>
        <v>115635</v>
      </c>
      <c r="N201" s="782"/>
      <c r="O201" s="782" t="s">
        <v>1113</v>
      </c>
      <c r="P201" s="782"/>
    </row>
    <row r="202" spans="1:16" x14ac:dyDescent="0.25">
      <c r="A202" s="676"/>
      <c r="B202" s="864" t="s">
        <v>306</v>
      </c>
      <c r="C202" s="864"/>
      <c r="D202" s="864"/>
      <c r="E202" s="864"/>
      <c r="F202" s="864" t="s">
        <v>129</v>
      </c>
      <c r="G202" s="864"/>
      <c r="H202" s="864"/>
      <c r="I202" s="864"/>
      <c r="J202" s="864" t="s">
        <v>129</v>
      </c>
      <c r="K202" s="864"/>
      <c r="L202" s="864"/>
      <c r="M202" s="864"/>
      <c r="N202" s="864"/>
      <c r="O202" s="864"/>
      <c r="P202" s="864"/>
    </row>
    <row r="203" spans="1:16" x14ac:dyDescent="0.25">
      <c r="A203" s="675"/>
      <c r="B203" s="865" t="s">
        <v>325</v>
      </c>
      <c r="C203" s="865"/>
      <c r="D203" s="865"/>
      <c r="E203" s="865"/>
      <c r="F203" s="865" t="s">
        <v>326</v>
      </c>
      <c r="G203" s="865"/>
      <c r="H203" s="865"/>
      <c r="I203" s="865"/>
      <c r="J203" s="865" t="s">
        <v>129</v>
      </c>
      <c r="K203" s="865"/>
      <c r="L203" s="865"/>
      <c r="M203" s="865"/>
      <c r="N203" s="865"/>
      <c r="O203" s="865"/>
      <c r="P203" s="865"/>
    </row>
    <row r="204" spans="1:16" ht="40.9" customHeight="1" x14ac:dyDescent="0.25">
      <c r="A204" s="675"/>
      <c r="B204" s="865" t="s">
        <v>336</v>
      </c>
      <c r="C204" s="865"/>
      <c r="D204" s="865"/>
      <c r="E204" s="865"/>
      <c r="F204" s="865" t="s">
        <v>337</v>
      </c>
      <c r="G204" s="865"/>
      <c r="H204" s="865"/>
      <c r="I204" s="865"/>
      <c r="J204" s="865" t="s">
        <v>129</v>
      </c>
      <c r="K204" s="865"/>
      <c r="L204" s="865"/>
      <c r="M204" s="865"/>
      <c r="N204" s="865"/>
      <c r="O204" s="865"/>
      <c r="P204" s="865"/>
    </row>
    <row r="205" spans="1:16" ht="95.25" customHeight="1" x14ac:dyDescent="0.25">
      <c r="A205" s="675"/>
      <c r="B205" s="865" t="s">
        <v>1764</v>
      </c>
      <c r="C205" s="865"/>
      <c r="D205" s="865"/>
      <c r="E205" s="865"/>
      <c r="F205" s="865" t="s">
        <v>1765</v>
      </c>
      <c r="G205" s="865"/>
      <c r="H205" s="865"/>
      <c r="I205" s="865"/>
      <c r="J205" s="865" t="s">
        <v>129</v>
      </c>
      <c r="K205" s="865"/>
      <c r="L205" s="865"/>
      <c r="M205" s="865"/>
      <c r="N205" s="865"/>
      <c r="O205" s="865"/>
      <c r="P205" s="865"/>
    </row>
    <row r="206" spans="1:16" ht="149.65" customHeight="1" x14ac:dyDescent="0.25">
      <c r="A206" s="675"/>
      <c r="B206" s="865" t="s">
        <v>329</v>
      </c>
      <c r="C206" s="865"/>
      <c r="D206" s="865"/>
      <c r="E206" s="865"/>
      <c r="F206" s="865" t="s">
        <v>2660</v>
      </c>
      <c r="G206" s="865"/>
      <c r="H206" s="865"/>
      <c r="I206" s="865"/>
      <c r="J206" s="865" t="s">
        <v>129</v>
      </c>
      <c r="K206" s="865"/>
      <c r="L206" s="865"/>
      <c r="M206" s="865"/>
      <c r="N206" s="865"/>
      <c r="O206" s="865"/>
      <c r="P206" s="865"/>
    </row>
    <row r="207" spans="1:16" x14ac:dyDescent="0.25">
      <c r="A207" s="676"/>
      <c r="B207" s="864" t="s">
        <v>330</v>
      </c>
      <c r="C207" s="864"/>
      <c r="D207" s="864"/>
      <c r="E207" s="864"/>
      <c r="F207" s="864" t="s">
        <v>129</v>
      </c>
      <c r="G207" s="864"/>
      <c r="H207" s="864"/>
      <c r="I207" s="864"/>
      <c r="J207" s="864" t="s">
        <v>129</v>
      </c>
      <c r="K207" s="864"/>
      <c r="L207" s="864"/>
      <c r="M207" s="864"/>
      <c r="N207" s="864"/>
      <c r="O207" s="864"/>
      <c r="P207" s="864"/>
    </row>
    <row r="208" spans="1:16" x14ac:dyDescent="0.25">
      <c r="A208" s="675"/>
      <c r="B208" s="865" t="s">
        <v>1028</v>
      </c>
      <c r="C208" s="865"/>
      <c r="D208" s="865"/>
      <c r="E208" s="865"/>
      <c r="F208" s="865" t="s">
        <v>2659</v>
      </c>
      <c r="G208" s="865"/>
      <c r="H208" s="865"/>
      <c r="I208" s="865"/>
      <c r="J208" s="865" t="s">
        <v>129</v>
      </c>
      <c r="K208" s="865"/>
      <c r="L208" s="865"/>
      <c r="M208" s="865"/>
      <c r="N208" s="865"/>
      <c r="O208" s="865"/>
      <c r="P208" s="865"/>
    </row>
    <row r="209" spans="1:16" ht="27.2" customHeight="1" x14ac:dyDescent="0.25">
      <c r="A209" s="675"/>
      <c r="B209" s="865" t="s">
        <v>1029</v>
      </c>
      <c r="C209" s="865"/>
      <c r="D209" s="865"/>
      <c r="E209" s="865"/>
      <c r="F209" s="865" t="s">
        <v>2658</v>
      </c>
      <c r="G209" s="865"/>
      <c r="H209" s="865"/>
      <c r="I209" s="865"/>
      <c r="J209" s="865" t="s">
        <v>129</v>
      </c>
      <c r="K209" s="865"/>
      <c r="L209" s="865"/>
      <c r="M209" s="865"/>
      <c r="N209" s="865"/>
      <c r="O209" s="865"/>
      <c r="P209" s="865"/>
    </row>
    <row r="210" spans="1:16" ht="40.9" customHeight="1" x14ac:dyDescent="0.25">
      <c r="A210" s="675"/>
      <c r="B210" s="865" t="s">
        <v>1030</v>
      </c>
      <c r="C210" s="865"/>
      <c r="D210" s="865"/>
      <c r="E210" s="865"/>
      <c r="F210" s="865" t="s">
        <v>2657</v>
      </c>
      <c r="G210" s="865"/>
      <c r="H210" s="865"/>
      <c r="I210" s="865"/>
      <c r="J210" s="865" t="s">
        <v>129</v>
      </c>
      <c r="K210" s="865"/>
      <c r="L210" s="865"/>
      <c r="M210" s="865"/>
      <c r="N210" s="865"/>
      <c r="O210" s="865"/>
      <c r="P210" s="865"/>
    </row>
    <row r="211" spans="1:16" x14ac:dyDescent="0.25">
      <c r="A211" s="675"/>
      <c r="B211" s="865" t="s">
        <v>1031</v>
      </c>
      <c r="C211" s="865"/>
      <c r="D211" s="865"/>
      <c r="E211" s="865"/>
      <c r="F211" s="865" t="s">
        <v>2656</v>
      </c>
      <c r="G211" s="865"/>
      <c r="H211" s="865"/>
      <c r="I211" s="865"/>
      <c r="J211" s="865" t="s">
        <v>129</v>
      </c>
      <c r="K211" s="865"/>
      <c r="L211" s="865"/>
      <c r="M211" s="865"/>
      <c r="N211" s="865"/>
      <c r="O211" s="865"/>
      <c r="P211" s="865"/>
    </row>
    <row r="212" spans="1:16" ht="54.4" customHeight="1" x14ac:dyDescent="0.25">
      <c r="A212" s="675"/>
      <c r="B212" s="865" t="s">
        <v>1032</v>
      </c>
      <c r="C212" s="865"/>
      <c r="D212" s="865"/>
      <c r="E212" s="865"/>
      <c r="F212" s="865" t="s">
        <v>2655</v>
      </c>
      <c r="G212" s="865"/>
      <c r="H212" s="865"/>
      <c r="I212" s="865"/>
      <c r="J212" s="865" t="s">
        <v>129</v>
      </c>
      <c r="K212" s="865"/>
      <c r="L212" s="865"/>
      <c r="M212" s="865"/>
      <c r="N212" s="865"/>
      <c r="O212" s="865"/>
      <c r="P212" s="865"/>
    </row>
    <row r="213" spans="1:16" ht="27.2" customHeight="1" x14ac:dyDescent="0.25">
      <c r="A213" s="675"/>
      <c r="B213" s="865" t="s">
        <v>1033</v>
      </c>
      <c r="C213" s="865"/>
      <c r="D213" s="865"/>
      <c r="E213" s="865"/>
      <c r="F213" s="865" t="s">
        <v>2654</v>
      </c>
      <c r="G213" s="865"/>
      <c r="H213" s="865"/>
      <c r="I213" s="865"/>
      <c r="J213" s="865" t="s">
        <v>129</v>
      </c>
      <c r="K213" s="865"/>
      <c r="L213" s="865"/>
      <c r="M213" s="865"/>
      <c r="N213" s="865"/>
      <c r="O213" s="865"/>
      <c r="P213" s="865"/>
    </row>
    <row r="214" spans="1:16" ht="40.9" customHeight="1" x14ac:dyDescent="0.25">
      <c r="A214" s="675"/>
      <c r="B214" s="865" t="s">
        <v>1034</v>
      </c>
      <c r="C214" s="865"/>
      <c r="D214" s="865"/>
      <c r="E214" s="865"/>
      <c r="F214" s="865" t="s">
        <v>2653</v>
      </c>
      <c r="G214" s="865"/>
      <c r="H214" s="865"/>
      <c r="I214" s="865"/>
      <c r="J214" s="865" t="s">
        <v>129</v>
      </c>
      <c r="K214" s="865"/>
      <c r="L214" s="865"/>
      <c r="M214" s="865"/>
      <c r="N214" s="865"/>
      <c r="O214" s="865"/>
      <c r="P214" s="865"/>
    </row>
    <row r="215" spans="1:16" ht="27.2" customHeight="1" x14ac:dyDescent="0.25">
      <c r="A215" s="675"/>
      <c r="B215" s="865" t="s">
        <v>1114</v>
      </c>
      <c r="C215" s="865"/>
      <c r="D215" s="865"/>
      <c r="E215" s="865"/>
      <c r="F215" s="865" t="s">
        <v>2652</v>
      </c>
      <c r="G215" s="865"/>
      <c r="H215" s="865"/>
      <c r="I215" s="865"/>
      <c r="J215" s="865" t="s">
        <v>129</v>
      </c>
      <c r="K215" s="865"/>
      <c r="L215" s="865"/>
      <c r="M215" s="865"/>
      <c r="N215" s="865"/>
      <c r="O215" s="865"/>
      <c r="P215" s="865"/>
    </row>
    <row r="216" spans="1:16" ht="27.2" customHeight="1" x14ac:dyDescent="0.25">
      <c r="A216" s="675"/>
      <c r="B216" s="865" t="s">
        <v>1115</v>
      </c>
      <c r="C216" s="865"/>
      <c r="D216" s="865"/>
      <c r="E216" s="865"/>
      <c r="F216" s="865" t="s">
        <v>2651</v>
      </c>
      <c r="G216" s="865"/>
      <c r="H216" s="865"/>
      <c r="I216" s="865"/>
      <c r="J216" s="865" t="s">
        <v>129</v>
      </c>
      <c r="K216" s="865"/>
      <c r="L216" s="865"/>
      <c r="M216" s="865"/>
      <c r="N216" s="865"/>
      <c r="O216" s="865"/>
      <c r="P216" s="865"/>
    </row>
    <row r="217" spans="1:16" ht="27.2" customHeight="1" x14ac:dyDescent="0.25">
      <c r="A217" s="675"/>
      <c r="B217" s="865" t="s">
        <v>1038</v>
      </c>
      <c r="C217" s="865"/>
      <c r="D217" s="865"/>
      <c r="E217" s="865"/>
      <c r="F217" s="865" t="s">
        <v>2650</v>
      </c>
      <c r="G217" s="865"/>
      <c r="H217" s="865"/>
      <c r="I217" s="865"/>
      <c r="J217" s="865" t="s">
        <v>129</v>
      </c>
      <c r="K217" s="865"/>
      <c r="L217" s="865"/>
      <c r="M217" s="865"/>
      <c r="N217" s="865"/>
      <c r="O217" s="865"/>
      <c r="P217" s="865"/>
    </row>
    <row r="218" spans="1:16" ht="27.2" customHeight="1" x14ac:dyDescent="0.25">
      <c r="A218" s="675"/>
      <c r="B218" s="865" t="s">
        <v>1039</v>
      </c>
      <c r="C218" s="865"/>
      <c r="D218" s="865"/>
      <c r="E218" s="865"/>
      <c r="F218" s="865" t="s">
        <v>2649</v>
      </c>
      <c r="G218" s="865"/>
      <c r="H218" s="865"/>
      <c r="I218" s="865"/>
      <c r="J218" s="865" t="s">
        <v>129</v>
      </c>
      <c r="K218" s="865"/>
      <c r="L218" s="865"/>
      <c r="M218" s="865"/>
      <c r="N218" s="865"/>
      <c r="O218" s="865"/>
      <c r="P218" s="865"/>
    </row>
    <row r="219" spans="1:16" ht="27.2" customHeight="1" x14ac:dyDescent="0.25">
      <c r="A219" s="675"/>
      <c r="B219" s="865" t="s">
        <v>1040</v>
      </c>
      <c r="C219" s="865"/>
      <c r="D219" s="865"/>
      <c r="E219" s="865"/>
      <c r="F219" s="865" t="s">
        <v>2649</v>
      </c>
      <c r="G219" s="865"/>
      <c r="H219" s="865"/>
      <c r="I219" s="865"/>
      <c r="J219" s="865" t="s">
        <v>129</v>
      </c>
      <c r="K219" s="865"/>
      <c r="L219" s="865"/>
      <c r="M219" s="865"/>
      <c r="N219" s="865"/>
      <c r="O219" s="865"/>
      <c r="P219" s="865"/>
    </row>
    <row r="220" spans="1:16" ht="40.9" customHeight="1" x14ac:dyDescent="0.25">
      <c r="A220" s="675"/>
      <c r="B220" s="865" t="s">
        <v>1041</v>
      </c>
      <c r="C220" s="865"/>
      <c r="D220" s="865"/>
      <c r="E220" s="865"/>
      <c r="F220" s="865" t="s">
        <v>2648</v>
      </c>
      <c r="G220" s="865"/>
      <c r="H220" s="865"/>
      <c r="I220" s="865"/>
      <c r="J220" s="865" t="s">
        <v>129</v>
      </c>
      <c r="K220" s="865"/>
      <c r="L220" s="865"/>
      <c r="M220" s="865"/>
      <c r="N220" s="865"/>
      <c r="O220" s="865"/>
      <c r="P220" s="865"/>
    </row>
    <row r="221" spans="1:16" ht="54.4" customHeight="1" x14ac:dyDescent="0.25">
      <c r="A221" s="675"/>
      <c r="B221" s="865" t="s">
        <v>1042</v>
      </c>
      <c r="C221" s="865"/>
      <c r="D221" s="865"/>
      <c r="E221" s="865"/>
      <c r="F221" s="865" t="s">
        <v>2647</v>
      </c>
      <c r="G221" s="865"/>
      <c r="H221" s="865"/>
      <c r="I221" s="865"/>
      <c r="J221" s="865" t="s">
        <v>129</v>
      </c>
      <c r="K221" s="865"/>
      <c r="L221" s="865"/>
      <c r="M221" s="865"/>
      <c r="N221" s="865"/>
      <c r="O221" s="865"/>
      <c r="P221" s="865"/>
    </row>
    <row r="222" spans="1:16" ht="204" customHeight="1" x14ac:dyDescent="0.25">
      <c r="A222" s="674" t="s">
        <v>21</v>
      </c>
      <c r="B222" s="781" t="s">
        <v>1116</v>
      </c>
      <c r="C222" s="782"/>
      <c r="D222" s="782"/>
      <c r="E222" s="782"/>
      <c r="F222" s="782" t="s">
        <v>2646</v>
      </c>
      <c r="G222" s="782"/>
      <c r="H222" s="782"/>
      <c r="I222" s="782"/>
      <c r="J222" s="782" t="s">
        <v>2645</v>
      </c>
      <c r="K222" s="782"/>
      <c r="L222" s="782"/>
      <c r="M222" s="866">
        <f>ROUND((1349200 + 299689 * (0.4 * 0.5 + 0.6 * 0.432)) * 1 * 1.27 * 0.4 * 0.2 * 1.23368, 0)</f>
        <v>186360</v>
      </c>
      <c r="N222" s="782"/>
      <c r="O222" s="782" t="s">
        <v>1117</v>
      </c>
      <c r="P222" s="782"/>
    </row>
    <row r="223" spans="1:16" x14ac:dyDescent="0.25">
      <c r="A223" s="676"/>
      <c r="B223" s="864" t="s">
        <v>306</v>
      </c>
      <c r="C223" s="864"/>
      <c r="D223" s="864"/>
      <c r="E223" s="864"/>
      <c r="F223" s="864" t="s">
        <v>129</v>
      </c>
      <c r="G223" s="864"/>
      <c r="H223" s="864"/>
      <c r="I223" s="864"/>
      <c r="J223" s="864" t="s">
        <v>129</v>
      </c>
      <c r="K223" s="864"/>
      <c r="L223" s="864"/>
      <c r="M223" s="864"/>
      <c r="N223" s="864"/>
      <c r="O223" s="864"/>
      <c r="P223" s="864"/>
    </row>
    <row r="224" spans="1:16" x14ac:dyDescent="0.25">
      <c r="A224" s="675"/>
      <c r="B224" s="865" t="s">
        <v>325</v>
      </c>
      <c r="C224" s="865"/>
      <c r="D224" s="865"/>
      <c r="E224" s="865"/>
      <c r="F224" s="865" t="s">
        <v>326</v>
      </c>
      <c r="G224" s="865"/>
      <c r="H224" s="865"/>
      <c r="I224" s="865"/>
      <c r="J224" s="865" t="s">
        <v>129</v>
      </c>
      <c r="K224" s="865"/>
      <c r="L224" s="865"/>
      <c r="M224" s="865"/>
      <c r="N224" s="865"/>
      <c r="O224" s="865"/>
      <c r="P224" s="865"/>
    </row>
    <row r="225" spans="1:16" ht="40.9" customHeight="1" x14ac:dyDescent="0.25">
      <c r="A225" s="675"/>
      <c r="B225" s="865" t="s">
        <v>327</v>
      </c>
      <c r="C225" s="865"/>
      <c r="D225" s="865"/>
      <c r="E225" s="865"/>
      <c r="F225" s="865" t="s">
        <v>328</v>
      </c>
      <c r="G225" s="865"/>
      <c r="H225" s="865"/>
      <c r="I225" s="865"/>
      <c r="J225" s="865" t="s">
        <v>129</v>
      </c>
      <c r="K225" s="865"/>
      <c r="L225" s="865"/>
      <c r="M225" s="865"/>
      <c r="N225" s="865"/>
      <c r="O225" s="865"/>
      <c r="P225" s="865"/>
    </row>
    <row r="226" spans="1:16" ht="108.75" customHeight="1" x14ac:dyDescent="0.25">
      <c r="A226" s="675"/>
      <c r="B226" s="865" t="s">
        <v>2608</v>
      </c>
      <c r="C226" s="865"/>
      <c r="D226" s="865"/>
      <c r="E226" s="865"/>
      <c r="F226" s="865" t="s">
        <v>2618</v>
      </c>
      <c r="G226" s="865"/>
      <c r="H226" s="865"/>
      <c r="I226" s="865"/>
      <c r="J226" s="865" t="s">
        <v>129</v>
      </c>
      <c r="K226" s="865"/>
      <c r="L226" s="865"/>
      <c r="M226" s="865"/>
      <c r="N226" s="865"/>
      <c r="O226" s="865"/>
      <c r="P226" s="865"/>
    </row>
    <row r="227" spans="1:16" ht="149.65" customHeight="1" x14ac:dyDescent="0.25">
      <c r="A227" s="675"/>
      <c r="B227" s="865" t="s">
        <v>329</v>
      </c>
      <c r="C227" s="865"/>
      <c r="D227" s="865"/>
      <c r="E227" s="865"/>
      <c r="F227" s="865" t="s">
        <v>2644</v>
      </c>
      <c r="G227" s="865"/>
      <c r="H227" s="865"/>
      <c r="I227" s="865"/>
      <c r="J227" s="865" t="s">
        <v>129</v>
      </c>
      <c r="K227" s="865"/>
      <c r="L227" s="865"/>
      <c r="M227" s="865"/>
      <c r="N227" s="865"/>
      <c r="O227" s="865"/>
      <c r="P227" s="865"/>
    </row>
    <row r="228" spans="1:16" x14ac:dyDescent="0.25">
      <c r="A228" s="676"/>
      <c r="B228" s="864" t="s">
        <v>330</v>
      </c>
      <c r="C228" s="864"/>
      <c r="D228" s="864"/>
      <c r="E228" s="864"/>
      <c r="F228" s="864" t="s">
        <v>129</v>
      </c>
      <c r="G228" s="864"/>
      <c r="H228" s="864"/>
      <c r="I228" s="864"/>
      <c r="J228" s="864" t="s">
        <v>129</v>
      </c>
      <c r="K228" s="864"/>
      <c r="L228" s="864"/>
      <c r="M228" s="864"/>
      <c r="N228" s="864"/>
      <c r="O228" s="864"/>
      <c r="P228" s="864"/>
    </row>
    <row r="229" spans="1:16" x14ac:dyDescent="0.25">
      <c r="A229" s="675"/>
      <c r="B229" s="865" t="s">
        <v>1028</v>
      </c>
      <c r="C229" s="865"/>
      <c r="D229" s="865"/>
      <c r="E229" s="865"/>
      <c r="F229" s="865" t="s">
        <v>2633</v>
      </c>
      <c r="G229" s="865"/>
      <c r="H229" s="865"/>
      <c r="I229" s="865"/>
      <c r="J229" s="865" t="s">
        <v>129</v>
      </c>
      <c r="K229" s="865"/>
      <c r="L229" s="865"/>
      <c r="M229" s="865"/>
      <c r="N229" s="865"/>
      <c r="O229" s="865"/>
      <c r="P229" s="865"/>
    </row>
    <row r="230" spans="1:16" ht="27.2" customHeight="1" x14ac:dyDescent="0.25">
      <c r="A230" s="675"/>
      <c r="B230" s="865" t="s">
        <v>1029</v>
      </c>
      <c r="C230" s="865"/>
      <c r="D230" s="865"/>
      <c r="E230" s="865"/>
      <c r="F230" s="865" t="s">
        <v>2643</v>
      </c>
      <c r="G230" s="865"/>
      <c r="H230" s="865"/>
      <c r="I230" s="865"/>
      <c r="J230" s="865" t="s">
        <v>129</v>
      </c>
      <c r="K230" s="865"/>
      <c r="L230" s="865"/>
      <c r="M230" s="865"/>
      <c r="N230" s="865"/>
      <c r="O230" s="865"/>
      <c r="P230" s="865"/>
    </row>
    <row r="231" spans="1:16" ht="27.2" customHeight="1" x14ac:dyDescent="0.25">
      <c r="A231" s="675"/>
      <c r="B231" s="865" t="s">
        <v>1064</v>
      </c>
      <c r="C231" s="865"/>
      <c r="D231" s="865"/>
      <c r="E231" s="865"/>
      <c r="F231" s="865" t="s">
        <v>2642</v>
      </c>
      <c r="G231" s="865"/>
      <c r="H231" s="865"/>
      <c r="I231" s="865"/>
      <c r="J231" s="865" t="s">
        <v>129</v>
      </c>
      <c r="K231" s="865"/>
      <c r="L231" s="865"/>
      <c r="M231" s="865"/>
      <c r="N231" s="865"/>
      <c r="O231" s="865"/>
      <c r="P231" s="865"/>
    </row>
    <row r="232" spans="1:16" x14ac:dyDescent="0.25">
      <c r="A232" s="675"/>
      <c r="B232" s="865" t="s">
        <v>1065</v>
      </c>
      <c r="C232" s="865"/>
      <c r="D232" s="865"/>
      <c r="E232" s="865"/>
      <c r="F232" s="865" t="s">
        <v>2641</v>
      </c>
      <c r="G232" s="865"/>
      <c r="H232" s="865"/>
      <c r="I232" s="865"/>
      <c r="J232" s="865" t="s">
        <v>129</v>
      </c>
      <c r="K232" s="865"/>
      <c r="L232" s="865"/>
      <c r="M232" s="865"/>
      <c r="N232" s="865"/>
      <c r="O232" s="865"/>
      <c r="P232" s="865"/>
    </row>
    <row r="233" spans="1:16" ht="54.4" customHeight="1" x14ac:dyDescent="0.25">
      <c r="A233" s="675"/>
      <c r="B233" s="865" t="s">
        <v>1032</v>
      </c>
      <c r="C233" s="865"/>
      <c r="D233" s="865"/>
      <c r="E233" s="865"/>
      <c r="F233" s="865" t="s">
        <v>2640</v>
      </c>
      <c r="G233" s="865"/>
      <c r="H233" s="865"/>
      <c r="I233" s="865"/>
      <c r="J233" s="865" t="s">
        <v>129</v>
      </c>
      <c r="K233" s="865"/>
      <c r="L233" s="865"/>
      <c r="M233" s="865"/>
      <c r="N233" s="865"/>
      <c r="O233" s="865"/>
      <c r="P233" s="865"/>
    </row>
    <row r="234" spans="1:16" x14ac:dyDescent="0.25">
      <c r="A234" s="675"/>
      <c r="B234" s="865" t="s">
        <v>1033</v>
      </c>
      <c r="C234" s="865"/>
      <c r="D234" s="865"/>
      <c r="E234" s="865"/>
      <c r="F234" s="865" t="s">
        <v>2639</v>
      </c>
      <c r="G234" s="865"/>
      <c r="H234" s="865"/>
      <c r="I234" s="865"/>
      <c r="J234" s="865" t="s">
        <v>129</v>
      </c>
      <c r="K234" s="865"/>
      <c r="L234" s="865"/>
      <c r="M234" s="865"/>
      <c r="N234" s="865"/>
      <c r="O234" s="865"/>
      <c r="P234" s="865"/>
    </row>
    <row r="235" spans="1:16" x14ac:dyDescent="0.25">
      <c r="A235" s="675"/>
      <c r="B235" s="865" t="s">
        <v>1118</v>
      </c>
      <c r="C235" s="865"/>
      <c r="D235" s="865"/>
      <c r="E235" s="865"/>
      <c r="F235" s="865" t="s">
        <v>2639</v>
      </c>
      <c r="G235" s="865"/>
      <c r="H235" s="865"/>
      <c r="I235" s="865"/>
      <c r="J235" s="865" t="s">
        <v>129</v>
      </c>
      <c r="K235" s="865"/>
      <c r="L235" s="865"/>
      <c r="M235" s="865"/>
      <c r="N235" s="865"/>
      <c r="O235" s="865"/>
      <c r="P235" s="865"/>
    </row>
    <row r="236" spans="1:16" x14ac:dyDescent="0.25">
      <c r="A236" s="675"/>
      <c r="B236" s="865" t="s">
        <v>1119</v>
      </c>
      <c r="C236" s="865"/>
      <c r="D236" s="865"/>
      <c r="E236" s="865"/>
      <c r="F236" s="865" t="s">
        <v>2639</v>
      </c>
      <c r="G236" s="865"/>
      <c r="H236" s="865"/>
      <c r="I236" s="865"/>
      <c r="J236" s="865" t="s">
        <v>129</v>
      </c>
      <c r="K236" s="865"/>
      <c r="L236" s="865"/>
      <c r="M236" s="865"/>
      <c r="N236" s="865"/>
      <c r="O236" s="865"/>
      <c r="P236" s="865"/>
    </row>
    <row r="237" spans="1:16" ht="40.9" customHeight="1" x14ac:dyDescent="0.25">
      <c r="A237" s="675"/>
      <c r="B237" s="865" t="s">
        <v>1120</v>
      </c>
      <c r="C237" s="865"/>
      <c r="D237" s="865"/>
      <c r="E237" s="865"/>
      <c r="F237" s="865" t="s">
        <v>2639</v>
      </c>
      <c r="G237" s="865"/>
      <c r="H237" s="865"/>
      <c r="I237" s="865"/>
      <c r="J237" s="865" t="s">
        <v>129</v>
      </c>
      <c r="K237" s="865"/>
      <c r="L237" s="865"/>
      <c r="M237" s="865"/>
      <c r="N237" s="865"/>
      <c r="O237" s="865"/>
      <c r="P237" s="865"/>
    </row>
    <row r="238" spans="1:16" x14ac:dyDescent="0.25">
      <c r="A238" s="675"/>
      <c r="B238" s="865" t="s">
        <v>1070</v>
      </c>
      <c r="C238" s="865"/>
      <c r="D238" s="865"/>
      <c r="E238" s="865"/>
      <c r="F238" s="865" t="s">
        <v>2638</v>
      </c>
      <c r="G238" s="865"/>
      <c r="H238" s="865"/>
      <c r="I238" s="865"/>
      <c r="J238" s="865" t="s">
        <v>129</v>
      </c>
      <c r="K238" s="865"/>
      <c r="L238" s="865"/>
      <c r="M238" s="865"/>
      <c r="N238" s="865"/>
      <c r="O238" s="865"/>
      <c r="P238" s="865"/>
    </row>
    <row r="239" spans="1:16" ht="27.2" customHeight="1" x14ac:dyDescent="0.25">
      <c r="A239" s="675"/>
      <c r="B239" s="865" t="s">
        <v>1121</v>
      </c>
      <c r="C239" s="865"/>
      <c r="D239" s="865"/>
      <c r="E239" s="865"/>
      <c r="F239" s="865" t="s">
        <v>2637</v>
      </c>
      <c r="G239" s="865"/>
      <c r="H239" s="865"/>
      <c r="I239" s="865"/>
      <c r="J239" s="865" t="s">
        <v>129</v>
      </c>
      <c r="K239" s="865"/>
      <c r="L239" s="865"/>
      <c r="M239" s="865"/>
      <c r="N239" s="865"/>
      <c r="O239" s="865"/>
      <c r="P239" s="865"/>
    </row>
    <row r="240" spans="1:16" x14ac:dyDescent="0.25">
      <c r="A240" s="675"/>
      <c r="B240" s="865" t="s">
        <v>1072</v>
      </c>
      <c r="C240" s="865"/>
      <c r="D240" s="865"/>
      <c r="E240" s="865"/>
      <c r="F240" s="865" t="s">
        <v>2636</v>
      </c>
      <c r="G240" s="865"/>
      <c r="H240" s="865"/>
      <c r="I240" s="865"/>
      <c r="J240" s="865" t="s">
        <v>129</v>
      </c>
      <c r="K240" s="865"/>
      <c r="L240" s="865"/>
      <c r="M240" s="865"/>
      <c r="N240" s="865"/>
      <c r="O240" s="865"/>
      <c r="P240" s="865"/>
    </row>
    <row r="241" spans="1:16" ht="27.2" customHeight="1" x14ac:dyDescent="0.25">
      <c r="A241" s="675"/>
      <c r="B241" s="865" t="s">
        <v>1073</v>
      </c>
      <c r="C241" s="865"/>
      <c r="D241" s="865"/>
      <c r="E241" s="865"/>
      <c r="F241" s="865" t="s">
        <v>2634</v>
      </c>
      <c r="G241" s="865"/>
      <c r="H241" s="865"/>
      <c r="I241" s="865"/>
      <c r="J241" s="865" t="s">
        <v>129</v>
      </c>
      <c r="K241" s="865"/>
      <c r="L241" s="865"/>
      <c r="M241" s="865"/>
      <c r="N241" s="865"/>
      <c r="O241" s="865"/>
      <c r="P241" s="865"/>
    </row>
    <row r="242" spans="1:16" ht="27.2" customHeight="1" x14ac:dyDescent="0.25">
      <c r="A242" s="675"/>
      <c r="B242" s="865" t="s">
        <v>1122</v>
      </c>
      <c r="C242" s="865"/>
      <c r="D242" s="865"/>
      <c r="E242" s="865"/>
      <c r="F242" s="865" t="s">
        <v>2635</v>
      </c>
      <c r="G242" s="865"/>
      <c r="H242" s="865"/>
      <c r="I242" s="865"/>
      <c r="J242" s="865" t="s">
        <v>129</v>
      </c>
      <c r="K242" s="865"/>
      <c r="L242" s="865"/>
      <c r="M242" s="865"/>
      <c r="N242" s="865"/>
      <c r="O242" s="865"/>
      <c r="P242" s="865"/>
    </row>
    <row r="243" spans="1:16" ht="27.2" customHeight="1" x14ac:dyDescent="0.25">
      <c r="A243" s="675"/>
      <c r="B243" s="865" t="s">
        <v>1075</v>
      </c>
      <c r="C243" s="865"/>
      <c r="D243" s="865"/>
      <c r="E243" s="865"/>
      <c r="F243" s="865" t="s">
        <v>2634</v>
      </c>
      <c r="G243" s="865"/>
      <c r="H243" s="865"/>
      <c r="I243" s="865"/>
      <c r="J243" s="865" t="s">
        <v>129</v>
      </c>
      <c r="K243" s="865"/>
      <c r="L243" s="865"/>
      <c r="M243" s="865"/>
      <c r="N243" s="865"/>
      <c r="O243" s="865"/>
      <c r="P243" s="865"/>
    </row>
    <row r="244" spans="1:16" ht="81.599999999999994" customHeight="1" x14ac:dyDescent="0.25">
      <c r="A244" s="675"/>
      <c r="B244" s="865" t="s">
        <v>1123</v>
      </c>
      <c r="C244" s="865"/>
      <c r="D244" s="865"/>
      <c r="E244" s="865"/>
      <c r="F244" s="865" t="s">
        <v>2633</v>
      </c>
      <c r="G244" s="865"/>
      <c r="H244" s="865"/>
      <c r="I244" s="865"/>
      <c r="J244" s="865" t="s">
        <v>129</v>
      </c>
      <c r="K244" s="865"/>
      <c r="L244" s="865"/>
      <c r="M244" s="865"/>
      <c r="N244" s="865"/>
      <c r="O244" s="865"/>
      <c r="P244" s="865"/>
    </row>
    <row r="245" spans="1:16" ht="54.4" customHeight="1" x14ac:dyDescent="0.25">
      <c r="A245" s="675"/>
      <c r="B245" s="865" t="s">
        <v>1124</v>
      </c>
      <c r="C245" s="865"/>
      <c r="D245" s="865"/>
      <c r="E245" s="865"/>
      <c r="F245" s="865" t="s">
        <v>2632</v>
      </c>
      <c r="G245" s="865"/>
      <c r="H245" s="865"/>
      <c r="I245" s="865"/>
      <c r="J245" s="865" t="s">
        <v>129</v>
      </c>
      <c r="K245" s="865"/>
      <c r="L245" s="865"/>
      <c r="M245" s="865"/>
      <c r="N245" s="865"/>
      <c r="O245" s="865"/>
      <c r="P245" s="865"/>
    </row>
    <row r="246" spans="1:16" ht="135.94999999999999" customHeight="1" x14ac:dyDescent="0.25">
      <c r="A246" s="674" t="s">
        <v>176</v>
      </c>
      <c r="B246" s="781" t="s">
        <v>335</v>
      </c>
      <c r="C246" s="782"/>
      <c r="D246" s="782"/>
      <c r="E246" s="782"/>
      <c r="F246" s="782" t="s">
        <v>1125</v>
      </c>
      <c r="G246" s="782"/>
      <c r="H246" s="782"/>
      <c r="I246" s="782"/>
      <c r="J246" s="782" t="s">
        <v>1126</v>
      </c>
      <c r="K246" s="782"/>
      <c r="L246" s="782"/>
      <c r="M246" s="866">
        <f>ROUND((62200 + 4139 * (0.4 * 20 + 0.6 * 14)) * 1 * 1.53 * 0.4 * 1.25851, 0)</f>
        <v>100188</v>
      </c>
      <c r="N246" s="782"/>
      <c r="O246" s="782" t="s">
        <v>1127</v>
      </c>
      <c r="P246" s="782"/>
    </row>
    <row r="247" spans="1:16" x14ac:dyDescent="0.25">
      <c r="A247" s="676"/>
      <c r="B247" s="864" t="s">
        <v>306</v>
      </c>
      <c r="C247" s="864"/>
      <c r="D247" s="864"/>
      <c r="E247" s="864"/>
      <c r="F247" s="864" t="s">
        <v>129</v>
      </c>
      <c r="G247" s="864"/>
      <c r="H247" s="864"/>
      <c r="I247" s="864"/>
      <c r="J247" s="864" t="s">
        <v>129</v>
      </c>
      <c r="K247" s="864"/>
      <c r="L247" s="864"/>
      <c r="M247" s="864"/>
      <c r="N247" s="864"/>
      <c r="O247" s="864"/>
      <c r="P247" s="864"/>
    </row>
    <row r="248" spans="1:16" x14ac:dyDescent="0.25">
      <c r="A248" s="675"/>
      <c r="B248" s="865" t="s">
        <v>325</v>
      </c>
      <c r="C248" s="865"/>
      <c r="D248" s="865"/>
      <c r="E248" s="865"/>
      <c r="F248" s="865" t="s">
        <v>326</v>
      </c>
      <c r="G248" s="865"/>
      <c r="H248" s="865"/>
      <c r="I248" s="865"/>
      <c r="J248" s="865" t="s">
        <v>129</v>
      </c>
      <c r="K248" s="865"/>
      <c r="L248" s="865"/>
      <c r="M248" s="865"/>
      <c r="N248" s="865"/>
      <c r="O248" s="865"/>
      <c r="P248" s="865"/>
    </row>
    <row r="249" spans="1:16" ht="40.9" customHeight="1" x14ac:dyDescent="0.25">
      <c r="A249" s="675"/>
      <c r="B249" s="865" t="s">
        <v>336</v>
      </c>
      <c r="C249" s="865"/>
      <c r="D249" s="865"/>
      <c r="E249" s="865"/>
      <c r="F249" s="865" t="s">
        <v>337</v>
      </c>
      <c r="G249" s="865"/>
      <c r="H249" s="865"/>
      <c r="I249" s="865"/>
      <c r="J249" s="865" t="s">
        <v>129</v>
      </c>
      <c r="K249" s="865"/>
      <c r="L249" s="865"/>
      <c r="M249" s="865"/>
      <c r="N249" s="865"/>
      <c r="O249" s="865"/>
      <c r="P249" s="865"/>
    </row>
    <row r="250" spans="1:16" ht="149.65" customHeight="1" x14ac:dyDescent="0.25">
      <c r="A250" s="675"/>
      <c r="B250" s="865" t="s">
        <v>329</v>
      </c>
      <c r="C250" s="865"/>
      <c r="D250" s="865"/>
      <c r="E250" s="865"/>
      <c r="F250" s="865" t="s">
        <v>338</v>
      </c>
      <c r="G250" s="865"/>
      <c r="H250" s="865"/>
      <c r="I250" s="865"/>
      <c r="J250" s="865" t="s">
        <v>129</v>
      </c>
      <c r="K250" s="865"/>
      <c r="L250" s="865"/>
      <c r="M250" s="865"/>
      <c r="N250" s="865"/>
      <c r="O250" s="865"/>
      <c r="P250" s="865"/>
    </row>
    <row r="251" spans="1:16" x14ac:dyDescent="0.25">
      <c r="A251" s="676"/>
      <c r="B251" s="864" t="s">
        <v>330</v>
      </c>
      <c r="C251" s="864"/>
      <c r="D251" s="864"/>
      <c r="E251" s="864"/>
      <c r="F251" s="864" t="s">
        <v>129</v>
      </c>
      <c r="G251" s="864"/>
      <c r="H251" s="864"/>
      <c r="I251" s="864"/>
      <c r="J251" s="864" t="s">
        <v>129</v>
      </c>
      <c r="K251" s="864"/>
      <c r="L251" s="864"/>
      <c r="M251" s="864"/>
      <c r="N251" s="864"/>
      <c r="O251" s="864"/>
      <c r="P251" s="864"/>
    </row>
    <row r="252" spans="1:16" x14ac:dyDescent="0.25">
      <c r="A252" s="675"/>
      <c r="B252" s="865" t="s">
        <v>1028</v>
      </c>
      <c r="C252" s="865"/>
      <c r="D252" s="865"/>
      <c r="E252" s="865"/>
      <c r="F252" s="865" t="s">
        <v>1128</v>
      </c>
      <c r="G252" s="865"/>
      <c r="H252" s="865"/>
      <c r="I252" s="865"/>
      <c r="J252" s="865" t="s">
        <v>129</v>
      </c>
      <c r="K252" s="865"/>
      <c r="L252" s="865"/>
      <c r="M252" s="865"/>
      <c r="N252" s="865"/>
      <c r="O252" s="865"/>
      <c r="P252" s="865"/>
    </row>
    <row r="253" spans="1:16" ht="27.2" customHeight="1" x14ac:dyDescent="0.25">
      <c r="A253" s="675"/>
      <c r="B253" s="865" t="s">
        <v>1029</v>
      </c>
      <c r="C253" s="865"/>
      <c r="D253" s="865"/>
      <c r="E253" s="865"/>
      <c r="F253" s="865" t="s">
        <v>1129</v>
      </c>
      <c r="G253" s="865"/>
      <c r="H253" s="865"/>
      <c r="I253" s="865"/>
      <c r="J253" s="865" t="s">
        <v>129</v>
      </c>
      <c r="K253" s="865"/>
      <c r="L253" s="865"/>
      <c r="M253" s="865"/>
      <c r="N253" s="865"/>
      <c r="O253" s="865"/>
      <c r="P253" s="865"/>
    </row>
    <row r="254" spans="1:16" ht="27.2" customHeight="1" x14ac:dyDescent="0.25">
      <c r="A254" s="675"/>
      <c r="B254" s="865" t="s">
        <v>1061</v>
      </c>
      <c r="C254" s="865"/>
      <c r="D254" s="865"/>
      <c r="E254" s="865"/>
      <c r="F254" s="865" t="s">
        <v>1130</v>
      </c>
      <c r="G254" s="865"/>
      <c r="H254" s="865"/>
      <c r="I254" s="865"/>
      <c r="J254" s="865" t="s">
        <v>129</v>
      </c>
      <c r="K254" s="865"/>
      <c r="L254" s="865"/>
      <c r="M254" s="865"/>
      <c r="N254" s="865"/>
      <c r="O254" s="865"/>
      <c r="P254" s="865"/>
    </row>
    <row r="255" spans="1:16" ht="27.2" customHeight="1" x14ac:dyDescent="0.25">
      <c r="A255" s="675"/>
      <c r="B255" s="865" t="s">
        <v>1062</v>
      </c>
      <c r="C255" s="865"/>
      <c r="D255" s="865"/>
      <c r="E255" s="865"/>
      <c r="F255" s="865" t="s">
        <v>1131</v>
      </c>
      <c r="G255" s="865"/>
      <c r="H255" s="865"/>
      <c r="I255" s="865"/>
      <c r="J255" s="865" t="s">
        <v>129</v>
      </c>
      <c r="K255" s="865"/>
      <c r="L255" s="865"/>
      <c r="M255" s="865"/>
      <c r="N255" s="865"/>
      <c r="O255" s="865"/>
      <c r="P255" s="865"/>
    </row>
    <row r="256" spans="1:16" ht="27.2" customHeight="1" x14ac:dyDescent="0.25">
      <c r="A256" s="675"/>
      <c r="B256" s="865" t="s">
        <v>1063</v>
      </c>
      <c r="C256" s="865"/>
      <c r="D256" s="865"/>
      <c r="E256" s="865"/>
      <c r="F256" s="865" t="s">
        <v>1132</v>
      </c>
      <c r="G256" s="865"/>
      <c r="H256" s="865"/>
      <c r="I256" s="865"/>
      <c r="J256" s="865" t="s">
        <v>129</v>
      </c>
      <c r="K256" s="865"/>
      <c r="L256" s="865"/>
      <c r="M256" s="865"/>
      <c r="N256" s="865"/>
      <c r="O256" s="865"/>
      <c r="P256" s="865"/>
    </row>
    <row r="257" spans="1:16" ht="27.2" customHeight="1" x14ac:dyDescent="0.25">
      <c r="A257" s="675"/>
      <c r="B257" s="865" t="s">
        <v>1064</v>
      </c>
      <c r="C257" s="865"/>
      <c r="D257" s="865"/>
      <c r="E257" s="865"/>
      <c r="F257" s="865" t="s">
        <v>1133</v>
      </c>
      <c r="G257" s="865"/>
      <c r="H257" s="865"/>
      <c r="I257" s="865"/>
      <c r="J257" s="865" t="s">
        <v>129</v>
      </c>
      <c r="K257" s="865"/>
      <c r="L257" s="865"/>
      <c r="M257" s="865"/>
      <c r="N257" s="865"/>
      <c r="O257" s="865"/>
      <c r="P257" s="865"/>
    </row>
    <row r="258" spans="1:16" x14ac:dyDescent="0.25">
      <c r="A258" s="675"/>
      <c r="B258" s="865" t="s">
        <v>1065</v>
      </c>
      <c r="C258" s="865"/>
      <c r="D258" s="865"/>
      <c r="E258" s="865"/>
      <c r="F258" s="865" t="s">
        <v>1134</v>
      </c>
      <c r="G258" s="865"/>
      <c r="H258" s="865"/>
      <c r="I258" s="865"/>
      <c r="J258" s="865" t="s">
        <v>129</v>
      </c>
      <c r="K258" s="865"/>
      <c r="L258" s="865"/>
      <c r="M258" s="865"/>
      <c r="N258" s="865"/>
      <c r="O258" s="865"/>
      <c r="P258" s="865"/>
    </row>
    <row r="259" spans="1:16" ht="40.9" customHeight="1" x14ac:dyDescent="0.25">
      <c r="A259" s="675"/>
      <c r="B259" s="865" t="s">
        <v>1066</v>
      </c>
      <c r="C259" s="865"/>
      <c r="D259" s="865"/>
      <c r="E259" s="865"/>
      <c r="F259" s="865" t="s">
        <v>1135</v>
      </c>
      <c r="G259" s="865"/>
      <c r="H259" s="865"/>
      <c r="I259" s="865"/>
      <c r="J259" s="865" t="s">
        <v>129</v>
      </c>
      <c r="K259" s="865"/>
      <c r="L259" s="865"/>
      <c r="M259" s="865"/>
      <c r="N259" s="865"/>
      <c r="O259" s="865"/>
      <c r="P259" s="865"/>
    </row>
    <row r="260" spans="1:16" x14ac:dyDescent="0.25">
      <c r="A260" s="675"/>
      <c r="B260" s="865" t="s">
        <v>1033</v>
      </c>
      <c r="C260" s="865"/>
      <c r="D260" s="865"/>
      <c r="E260" s="865"/>
      <c r="F260" s="865" t="s">
        <v>1136</v>
      </c>
      <c r="G260" s="865"/>
      <c r="H260" s="865"/>
      <c r="I260" s="865"/>
      <c r="J260" s="865" t="s">
        <v>129</v>
      </c>
      <c r="K260" s="865"/>
      <c r="L260" s="865"/>
      <c r="M260" s="865"/>
      <c r="N260" s="865"/>
      <c r="O260" s="865"/>
      <c r="P260" s="865"/>
    </row>
    <row r="261" spans="1:16" ht="40.9" customHeight="1" x14ac:dyDescent="0.25">
      <c r="A261" s="675"/>
      <c r="B261" s="865" t="s">
        <v>1067</v>
      </c>
      <c r="C261" s="865"/>
      <c r="D261" s="865"/>
      <c r="E261" s="865"/>
      <c r="F261" s="865" t="s">
        <v>1136</v>
      </c>
      <c r="G261" s="865"/>
      <c r="H261" s="865"/>
      <c r="I261" s="865"/>
      <c r="J261" s="865" t="s">
        <v>129</v>
      </c>
      <c r="K261" s="865"/>
      <c r="L261" s="865"/>
      <c r="M261" s="865"/>
      <c r="N261" s="865"/>
      <c r="O261" s="865"/>
      <c r="P261" s="865"/>
    </row>
    <row r="262" spans="1:16" x14ac:dyDescent="0.25">
      <c r="A262" s="675"/>
      <c r="B262" s="865" t="s">
        <v>1068</v>
      </c>
      <c r="C262" s="865"/>
      <c r="D262" s="865"/>
      <c r="E262" s="865"/>
      <c r="F262" s="865" t="s">
        <v>1137</v>
      </c>
      <c r="G262" s="865"/>
      <c r="H262" s="865"/>
      <c r="I262" s="865"/>
      <c r="J262" s="865" t="s">
        <v>129</v>
      </c>
      <c r="K262" s="865"/>
      <c r="L262" s="865"/>
      <c r="M262" s="865"/>
      <c r="N262" s="865"/>
      <c r="O262" s="865"/>
      <c r="P262" s="865"/>
    </row>
    <row r="263" spans="1:16" x14ac:dyDescent="0.25">
      <c r="A263" s="675"/>
      <c r="B263" s="865" t="s">
        <v>1069</v>
      </c>
      <c r="C263" s="865"/>
      <c r="D263" s="865"/>
      <c r="E263" s="865"/>
      <c r="F263" s="865" t="s">
        <v>1137</v>
      </c>
      <c r="G263" s="865"/>
      <c r="H263" s="865"/>
      <c r="I263" s="865"/>
      <c r="J263" s="865" t="s">
        <v>129</v>
      </c>
      <c r="K263" s="865"/>
      <c r="L263" s="865"/>
      <c r="M263" s="865"/>
      <c r="N263" s="865"/>
      <c r="O263" s="865"/>
      <c r="P263" s="865"/>
    </row>
    <row r="264" spans="1:16" x14ac:dyDescent="0.25">
      <c r="A264" s="675"/>
      <c r="B264" s="865" t="s">
        <v>1070</v>
      </c>
      <c r="C264" s="865"/>
      <c r="D264" s="865"/>
      <c r="E264" s="865"/>
      <c r="F264" s="865" t="s">
        <v>1136</v>
      </c>
      <c r="G264" s="865"/>
      <c r="H264" s="865"/>
      <c r="I264" s="865"/>
      <c r="J264" s="865" t="s">
        <v>129</v>
      </c>
      <c r="K264" s="865"/>
      <c r="L264" s="865"/>
      <c r="M264" s="865"/>
      <c r="N264" s="865"/>
      <c r="O264" s="865"/>
      <c r="P264" s="865"/>
    </row>
    <row r="265" spans="1:16" x14ac:dyDescent="0.25">
      <c r="A265" s="675"/>
      <c r="B265" s="865" t="s">
        <v>1071</v>
      </c>
      <c r="C265" s="865"/>
      <c r="D265" s="865"/>
      <c r="E265" s="865"/>
      <c r="F265" s="865" t="s">
        <v>1138</v>
      </c>
      <c r="G265" s="865"/>
      <c r="H265" s="865"/>
      <c r="I265" s="865"/>
      <c r="J265" s="865" t="s">
        <v>129</v>
      </c>
      <c r="K265" s="865"/>
      <c r="L265" s="865"/>
      <c r="M265" s="865"/>
      <c r="N265" s="865"/>
      <c r="O265" s="865"/>
      <c r="P265" s="865"/>
    </row>
    <row r="266" spans="1:16" x14ac:dyDescent="0.25">
      <c r="A266" s="675"/>
      <c r="B266" s="865" t="s">
        <v>1072</v>
      </c>
      <c r="C266" s="865"/>
      <c r="D266" s="865"/>
      <c r="E266" s="865"/>
      <c r="F266" s="865" t="s">
        <v>1139</v>
      </c>
      <c r="G266" s="865"/>
      <c r="H266" s="865"/>
      <c r="I266" s="865"/>
      <c r="J266" s="865" t="s">
        <v>129</v>
      </c>
      <c r="K266" s="865"/>
      <c r="L266" s="865"/>
      <c r="M266" s="865"/>
      <c r="N266" s="865"/>
      <c r="O266" s="865"/>
      <c r="P266" s="865"/>
    </row>
    <row r="267" spans="1:16" ht="27.2" customHeight="1" x14ac:dyDescent="0.25">
      <c r="A267" s="675"/>
      <c r="B267" s="865" t="s">
        <v>1073</v>
      </c>
      <c r="C267" s="865"/>
      <c r="D267" s="865"/>
      <c r="E267" s="865"/>
      <c r="F267" s="865" t="s">
        <v>1140</v>
      </c>
      <c r="G267" s="865"/>
      <c r="H267" s="865"/>
      <c r="I267" s="865"/>
      <c r="J267" s="865" t="s">
        <v>129</v>
      </c>
      <c r="K267" s="865"/>
      <c r="L267" s="865"/>
      <c r="M267" s="865"/>
      <c r="N267" s="865"/>
      <c r="O267" s="865"/>
      <c r="P267" s="865"/>
    </row>
    <row r="268" spans="1:16" ht="27.2" customHeight="1" x14ac:dyDescent="0.25">
      <c r="A268" s="675"/>
      <c r="B268" s="865" t="s">
        <v>1074</v>
      </c>
      <c r="C268" s="865"/>
      <c r="D268" s="865"/>
      <c r="E268" s="865"/>
      <c r="F268" s="865" t="s">
        <v>1141</v>
      </c>
      <c r="G268" s="865"/>
      <c r="H268" s="865"/>
      <c r="I268" s="865"/>
      <c r="J268" s="865" t="s">
        <v>129</v>
      </c>
      <c r="K268" s="865"/>
      <c r="L268" s="865"/>
      <c r="M268" s="865"/>
      <c r="N268" s="865"/>
      <c r="O268" s="865"/>
      <c r="P268" s="865"/>
    </row>
    <row r="269" spans="1:16" ht="27.2" customHeight="1" x14ac:dyDescent="0.25">
      <c r="A269" s="675"/>
      <c r="B269" s="865" t="s">
        <v>1075</v>
      </c>
      <c r="C269" s="865"/>
      <c r="D269" s="865"/>
      <c r="E269" s="865"/>
      <c r="F269" s="865" t="s">
        <v>1142</v>
      </c>
      <c r="G269" s="865"/>
      <c r="H269" s="865"/>
      <c r="I269" s="865"/>
      <c r="J269" s="865" t="s">
        <v>129</v>
      </c>
      <c r="K269" s="865"/>
      <c r="L269" s="865"/>
      <c r="M269" s="865"/>
      <c r="N269" s="865"/>
      <c r="O269" s="865"/>
      <c r="P269" s="865"/>
    </row>
    <row r="270" spans="1:16" ht="40.9" customHeight="1" x14ac:dyDescent="0.25">
      <c r="A270" s="675"/>
      <c r="B270" s="865" t="s">
        <v>1076</v>
      </c>
      <c r="C270" s="865"/>
      <c r="D270" s="865"/>
      <c r="E270" s="865"/>
      <c r="F270" s="865" t="s">
        <v>1141</v>
      </c>
      <c r="G270" s="865"/>
      <c r="H270" s="865"/>
      <c r="I270" s="865"/>
      <c r="J270" s="865" t="s">
        <v>129</v>
      </c>
      <c r="K270" s="865"/>
      <c r="L270" s="865"/>
      <c r="M270" s="865"/>
      <c r="N270" s="865"/>
      <c r="O270" s="865"/>
      <c r="P270" s="865"/>
    </row>
    <row r="271" spans="1:16" ht="54.4" customHeight="1" x14ac:dyDescent="0.25">
      <c r="A271" s="675"/>
      <c r="B271" s="865" t="s">
        <v>1077</v>
      </c>
      <c r="C271" s="865"/>
      <c r="D271" s="865"/>
      <c r="E271" s="865"/>
      <c r="F271" s="865" t="s">
        <v>1143</v>
      </c>
      <c r="G271" s="865"/>
      <c r="H271" s="865"/>
      <c r="I271" s="865"/>
      <c r="J271" s="865" t="s">
        <v>129</v>
      </c>
      <c r="K271" s="865"/>
      <c r="L271" s="865"/>
      <c r="M271" s="865"/>
      <c r="N271" s="865"/>
      <c r="O271" s="865"/>
      <c r="P271" s="865"/>
    </row>
    <row r="272" spans="1:16" ht="163.15" customHeight="1" x14ac:dyDescent="0.25">
      <c r="A272" s="674" t="s">
        <v>177</v>
      </c>
      <c r="B272" s="781" t="s">
        <v>1786</v>
      </c>
      <c r="C272" s="782"/>
      <c r="D272" s="782"/>
      <c r="E272" s="782"/>
      <c r="F272" s="782" t="s">
        <v>1787</v>
      </c>
      <c r="G272" s="782"/>
      <c r="H272" s="782"/>
      <c r="I272" s="782"/>
      <c r="J272" s="782" t="s">
        <v>1788</v>
      </c>
      <c r="K272" s="782"/>
      <c r="L272" s="782"/>
      <c r="M272" s="866">
        <f>ROUND((1150 + 40 * (0.4 * 70 + 0.6 * 40.8)) * 1 * 54.34 * 0.15 * 1.29333, 0)</f>
        <v>34253</v>
      </c>
      <c r="N272" s="782"/>
      <c r="O272" s="782" t="s">
        <v>1789</v>
      </c>
      <c r="P272" s="782"/>
    </row>
    <row r="273" spans="1:16" x14ac:dyDescent="0.25">
      <c r="A273" s="676"/>
      <c r="B273" s="864" t="s">
        <v>306</v>
      </c>
      <c r="C273" s="864"/>
      <c r="D273" s="864"/>
      <c r="E273" s="864"/>
      <c r="F273" s="864" t="s">
        <v>129</v>
      </c>
      <c r="G273" s="864"/>
      <c r="H273" s="864"/>
      <c r="I273" s="864"/>
      <c r="J273" s="864" t="s">
        <v>129</v>
      </c>
      <c r="K273" s="864"/>
      <c r="L273" s="864"/>
      <c r="M273" s="864"/>
      <c r="N273" s="864"/>
      <c r="O273" s="864"/>
      <c r="P273" s="864"/>
    </row>
    <row r="274" spans="1:16" x14ac:dyDescent="0.25">
      <c r="A274" s="675"/>
      <c r="B274" s="865" t="s">
        <v>325</v>
      </c>
      <c r="C274" s="865"/>
      <c r="D274" s="865"/>
      <c r="E274" s="865"/>
      <c r="F274" s="865" t="s">
        <v>1790</v>
      </c>
      <c r="G274" s="865"/>
      <c r="H274" s="865"/>
      <c r="I274" s="865"/>
      <c r="J274" s="865" t="s">
        <v>129</v>
      </c>
      <c r="K274" s="865"/>
      <c r="L274" s="865"/>
      <c r="M274" s="865"/>
      <c r="N274" s="865"/>
      <c r="O274" s="865"/>
      <c r="P274" s="865"/>
    </row>
    <row r="275" spans="1:16" ht="40.9" customHeight="1" x14ac:dyDescent="0.25">
      <c r="A275" s="675"/>
      <c r="B275" s="865" t="s">
        <v>1342</v>
      </c>
      <c r="C275" s="865"/>
      <c r="D275" s="865"/>
      <c r="E275" s="865"/>
      <c r="F275" s="865" t="s">
        <v>1343</v>
      </c>
      <c r="G275" s="865"/>
      <c r="H275" s="865"/>
      <c r="I275" s="865"/>
      <c r="J275" s="865" t="s">
        <v>129</v>
      </c>
      <c r="K275" s="865"/>
      <c r="L275" s="865"/>
      <c r="M275" s="865"/>
      <c r="N275" s="865"/>
      <c r="O275" s="865"/>
      <c r="P275" s="865"/>
    </row>
    <row r="276" spans="1:16" ht="149.65" customHeight="1" x14ac:dyDescent="0.25">
      <c r="A276" s="675"/>
      <c r="B276" s="865" t="s">
        <v>329</v>
      </c>
      <c r="C276" s="865"/>
      <c r="D276" s="865"/>
      <c r="E276" s="865"/>
      <c r="F276" s="865" t="s">
        <v>1791</v>
      </c>
      <c r="G276" s="865"/>
      <c r="H276" s="865"/>
      <c r="I276" s="865"/>
      <c r="J276" s="865" t="s">
        <v>129</v>
      </c>
      <c r="K276" s="865"/>
      <c r="L276" s="865"/>
      <c r="M276" s="865"/>
      <c r="N276" s="865"/>
      <c r="O276" s="865"/>
      <c r="P276" s="865"/>
    </row>
    <row r="277" spans="1:16" x14ac:dyDescent="0.25">
      <c r="A277" s="676"/>
      <c r="B277" s="864" t="s">
        <v>330</v>
      </c>
      <c r="C277" s="864"/>
      <c r="D277" s="864"/>
      <c r="E277" s="864"/>
      <c r="F277" s="864" t="s">
        <v>129</v>
      </c>
      <c r="G277" s="864"/>
      <c r="H277" s="864"/>
      <c r="I277" s="864"/>
      <c r="J277" s="864" t="s">
        <v>129</v>
      </c>
      <c r="K277" s="864"/>
      <c r="L277" s="864"/>
      <c r="M277" s="864"/>
      <c r="N277" s="864"/>
      <c r="O277" s="864"/>
      <c r="P277" s="864"/>
    </row>
    <row r="278" spans="1:16" ht="40.9" customHeight="1" x14ac:dyDescent="0.25">
      <c r="A278" s="675"/>
      <c r="B278" s="865" t="s">
        <v>1792</v>
      </c>
      <c r="C278" s="865"/>
      <c r="D278" s="865"/>
      <c r="E278" s="865"/>
      <c r="F278" s="865" t="s">
        <v>1793</v>
      </c>
      <c r="G278" s="865"/>
      <c r="H278" s="865"/>
      <c r="I278" s="865"/>
      <c r="J278" s="865" t="s">
        <v>129</v>
      </c>
      <c r="K278" s="865"/>
      <c r="L278" s="865"/>
      <c r="M278" s="865"/>
      <c r="N278" s="865"/>
      <c r="O278" s="865"/>
      <c r="P278" s="865"/>
    </row>
    <row r="279" spans="1:16" ht="40.9" customHeight="1" x14ac:dyDescent="0.25">
      <c r="A279" s="675"/>
      <c r="B279" s="865" t="s">
        <v>1794</v>
      </c>
      <c r="C279" s="865"/>
      <c r="D279" s="865"/>
      <c r="E279" s="865"/>
      <c r="F279" s="865" t="s">
        <v>1795</v>
      </c>
      <c r="G279" s="865"/>
      <c r="H279" s="865"/>
      <c r="I279" s="865"/>
      <c r="J279" s="865" t="s">
        <v>129</v>
      </c>
      <c r="K279" s="865"/>
      <c r="L279" s="865"/>
      <c r="M279" s="865"/>
      <c r="N279" s="865"/>
      <c r="O279" s="865"/>
      <c r="P279" s="865"/>
    </row>
    <row r="280" spans="1:16" ht="40.9" customHeight="1" x14ac:dyDescent="0.25">
      <c r="A280" s="675"/>
      <c r="B280" s="865" t="s">
        <v>1796</v>
      </c>
      <c r="C280" s="865"/>
      <c r="D280" s="865"/>
      <c r="E280" s="865"/>
      <c r="F280" s="865" t="s">
        <v>1797</v>
      </c>
      <c r="G280" s="865"/>
      <c r="H280" s="865"/>
      <c r="I280" s="865"/>
      <c r="J280" s="865" t="s">
        <v>129</v>
      </c>
      <c r="K280" s="865"/>
      <c r="L280" s="865"/>
      <c r="M280" s="865"/>
      <c r="N280" s="865"/>
      <c r="O280" s="865"/>
      <c r="P280" s="865"/>
    </row>
    <row r="281" spans="1:16" x14ac:dyDescent="0.25">
      <c r="A281" s="675"/>
      <c r="B281" s="865" t="s">
        <v>1798</v>
      </c>
      <c r="C281" s="865"/>
      <c r="D281" s="865"/>
      <c r="E281" s="865"/>
      <c r="F281" s="865" t="s">
        <v>1799</v>
      </c>
      <c r="G281" s="865"/>
      <c r="H281" s="865"/>
      <c r="I281" s="865"/>
      <c r="J281" s="865" t="s">
        <v>129</v>
      </c>
      <c r="K281" s="865"/>
      <c r="L281" s="865"/>
      <c r="M281" s="865"/>
      <c r="N281" s="865"/>
      <c r="O281" s="865"/>
      <c r="P281" s="865"/>
    </row>
    <row r="282" spans="1:16" ht="27.2" customHeight="1" x14ac:dyDescent="0.25">
      <c r="A282" s="675"/>
      <c r="B282" s="865" t="s">
        <v>1800</v>
      </c>
      <c r="C282" s="865"/>
      <c r="D282" s="865"/>
      <c r="E282" s="865"/>
      <c r="F282" s="865" t="s">
        <v>1801</v>
      </c>
      <c r="G282" s="865"/>
      <c r="H282" s="865"/>
      <c r="I282" s="865"/>
      <c r="J282" s="865" t="s">
        <v>129</v>
      </c>
      <c r="K282" s="865"/>
      <c r="L282" s="865"/>
      <c r="M282" s="865"/>
      <c r="N282" s="865"/>
      <c r="O282" s="865"/>
      <c r="P282" s="865"/>
    </row>
    <row r="283" spans="1:16" x14ac:dyDescent="0.25">
      <c r="A283" s="675"/>
      <c r="B283" s="865" t="s">
        <v>1802</v>
      </c>
      <c r="C283" s="865"/>
      <c r="D283" s="865"/>
      <c r="E283" s="865"/>
      <c r="F283" s="865" t="s">
        <v>1803</v>
      </c>
      <c r="G283" s="865"/>
      <c r="H283" s="865"/>
      <c r="I283" s="865"/>
      <c r="J283" s="865" t="s">
        <v>129</v>
      </c>
      <c r="K283" s="865"/>
      <c r="L283" s="865"/>
      <c r="M283" s="865"/>
      <c r="N283" s="865"/>
      <c r="O283" s="865"/>
      <c r="P283" s="865"/>
    </row>
    <row r="284" spans="1:16" x14ac:dyDescent="0.25">
      <c r="A284" s="675"/>
      <c r="B284" s="865" t="s">
        <v>1804</v>
      </c>
      <c r="C284" s="865"/>
      <c r="D284" s="865"/>
      <c r="E284" s="865"/>
      <c r="F284" s="865" t="s">
        <v>1805</v>
      </c>
      <c r="G284" s="865"/>
      <c r="H284" s="865"/>
      <c r="I284" s="865"/>
      <c r="J284" s="865" t="s">
        <v>129</v>
      </c>
      <c r="K284" s="865"/>
      <c r="L284" s="865"/>
      <c r="M284" s="865"/>
      <c r="N284" s="865"/>
      <c r="O284" s="865"/>
      <c r="P284" s="865"/>
    </row>
    <row r="285" spans="1:16" ht="163.15" customHeight="1" x14ac:dyDescent="0.25">
      <c r="A285" s="674" t="s">
        <v>1806</v>
      </c>
      <c r="B285" s="781" t="s">
        <v>1786</v>
      </c>
      <c r="C285" s="782"/>
      <c r="D285" s="782"/>
      <c r="E285" s="782"/>
      <c r="F285" s="782" t="s">
        <v>1787</v>
      </c>
      <c r="G285" s="782"/>
      <c r="H285" s="782"/>
      <c r="I285" s="782"/>
      <c r="J285" s="782" t="s">
        <v>1788</v>
      </c>
      <c r="K285" s="782"/>
      <c r="L285" s="782"/>
      <c r="M285" s="866">
        <f>ROUND((1150 + 40 * (0.4 * 70 + 0.6 * 40.8)) * 1 * 54.34 * 0.15 * 1.29333, 0)</f>
        <v>34253</v>
      </c>
      <c r="N285" s="782"/>
      <c r="O285" s="782" t="s">
        <v>1807</v>
      </c>
      <c r="P285" s="782"/>
    </row>
    <row r="286" spans="1:16" x14ac:dyDescent="0.25">
      <c r="A286" s="676"/>
      <c r="B286" s="864" t="s">
        <v>306</v>
      </c>
      <c r="C286" s="864"/>
      <c r="D286" s="864"/>
      <c r="E286" s="864"/>
      <c r="F286" s="864" t="s">
        <v>129</v>
      </c>
      <c r="G286" s="864"/>
      <c r="H286" s="864"/>
      <c r="I286" s="864"/>
      <c r="J286" s="864" t="s">
        <v>129</v>
      </c>
      <c r="K286" s="864"/>
      <c r="L286" s="864"/>
      <c r="M286" s="864"/>
      <c r="N286" s="864"/>
      <c r="O286" s="864"/>
      <c r="P286" s="864"/>
    </row>
    <row r="287" spans="1:16" x14ac:dyDescent="0.25">
      <c r="A287" s="675"/>
      <c r="B287" s="865" t="s">
        <v>325</v>
      </c>
      <c r="C287" s="865"/>
      <c r="D287" s="865"/>
      <c r="E287" s="865"/>
      <c r="F287" s="865" t="s">
        <v>1790</v>
      </c>
      <c r="G287" s="865"/>
      <c r="H287" s="865"/>
      <c r="I287" s="865"/>
      <c r="J287" s="865" t="s">
        <v>129</v>
      </c>
      <c r="K287" s="865"/>
      <c r="L287" s="865"/>
      <c r="M287" s="865"/>
      <c r="N287" s="865"/>
      <c r="O287" s="865"/>
      <c r="P287" s="865"/>
    </row>
    <row r="288" spans="1:16" ht="40.9" customHeight="1" x14ac:dyDescent="0.25">
      <c r="A288" s="675"/>
      <c r="B288" s="865" t="s">
        <v>1342</v>
      </c>
      <c r="C288" s="865"/>
      <c r="D288" s="865"/>
      <c r="E288" s="865"/>
      <c r="F288" s="865" t="s">
        <v>1343</v>
      </c>
      <c r="G288" s="865"/>
      <c r="H288" s="865"/>
      <c r="I288" s="865"/>
      <c r="J288" s="865" t="s">
        <v>129</v>
      </c>
      <c r="K288" s="865"/>
      <c r="L288" s="865"/>
      <c r="M288" s="865"/>
      <c r="N288" s="865"/>
      <c r="O288" s="865"/>
      <c r="P288" s="865"/>
    </row>
    <row r="289" spans="1:16" ht="149.65" customHeight="1" x14ac:dyDescent="0.25">
      <c r="A289" s="675"/>
      <c r="B289" s="865" t="s">
        <v>329</v>
      </c>
      <c r="C289" s="865"/>
      <c r="D289" s="865"/>
      <c r="E289" s="865"/>
      <c r="F289" s="865" t="s">
        <v>1791</v>
      </c>
      <c r="G289" s="865"/>
      <c r="H289" s="865"/>
      <c r="I289" s="865"/>
      <c r="J289" s="865" t="s">
        <v>129</v>
      </c>
      <c r="K289" s="865"/>
      <c r="L289" s="865"/>
      <c r="M289" s="865"/>
      <c r="N289" s="865"/>
      <c r="O289" s="865"/>
      <c r="P289" s="865"/>
    </row>
    <row r="290" spans="1:16" x14ac:dyDescent="0.25">
      <c r="A290" s="676"/>
      <c r="B290" s="864" t="s">
        <v>330</v>
      </c>
      <c r="C290" s="864"/>
      <c r="D290" s="864"/>
      <c r="E290" s="864"/>
      <c r="F290" s="864" t="s">
        <v>129</v>
      </c>
      <c r="G290" s="864"/>
      <c r="H290" s="864"/>
      <c r="I290" s="864"/>
      <c r="J290" s="864" t="s">
        <v>129</v>
      </c>
      <c r="K290" s="864"/>
      <c r="L290" s="864"/>
      <c r="M290" s="864"/>
      <c r="N290" s="864"/>
      <c r="O290" s="864"/>
      <c r="P290" s="864"/>
    </row>
    <row r="291" spans="1:16" ht="40.9" customHeight="1" x14ac:dyDescent="0.25">
      <c r="A291" s="675"/>
      <c r="B291" s="865" t="s">
        <v>1792</v>
      </c>
      <c r="C291" s="865"/>
      <c r="D291" s="865"/>
      <c r="E291" s="865"/>
      <c r="F291" s="865" t="s">
        <v>1793</v>
      </c>
      <c r="G291" s="865"/>
      <c r="H291" s="865"/>
      <c r="I291" s="865"/>
      <c r="J291" s="865" t="s">
        <v>129</v>
      </c>
      <c r="K291" s="865"/>
      <c r="L291" s="865"/>
      <c r="M291" s="865"/>
      <c r="N291" s="865"/>
      <c r="O291" s="865"/>
      <c r="P291" s="865"/>
    </row>
    <row r="292" spans="1:16" ht="40.9" customHeight="1" x14ac:dyDescent="0.25">
      <c r="A292" s="675"/>
      <c r="B292" s="865" t="s">
        <v>1794</v>
      </c>
      <c r="C292" s="865"/>
      <c r="D292" s="865"/>
      <c r="E292" s="865"/>
      <c r="F292" s="865" t="s">
        <v>1795</v>
      </c>
      <c r="G292" s="865"/>
      <c r="H292" s="865"/>
      <c r="I292" s="865"/>
      <c r="J292" s="865" t="s">
        <v>129</v>
      </c>
      <c r="K292" s="865"/>
      <c r="L292" s="865"/>
      <c r="M292" s="865"/>
      <c r="N292" s="865"/>
      <c r="O292" s="865"/>
      <c r="P292" s="865"/>
    </row>
    <row r="293" spans="1:16" ht="40.9" customHeight="1" x14ac:dyDescent="0.25">
      <c r="A293" s="675"/>
      <c r="B293" s="865" t="s">
        <v>1796</v>
      </c>
      <c r="C293" s="865"/>
      <c r="D293" s="865"/>
      <c r="E293" s="865"/>
      <c r="F293" s="865" t="s">
        <v>1797</v>
      </c>
      <c r="G293" s="865"/>
      <c r="H293" s="865"/>
      <c r="I293" s="865"/>
      <c r="J293" s="865" t="s">
        <v>129</v>
      </c>
      <c r="K293" s="865"/>
      <c r="L293" s="865"/>
      <c r="M293" s="865"/>
      <c r="N293" s="865"/>
      <c r="O293" s="865"/>
      <c r="P293" s="865"/>
    </row>
    <row r="294" spans="1:16" x14ac:dyDescent="0.25">
      <c r="A294" s="675"/>
      <c r="B294" s="865" t="s">
        <v>1798</v>
      </c>
      <c r="C294" s="865"/>
      <c r="D294" s="865"/>
      <c r="E294" s="865"/>
      <c r="F294" s="865" t="s">
        <v>1799</v>
      </c>
      <c r="G294" s="865"/>
      <c r="H294" s="865"/>
      <c r="I294" s="865"/>
      <c r="J294" s="865" t="s">
        <v>129</v>
      </c>
      <c r="K294" s="865"/>
      <c r="L294" s="865"/>
      <c r="M294" s="865"/>
      <c r="N294" s="865"/>
      <c r="O294" s="865"/>
      <c r="P294" s="865"/>
    </row>
    <row r="295" spans="1:16" ht="27.2" customHeight="1" x14ac:dyDescent="0.25">
      <c r="A295" s="675"/>
      <c r="B295" s="865" t="s">
        <v>1800</v>
      </c>
      <c r="C295" s="865"/>
      <c r="D295" s="865"/>
      <c r="E295" s="865"/>
      <c r="F295" s="865" t="s">
        <v>1801</v>
      </c>
      <c r="G295" s="865"/>
      <c r="H295" s="865"/>
      <c r="I295" s="865"/>
      <c r="J295" s="865" t="s">
        <v>129</v>
      </c>
      <c r="K295" s="865"/>
      <c r="L295" s="865"/>
      <c r="M295" s="865"/>
      <c r="N295" s="865"/>
      <c r="O295" s="865"/>
      <c r="P295" s="865"/>
    </row>
    <row r="296" spans="1:16" x14ac:dyDescent="0.25">
      <c r="A296" s="675"/>
      <c r="B296" s="865" t="s">
        <v>1802</v>
      </c>
      <c r="C296" s="865"/>
      <c r="D296" s="865"/>
      <c r="E296" s="865"/>
      <c r="F296" s="865" t="s">
        <v>1803</v>
      </c>
      <c r="G296" s="865"/>
      <c r="H296" s="865"/>
      <c r="I296" s="865"/>
      <c r="J296" s="865" t="s">
        <v>129</v>
      </c>
      <c r="K296" s="865"/>
      <c r="L296" s="865"/>
      <c r="M296" s="865"/>
      <c r="N296" s="865"/>
      <c r="O296" s="865"/>
      <c r="P296" s="865"/>
    </row>
    <row r="297" spans="1:16" x14ac:dyDescent="0.25">
      <c r="A297" s="675"/>
      <c r="B297" s="865" t="s">
        <v>1804</v>
      </c>
      <c r="C297" s="865"/>
      <c r="D297" s="865"/>
      <c r="E297" s="865"/>
      <c r="F297" s="865" t="s">
        <v>1805</v>
      </c>
      <c r="G297" s="865"/>
      <c r="H297" s="865"/>
      <c r="I297" s="865"/>
      <c r="J297" s="865" t="s">
        <v>129</v>
      </c>
      <c r="K297" s="865"/>
      <c r="L297" s="865"/>
      <c r="M297" s="865"/>
      <c r="N297" s="865"/>
      <c r="O297" s="865"/>
      <c r="P297" s="865"/>
    </row>
    <row r="298" spans="1:16" ht="204" customHeight="1" x14ac:dyDescent="0.25">
      <c r="A298" s="674" t="s">
        <v>1808</v>
      </c>
      <c r="B298" s="781" t="s">
        <v>2179</v>
      </c>
      <c r="C298" s="782"/>
      <c r="D298" s="782"/>
      <c r="E298" s="782"/>
      <c r="F298" s="782" t="s">
        <v>2178</v>
      </c>
      <c r="G298" s="782"/>
      <c r="H298" s="782"/>
      <c r="I298" s="782"/>
      <c r="J298" s="782" t="s">
        <v>2177</v>
      </c>
      <c r="K298" s="782"/>
      <c r="L298" s="782"/>
      <c r="M298" s="866">
        <f>ROUND(470800 * 1 * 1.68 * 0.4 * 0.9 * 1.24474, 0)</f>
        <v>354427</v>
      </c>
      <c r="N298" s="782"/>
      <c r="O298" s="782" t="s">
        <v>2176</v>
      </c>
      <c r="P298" s="782"/>
    </row>
    <row r="299" spans="1:16" x14ac:dyDescent="0.25">
      <c r="A299" s="676"/>
      <c r="B299" s="864" t="s">
        <v>306</v>
      </c>
      <c r="C299" s="864"/>
      <c r="D299" s="864"/>
      <c r="E299" s="864"/>
      <c r="F299" s="864" t="s">
        <v>129</v>
      </c>
      <c r="G299" s="864"/>
      <c r="H299" s="864"/>
      <c r="I299" s="864"/>
      <c r="J299" s="864" t="s">
        <v>129</v>
      </c>
      <c r="K299" s="864"/>
      <c r="L299" s="864"/>
      <c r="M299" s="864"/>
      <c r="N299" s="864"/>
      <c r="O299" s="864"/>
      <c r="P299" s="864"/>
    </row>
    <row r="300" spans="1:16" x14ac:dyDescent="0.25">
      <c r="A300" s="675"/>
      <c r="B300" s="865" t="s">
        <v>325</v>
      </c>
      <c r="C300" s="865"/>
      <c r="D300" s="865"/>
      <c r="E300" s="865"/>
      <c r="F300" s="865" t="s">
        <v>326</v>
      </c>
      <c r="G300" s="865"/>
      <c r="H300" s="865"/>
      <c r="I300" s="865"/>
      <c r="J300" s="865" t="s">
        <v>129</v>
      </c>
      <c r="K300" s="865"/>
      <c r="L300" s="865"/>
      <c r="M300" s="865"/>
      <c r="N300" s="865"/>
      <c r="O300" s="865"/>
      <c r="P300" s="865"/>
    </row>
    <row r="301" spans="1:16" ht="40.9" customHeight="1" x14ac:dyDescent="0.25">
      <c r="A301" s="675"/>
      <c r="B301" s="865" t="s">
        <v>331</v>
      </c>
      <c r="C301" s="865"/>
      <c r="D301" s="865"/>
      <c r="E301" s="865"/>
      <c r="F301" s="865" t="s">
        <v>332</v>
      </c>
      <c r="G301" s="865"/>
      <c r="H301" s="865"/>
      <c r="I301" s="865"/>
      <c r="J301" s="865" t="s">
        <v>129</v>
      </c>
      <c r="K301" s="865"/>
      <c r="L301" s="865"/>
      <c r="M301" s="865"/>
      <c r="N301" s="865"/>
      <c r="O301" s="865"/>
      <c r="P301" s="865"/>
    </row>
    <row r="302" spans="1:16" ht="108.75" customHeight="1" x14ac:dyDescent="0.25">
      <c r="A302" s="675"/>
      <c r="B302" s="865" t="s">
        <v>1809</v>
      </c>
      <c r="C302" s="865"/>
      <c r="D302" s="865"/>
      <c r="E302" s="865"/>
      <c r="F302" s="865" t="s">
        <v>1810</v>
      </c>
      <c r="G302" s="865"/>
      <c r="H302" s="865"/>
      <c r="I302" s="865"/>
      <c r="J302" s="865" t="s">
        <v>129</v>
      </c>
      <c r="K302" s="865"/>
      <c r="L302" s="865"/>
      <c r="M302" s="865"/>
      <c r="N302" s="865"/>
      <c r="O302" s="865"/>
      <c r="P302" s="865"/>
    </row>
    <row r="303" spans="1:16" ht="149.65" customHeight="1" x14ac:dyDescent="0.25">
      <c r="A303" s="675"/>
      <c r="B303" s="865" t="s">
        <v>329</v>
      </c>
      <c r="C303" s="865"/>
      <c r="D303" s="865"/>
      <c r="E303" s="865"/>
      <c r="F303" s="865" t="s">
        <v>341</v>
      </c>
      <c r="G303" s="865"/>
      <c r="H303" s="865"/>
      <c r="I303" s="865"/>
      <c r="J303" s="865" t="s">
        <v>129</v>
      </c>
      <c r="K303" s="865"/>
      <c r="L303" s="865"/>
      <c r="M303" s="865"/>
      <c r="N303" s="865"/>
      <c r="O303" s="865"/>
      <c r="P303" s="865"/>
    </row>
    <row r="304" spans="1:16" x14ac:dyDescent="0.25">
      <c r="A304" s="676"/>
      <c r="B304" s="864" t="s">
        <v>330</v>
      </c>
      <c r="C304" s="864"/>
      <c r="D304" s="864"/>
      <c r="E304" s="864"/>
      <c r="F304" s="864" t="s">
        <v>129</v>
      </c>
      <c r="G304" s="864"/>
      <c r="H304" s="864"/>
      <c r="I304" s="864"/>
      <c r="J304" s="864" t="s">
        <v>129</v>
      </c>
      <c r="K304" s="864"/>
      <c r="L304" s="864"/>
      <c r="M304" s="864"/>
      <c r="N304" s="864"/>
      <c r="O304" s="864"/>
      <c r="P304" s="864"/>
    </row>
    <row r="305" spans="1:16" x14ac:dyDescent="0.25">
      <c r="A305" s="675"/>
      <c r="B305" s="865" t="s">
        <v>1028</v>
      </c>
      <c r="C305" s="865"/>
      <c r="D305" s="865"/>
      <c r="E305" s="865"/>
      <c r="F305" s="865" t="s">
        <v>2175</v>
      </c>
      <c r="G305" s="865"/>
      <c r="H305" s="865"/>
      <c r="I305" s="865"/>
      <c r="J305" s="865" t="s">
        <v>129</v>
      </c>
      <c r="K305" s="865"/>
      <c r="L305" s="865"/>
      <c r="M305" s="865"/>
      <c r="N305" s="865"/>
      <c r="O305" s="865"/>
      <c r="P305" s="865"/>
    </row>
    <row r="306" spans="1:16" ht="27.2" customHeight="1" x14ac:dyDescent="0.25">
      <c r="A306" s="675"/>
      <c r="B306" s="865" t="s">
        <v>1082</v>
      </c>
      <c r="C306" s="865"/>
      <c r="D306" s="865"/>
      <c r="E306" s="865"/>
      <c r="F306" s="865" t="s">
        <v>2174</v>
      </c>
      <c r="G306" s="865"/>
      <c r="H306" s="865"/>
      <c r="I306" s="865"/>
      <c r="J306" s="865" t="s">
        <v>129</v>
      </c>
      <c r="K306" s="865"/>
      <c r="L306" s="865"/>
      <c r="M306" s="865"/>
      <c r="N306" s="865"/>
      <c r="O306" s="865"/>
      <c r="P306" s="865"/>
    </row>
    <row r="307" spans="1:16" x14ac:dyDescent="0.25">
      <c r="A307" s="675"/>
      <c r="B307" s="865" t="s">
        <v>1083</v>
      </c>
      <c r="C307" s="865"/>
      <c r="D307" s="865"/>
      <c r="E307" s="865"/>
      <c r="F307" s="865" t="s">
        <v>2173</v>
      </c>
      <c r="G307" s="865"/>
      <c r="H307" s="865"/>
      <c r="I307" s="865"/>
      <c r="J307" s="865" t="s">
        <v>129</v>
      </c>
      <c r="K307" s="865"/>
      <c r="L307" s="865"/>
      <c r="M307" s="865"/>
      <c r="N307" s="865"/>
      <c r="O307" s="865"/>
      <c r="P307" s="865"/>
    </row>
    <row r="308" spans="1:16" ht="27.2" customHeight="1" x14ac:dyDescent="0.25">
      <c r="A308" s="675"/>
      <c r="B308" s="865" t="s">
        <v>1084</v>
      </c>
      <c r="C308" s="865"/>
      <c r="D308" s="865"/>
      <c r="E308" s="865"/>
      <c r="F308" s="865" t="s">
        <v>2172</v>
      </c>
      <c r="G308" s="865"/>
      <c r="H308" s="865"/>
      <c r="I308" s="865"/>
      <c r="J308" s="865" t="s">
        <v>129</v>
      </c>
      <c r="K308" s="865"/>
      <c r="L308" s="865"/>
      <c r="M308" s="865"/>
      <c r="N308" s="865"/>
      <c r="O308" s="865"/>
      <c r="P308" s="865"/>
    </row>
    <row r="309" spans="1:16" ht="81.599999999999994" customHeight="1" x14ac:dyDescent="0.25">
      <c r="A309" s="675"/>
      <c r="B309" s="865" t="s">
        <v>1085</v>
      </c>
      <c r="C309" s="865"/>
      <c r="D309" s="865"/>
      <c r="E309" s="865"/>
      <c r="F309" s="865" t="s">
        <v>2171</v>
      </c>
      <c r="G309" s="865"/>
      <c r="H309" s="865"/>
      <c r="I309" s="865"/>
      <c r="J309" s="865" t="s">
        <v>129</v>
      </c>
      <c r="K309" s="865"/>
      <c r="L309" s="865"/>
      <c r="M309" s="865"/>
      <c r="N309" s="865"/>
      <c r="O309" s="865"/>
      <c r="P309" s="865"/>
    </row>
    <row r="310" spans="1:16" ht="27.2" customHeight="1" x14ac:dyDescent="0.25">
      <c r="A310" s="675"/>
      <c r="B310" s="865" t="s">
        <v>1033</v>
      </c>
      <c r="C310" s="865"/>
      <c r="D310" s="865"/>
      <c r="E310" s="865"/>
      <c r="F310" s="865" t="s">
        <v>2170</v>
      </c>
      <c r="G310" s="865"/>
      <c r="H310" s="865"/>
      <c r="I310" s="865"/>
      <c r="J310" s="865" t="s">
        <v>129</v>
      </c>
      <c r="K310" s="865"/>
      <c r="L310" s="865"/>
      <c r="M310" s="865"/>
      <c r="N310" s="865"/>
      <c r="O310" s="865"/>
      <c r="P310" s="865"/>
    </row>
    <row r="311" spans="1:16" ht="27.2" customHeight="1" x14ac:dyDescent="0.25">
      <c r="A311" s="675"/>
      <c r="B311" s="865" t="s">
        <v>1087</v>
      </c>
      <c r="C311" s="865"/>
      <c r="D311" s="865"/>
      <c r="E311" s="865"/>
      <c r="F311" s="865" t="s">
        <v>2169</v>
      </c>
      <c r="G311" s="865"/>
      <c r="H311" s="865"/>
      <c r="I311" s="865"/>
      <c r="J311" s="865" t="s">
        <v>129</v>
      </c>
      <c r="K311" s="865"/>
      <c r="L311" s="865"/>
      <c r="M311" s="865"/>
      <c r="N311" s="865"/>
      <c r="O311" s="865"/>
      <c r="P311" s="865"/>
    </row>
    <row r="312" spans="1:16" ht="27.2" customHeight="1" x14ac:dyDescent="0.25">
      <c r="A312" s="675"/>
      <c r="B312" s="865" t="s">
        <v>1088</v>
      </c>
      <c r="C312" s="865"/>
      <c r="D312" s="865"/>
      <c r="E312" s="865"/>
      <c r="F312" s="865" t="s">
        <v>2169</v>
      </c>
      <c r="G312" s="865"/>
      <c r="H312" s="865"/>
      <c r="I312" s="865"/>
      <c r="J312" s="865" t="s">
        <v>129</v>
      </c>
      <c r="K312" s="865"/>
      <c r="L312" s="865"/>
      <c r="M312" s="865"/>
      <c r="N312" s="865"/>
      <c r="O312" s="865"/>
      <c r="P312" s="865"/>
    </row>
    <row r="313" spans="1:16" ht="27.2" customHeight="1" x14ac:dyDescent="0.25">
      <c r="A313" s="675"/>
      <c r="B313" s="865" t="s">
        <v>1038</v>
      </c>
      <c r="C313" s="865"/>
      <c r="D313" s="865"/>
      <c r="E313" s="865"/>
      <c r="F313" s="865" t="s">
        <v>2168</v>
      </c>
      <c r="G313" s="865"/>
      <c r="H313" s="865"/>
      <c r="I313" s="865"/>
      <c r="J313" s="865" t="s">
        <v>129</v>
      </c>
      <c r="K313" s="865"/>
      <c r="L313" s="865"/>
      <c r="M313" s="865"/>
      <c r="N313" s="865"/>
      <c r="O313" s="865"/>
      <c r="P313" s="865"/>
    </row>
    <row r="314" spans="1:16" ht="27.2" customHeight="1" x14ac:dyDescent="0.25">
      <c r="A314" s="675"/>
      <c r="B314" s="865" t="s">
        <v>1039</v>
      </c>
      <c r="C314" s="865"/>
      <c r="D314" s="865"/>
      <c r="E314" s="865"/>
      <c r="F314" s="865" t="s">
        <v>2167</v>
      </c>
      <c r="G314" s="865"/>
      <c r="H314" s="865"/>
      <c r="I314" s="865"/>
      <c r="J314" s="865" t="s">
        <v>129</v>
      </c>
      <c r="K314" s="865"/>
      <c r="L314" s="865"/>
      <c r="M314" s="865"/>
      <c r="N314" s="865"/>
      <c r="O314" s="865"/>
      <c r="P314" s="865"/>
    </row>
    <row r="315" spans="1:16" ht="27.2" customHeight="1" x14ac:dyDescent="0.25">
      <c r="A315" s="675"/>
      <c r="B315" s="865" t="s">
        <v>1040</v>
      </c>
      <c r="C315" s="865"/>
      <c r="D315" s="865"/>
      <c r="E315" s="865"/>
      <c r="F315" s="865" t="s">
        <v>2167</v>
      </c>
      <c r="G315" s="865"/>
      <c r="H315" s="865"/>
      <c r="I315" s="865"/>
      <c r="J315" s="865" t="s">
        <v>129</v>
      </c>
      <c r="K315" s="865"/>
      <c r="L315" s="865"/>
      <c r="M315" s="865"/>
      <c r="N315" s="865"/>
      <c r="O315" s="865"/>
      <c r="P315" s="865"/>
    </row>
    <row r="316" spans="1:16" x14ac:dyDescent="0.25">
      <c r="A316" s="675"/>
      <c r="B316" s="865" t="s">
        <v>1144</v>
      </c>
      <c r="C316" s="865"/>
      <c r="D316" s="865"/>
      <c r="E316" s="865"/>
      <c r="F316" s="865" t="s">
        <v>2166</v>
      </c>
      <c r="G316" s="865"/>
      <c r="H316" s="865"/>
      <c r="I316" s="865"/>
      <c r="J316" s="865" t="s">
        <v>129</v>
      </c>
      <c r="K316" s="865"/>
      <c r="L316" s="865"/>
      <c r="M316" s="865"/>
      <c r="N316" s="865"/>
      <c r="O316" s="865"/>
      <c r="P316" s="865"/>
    </row>
    <row r="317" spans="1:16" ht="149.65" customHeight="1" x14ac:dyDescent="0.25">
      <c r="A317" s="674" t="s">
        <v>1811</v>
      </c>
      <c r="B317" s="781" t="s">
        <v>1173</v>
      </c>
      <c r="C317" s="782"/>
      <c r="D317" s="782"/>
      <c r="E317" s="782"/>
      <c r="F317" s="782" t="s">
        <v>1174</v>
      </c>
      <c r="G317" s="782"/>
      <c r="H317" s="782"/>
      <c r="I317" s="782"/>
      <c r="J317" s="782" t="s">
        <v>2631</v>
      </c>
      <c r="K317" s="782"/>
      <c r="L317" s="782"/>
      <c r="M317" s="866">
        <f>ROUND((626300 + 25 * 7500) * 1 * 1.27 * 0.4 * 0.2 * 1.24167, 0)</f>
        <v>102664</v>
      </c>
      <c r="N317" s="782"/>
      <c r="O317" s="782" t="s">
        <v>1812</v>
      </c>
      <c r="P317" s="782"/>
    </row>
    <row r="318" spans="1:16" x14ac:dyDescent="0.25">
      <c r="A318" s="676"/>
      <c r="B318" s="864" t="s">
        <v>306</v>
      </c>
      <c r="C318" s="864"/>
      <c r="D318" s="864"/>
      <c r="E318" s="864"/>
      <c r="F318" s="864" t="s">
        <v>129</v>
      </c>
      <c r="G318" s="864"/>
      <c r="H318" s="864"/>
      <c r="I318" s="864"/>
      <c r="J318" s="864" t="s">
        <v>129</v>
      </c>
      <c r="K318" s="864"/>
      <c r="L318" s="864"/>
      <c r="M318" s="864"/>
      <c r="N318" s="864"/>
      <c r="O318" s="864"/>
      <c r="P318" s="864"/>
    </row>
    <row r="319" spans="1:16" x14ac:dyDescent="0.25">
      <c r="A319" s="675"/>
      <c r="B319" s="865" t="s">
        <v>325</v>
      </c>
      <c r="C319" s="865"/>
      <c r="D319" s="865"/>
      <c r="E319" s="865"/>
      <c r="F319" s="865" t="s">
        <v>326</v>
      </c>
      <c r="G319" s="865"/>
      <c r="H319" s="865"/>
      <c r="I319" s="865"/>
      <c r="J319" s="865" t="s">
        <v>129</v>
      </c>
      <c r="K319" s="865"/>
      <c r="L319" s="865"/>
      <c r="M319" s="865"/>
      <c r="N319" s="865"/>
      <c r="O319" s="865"/>
      <c r="P319" s="865"/>
    </row>
    <row r="320" spans="1:16" ht="40.9" customHeight="1" x14ac:dyDescent="0.25">
      <c r="A320" s="675"/>
      <c r="B320" s="865" t="s">
        <v>327</v>
      </c>
      <c r="C320" s="865"/>
      <c r="D320" s="865"/>
      <c r="E320" s="865"/>
      <c r="F320" s="865" t="s">
        <v>328</v>
      </c>
      <c r="G320" s="865"/>
      <c r="H320" s="865"/>
      <c r="I320" s="865"/>
      <c r="J320" s="865" t="s">
        <v>129</v>
      </c>
      <c r="K320" s="865"/>
      <c r="L320" s="865"/>
      <c r="M320" s="865"/>
      <c r="N320" s="865"/>
      <c r="O320" s="865"/>
      <c r="P320" s="865"/>
    </row>
    <row r="321" spans="1:16" ht="108.75" customHeight="1" x14ac:dyDescent="0.25">
      <c r="A321" s="675"/>
      <c r="B321" s="865" t="s">
        <v>2608</v>
      </c>
      <c r="C321" s="865"/>
      <c r="D321" s="865"/>
      <c r="E321" s="865"/>
      <c r="F321" s="865" t="s">
        <v>2618</v>
      </c>
      <c r="G321" s="865"/>
      <c r="H321" s="865"/>
      <c r="I321" s="865"/>
      <c r="J321" s="865" t="s">
        <v>129</v>
      </c>
      <c r="K321" s="865"/>
      <c r="L321" s="865"/>
      <c r="M321" s="865"/>
      <c r="N321" s="865"/>
      <c r="O321" s="865"/>
      <c r="P321" s="865"/>
    </row>
    <row r="322" spans="1:16" ht="149.65" customHeight="1" x14ac:dyDescent="0.25">
      <c r="A322" s="675"/>
      <c r="B322" s="865" t="s">
        <v>329</v>
      </c>
      <c r="C322" s="865"/>
      <c r="D322" s="865"/>
      <c r="E322" s="865"/>
      <c r="F322" s="865" t="s">
        <v>2630</v>
      </c>
      <c r="G322" s="865"/>
      <c r="H322" s="865"/>
      <c r="I322" s="865"/>
      <c r="J322" s="865" t="s">
        <v>129</v>
      </c>
      <c r="K322" s="865"/>
      <c r="L322" s="865"/>
      <c r="M322" s="865"/>
      <c r="N322" s="865"/>
      <c r="O322" s="865"/>
      <c r="P322" s="865"/>
    </row>
    <row r="323" spans="1:16" x14ac:dyDescent="0.25">
      <c r="A323" s="676"/>
      <c r="B323" s="864" t="s">
        <v>330</v>
      </c>
      <c r="C323" s="864"/>
      <c r="D323" s="864"/>
      <c r="E323" s="864"/>
      <c r="F323" s="864" t="s">
        <v>129</v>
      </c>
      <c r="G323" s="864"/>
      <c r="H323" s="864"/>
      <c r="I323" s="864"/>
      <c r="J323" s="864" t="s">
        <v>129</v>
      </c>
      <c r="K323" s="864"/>
      <c r="L323" s="864"/>
      <c r="M323" s="864"/>
      <c r="N323" s="864"/>
      <c r="O323" s="864"/>
      <c r="P323" s="864"/>
    </row>
    <row r="324" spans="1:16" x14ac:dyDescent="0.25">
      <c r="A324" s="675"/>
      <c r="B324" s="865" t="s">
        <v>1028</v>
      </c>
      <c r="C324" s="865"/>
      <c r="D324" s="865"/>
      <c r="E324" s="865"/>
      <c r="F324" s="865" t="s">
        <v>2629</v>
      </c>
      <c r="G324" s="865"/>
      <c r="H324" s="865"/>
      <c r="I324" s="865"/>
      <c r="J324" s="865" t="s">
        <v>129</v>
      </c>
      <c r="K324" s="865"/>
      <c r="L324" s="865"/>
      <c r="M324" s="865"/>
      <c r="N324" s="865"/>
      <c r="O324" s="865"/>
      <c r="P324" s="865"/>
    </row>
    <row r="325" spans="1:16" ht="27.2" customHeight="1" x14ac:dyDescent="0.25">
      <c r="A325" s="675"/>
      <c r="B325" s="865" t="s">
        <v>1029</v>
      </c>
      <c r="C325" s="865"/>
      <c r="D325" s="865"/>
      <c r="E325" s="865"/>
      <c r="F325" s="865" t="s">
        <v>2628</v>
      </c>
      <c r="G325" s="865"/>
      <c r="H325" s="865"/>
      <c r="I325" s="865"/>
      <c r="J325" s="865" t="s">
        <v>129</v>
      </c>
      <c r="K325" s="865"/>
      <c r="L325" s="865"/>
      <c r="M325" s="865"/>
      <c r="N325" s="865"/>
      <c r="O325" s="865"/>
      <c r="P325" s="865"/>
    </row>
    <row r="326" spans="1:16" ht="27.2" customHeight="1" x14ac:dyDescent="0.25">
      <c r="A326" s="675"/>
      <c r="B326" s="865" t="s">
        <v>1064</v>
      </c>
      <c r="C326" s="865"/>
      <c r="D326" s="865"/>
      <c r="E326" s="865"/>
      <c r="F326" s="865" t="s">
        <v>2627</v>
      </c>
      <c r="G326" s="865"/>
      <c r="H326" s="865"/>
      <c r="I326" s="865"/>
      <c r="J326" s="865" t="s">
        <v>129</v>
      </c>
      <c r="K326" s="865"/>
      <c r="L326" s="865"/>
      <c r="M326" s="865"/>
      <c r="N326" s="865"/>
      <c r="O326" s="865"/>
      <c r="P326" s="865"/>
    </row>
    <row r="327" spans="1:16" x14ac:dyDescent="0.25">
      <c r="A327" s="675"/>
      <c r="B327" s="865" t="s">
        <v>1065</v>
      </c>
      <c r="C327" s="865"/>
      <c r="D327" s="865"/>
      <c r="E327" s="865"/>
      <c r="F327" s="865" t="s">
        <v>2626</v>
      </c>
      <c r="G327" s="865"/>
      <c r="H327" s="865"/>
      <c r="I327" s="865"/>
      <c r="J327" s="865" t="s">
        <v>129</v>
      </c>
      <c r="K327" s="865"/>
      <c r="L327" s="865"/>
      <c r="M327" s="865"/>
      <c r="N327" s="865"/>
      <c r="O327" s="865"/>
      <c r="P327" s="865"/>
    </row>
    <row r="328" spans="1:16" ht="54.4" customHeight="1" x14ac:dyDescent="0.25">
      <c r="A328" s="675"/>
      <c r="B328" s="865" t="s">
        <v>1032</v>
      </c>
      <c r="C328" s="865"/>
      <c r="D328" s="865"/>
      <c r="E328" s="865"/>
      <c r="F328" s="865" t="s">
        <v>2625</v>
      </c>
      <c r="G328" s="865"/>
      <c r="H328" s="865"/>
      <c r="I328" s="865"/>
      <c r="J328" s="865" t="s">
        <v>129</v>
      </c>
      <c r="K328" s="865"/>
      <c r="L328" s="865"/>
      <c r="M328" s="865"/>
      <c r="N328" s="865"/>
      <c r="O328" s="865"/>
      <c r="P328" s="865"/>
    </row>
    <row r="329" spans="1:16" x14ac:dyDescent="0.25">
      <c r="A329" s="675"/>
      <c r="B329" s="865" t="s">
        <v>1072</v>
      </c>
      <c r="C329" s="865"/>
      <c r="D329" s="865"/>
      <c r="E329" s="865"/>
      <c r="F329" s="865" t="s">
        <v>2624</v>
      </c>
      <c r="G329" s="865"/>
      <c r="H329" s="865"/>
      <c r="I329" s="865"/>
      <c r="J329" s="865" t="s">
        <v>129</v>
      </c>
      <c r="K329" s="865"/>
      <c r="L329" s="865"/>
      <c r="M329" s="865"/>
      <c r="N329" s="865"/>
      <c r="O329" s="865"/>
      <c r="P329" s="865"/>
    </row>
    <row r="330" spans="1:16" ht="27.2" customHeight="1" x14ac:dyDescent="0.25">
      <c r="A330" s="675"/>
      <c r="B330" s="865" t="s">
        <v>1073</v>
      </c>
      <c r="C330" s="865"/>
      <c r="D330" s="865"/>
      <c r="E330" s="865"/>
      <c r="F330" s="865" t="s">
        <v>2623</v>
      </c>
      <c r="G330" s="865"/>
      <c r="H330" s="865"/>
      <c r="I330" s="865"/>
      <c r="J330" s="865" t="s">
        <v>129</v>
      </c>
      <c r="K330" s="865"/>
      <c r="L330" s="865"/>
      <c r="M330" s="865"/>
      <c r="N330" s="865"/>
      <c r="O330" s="865"/>
      <c r="P330" s="865"/>
    </row>
    <row r="331" spans="1:16" ht="27.2" customHeight="1" x14ac:dyDescent="0.25">
      <c r="A331" s="675"/>
      <c r="B331" s="865" t="s">
        <v>1122</v>
      </c>
      <c r="C331" s="865"/>
      <c r="D331" s="865"/>
      <c r="E331" s="865"/>
      <c r="F331" s="865" t="s">
        <v>2623</v>
      </c>
      <c r="G331" s="865"/>
      <c r="H331" s="865"/>
      <c r="I331" s="865"/>
      <c r="J331" s="865" t="s">
        <v>129</v>
      </c>
      <c r="K331" s="865"/>
      <c r="L331" s="865"/>
      <c r="M331" s="865"/>
      <c r="N331" s="865"/>
      <c r="O331" s="865"/>
      <c r="P331" s="865"/>
    </row>
    <row r="332" spans="1:16" ht="27.2" customHeight="1" x14ac:dyDescent="0.25">
      <c r="A332" s="675"/>
      <c r="B332" s="865" t="s">
        <v>1075</v>
      </c>
      <c r="C332" s="865"/>
      <c r="D332" s="865"/>
      <c r="E332" s="865"/>
      <c r="F332" s="865" t="s">
        <v>2622</v>
      </c>
      <c r="G332" s="865"/>
      <c r="H332" s="865"/>
      <c r="I332" s="865"/>
      <c r="J332" s="865" t="s">
        <v>129</v>
      </c>
      <c r="K332" s="865"/>
      <c r="L332" s="865"/>
      <c r="M332" s="865"/>
      <c r="N332" s="865"/>
      <c r="O332" s="865"/>
      <c r="P332" s="865"/>
    </row>
    <row r="333" spans="1:16" ht="40.9" customHeight="1" x14ac:dyDescent="0.25">
      <c r="A333" s="675"/>
      <c r="B333" s="865" t="s">
        <v>1175</v>
      </c>
      <c r="C333" s="865"/>
      <c r="D333" s="865"/>
      <c r="E333" s="865"/>
      <c r="F333" s="865" t="s">
        <v>2621</v>
      </c>
      <c r="G333" s="865"/>
      <c r="H333" s="865"/>
      <c r="I333" s="865"/>
      <c r="J333" s="865" t="s">
        <v>129</v>
      </c>
      <c r="K333" s="865"/>
      <c r="L333" s="865"/>
      <c r="M333" s="865"/>
      <c r="N333" s="865"/>
      <c r="O333" s="865"/>
      <c r="P333" s="865"/>
    </row>
    <row r="334" spans="1:16" ht="54.4" customHeight="1" x14ac:dyDescent="0.25">
      <c r="A334" s="675"/>
      <c r="B334" s="865" t="s">
        <v>1176</v>
      </c>
      <c r="C334" s="865"/>
      <c r="D334" s="865"/>
      <c r="E334" s="865"/>
      <c r="F334" s="865" t="s">
        <v>2620</v>
      </c>
      <c r="G334" s="865"/>
      <c r="H334" s="865"/>
      <c r="I334" s="865"/>
      <c r="J334" s="865" t="s">
        <v>129</v>
      </c>
      <c r="K334" s="865"/>
      <c r="L334" s="865"/>
      <c r="M334" s="865"/>
      <c r="N334" s="865"/>
      <c r="O334" s="865"/>
      <c r="P334" s="865"/>
    </row>
    <row r="335" spans="1:16" ht="176.85" customHeight="1" x14ac:dyDescent="0.25">
      <c r="A335" s="674" t="s">
        <v>1813</v>
      </c>
      <c r="B335" s="781" t="s">
        <v>1814</v>
      </c>
      <c r="C335" s="782"/>
      <c r="D335" s="782"/>
      <c r="E335" s="782"/>
      <c r="F335" s="782" t="s">
        <v>1815</v>
      </c>
      <c r="G335" s="782"/>
      <c r="H335" s="782"/>
      <c r="I335" s="782"/>
      <c r="J335" s="782" t="s">
        <v>2619</v>
      </c>
      <c r="K335" s="782"/>
      <c r="L335" s="782"/>
      <c r="M335" s="866">
        <f>ROUND((344400 + 69600 * (0.4 * 1 + 0.6 * (1 / 2))) * 1 * 0.24 * 7.1 * 0.4 * 0.2 * 1.3, 0)</f>
        <v>69667</v>
      </c>
      <c r="N335" s="782"/>
      <c r="O335" s="782" t="s">
        <v>1816</v>
      </c>
      <c r="P335" s="782"/>
    </row>
    <row r="336" spans="1:16" x14ac:dyDescent="0.25">
      <c r="A336" s="676"/>
      <c r="B336" s="864" t="s">
        <v>306</v>
      </c>
      <c r="C336" s="864"/>
      <c r="D336" s="864"/>
      <c r="E336" s="864"/>
      <c r="F336" s="864" t="s">
        <v>129</v>
      </c>
      <c r="G336" s="864"/>
      <c r="H336" s="864"/>
      <c r="I336" s="864"/>
      <c r="J336" s="864" t="s">
        <v>129</v>
      </c>
      <c r="K336" s="864"/>
      <c r="L336" s="864"/>
      <c r="M336" s="864"/>
      <c r="N336" s="864"/>
      <c r="O336" s="864"/>
      <c r="P336" s="864"/>
    </row>
    <row r="337" spans="1:16" x14ac:dyDescent="0.25">
      <c r="A337" s="675"/>
      <c r="B337" s="865" t="s">
        <v>325</v>
      </c>
      <c r="C337" s="865"/>
      <c r="D337" s="865"/>
      <c r="E337" s="865"/>
      <c r="F337" s="865" t="s">
        <v>326</v>
      </c>
      <c r="G337" s="865"/>
      <c r="H337" s="865"/>
      <c r="I337" s="865"/>
      <c r="J337" s="865" t="s">
        <v>129</v>
      </c>
      <c r="K337" s="865"/>
      <c r="L337" s="865"/>
      <c r="M337" s="865"/>
      <c r="N337" s="865"/>
      <c r="O337" s="865"/>
      <c r="P337" s="865"/>
    </row>
    <row r="338" spans="1:16" ht="40.9" customHeight="1" x14ac:dyDescent="0.25">
      <c r="A338" s="675"/>
      <c r="B338" s="865" t="s">
        <v>360</v>
      </c>
      <c r="C338" s="865"/>
      <c r="D338" s="865"/>
      <c r="E338" s="865"/>
      <c r="F338" s="865" t="s">
        <v>361</v>
      </c>
      <c r="G338" s="865"/>
      <c r="H338" s="865"/>
      <c r="I338" s="865"/>
      <c r="J338" s="865" t="s">
        <v>129</v>
      </c>
      <c r="K338" s="865"/>
      <c r="L338" s="865"/>
      <c r="M338" s="865"/>
      <c r="N338" s="865"/>
      <c r="O338" s="865"/>
      <c r="P338" s="865"/>
    </row>
    <row r="339" spans="1:16" ht="95.25" customHeight="1" x14ac:dyDescent="0.25">
      <c r="A339" s="675"/>
      <c r="B339" s="865" t="s">
        <v>333</v>
      </c>
      <c r="C339" s="865"/>
      <c r="D339" s="865"/>
      <c r="E339" s="865"/>
      <c r="F339" s="865" t="s">
        <v>1817</v>
      </c>
      <c r="G339" s="865"/>
      <c r="H339" s="865"/>
      <c r="I339" s="865"/>
      <c r="J339" s="865" t="s">
        <v>129</v>
      </c>
      <c r="K339" s="865"/>
      <c r="L339" s="865"/>
      <c r="M339" s="865"/>
      <c r="N339" s="865"/>
      <c r="O339" s="865"/>
      <c r="P339" s="865"/>
    </row>
    <row r="340" spans="1:16" ht="108.75" customHeight="1" x14ac:dyDescent="0.25">
      <c r="A340" s="675"/>
      <c r="B340" s="865" t="s">
        <v>2608</v>
      </c>
      <c r="C340" s="865"/>
      <c r="D340" s="865"/>
      <c r="E340" s="865"/>
      <c r="F340" s="865" t="s">
        <v>2618</v>
      </c>
      <c r="G340" s="865"/>
      <c r="H340" s="865"/>
      <c r="I340" s="865"/>
      <c r="J340" s="865" t="s">
        <v>129</v>
      </c>
      <c r="K340" s="865"/>
      <c r="L340" s="865"/>
      <c r="M340" s="865"/>
      <c r="N340" s="865"/>
      <c r="O340" s="865"/>
      <c r="P340" s="865"/>
    </row>
    <row r="341" spans="1:16" ht="149.65" customHeight="1" x14ac:dyDescent="0.25">
      <c r="A341" s="675"/>
      <c r="B341" s="865" t="s">
        <v>329</v>
      </c>
      <c r="C341" s="865"/>
      <c r="D341" s="865"/>
      <c r="E341" s="865"/>
      <c r="F341" s="865" t="s">
        <v>2617</v>
      </c>
      <c r="G341" s="865"/>
      <c r="H341" s="865"/>
      <c r="I341" s="865"/>
      <c r="J341" s="865" t="s">
        <v>129</v>
      </c>
      <c r="K341" s="865"/>
      <c r="L341" s="865"/>
      <c r="M341" s="865"/>
      <c r="N341" s="865"/>
      <c r="O341" s="865"/>
      <c r="P341" s="865"/>
    </row>
    <row r="342" spans="1:16" x14ac:dyDescent="0.25">
      <c r="A342" s="676"/>
      <c r="B342" s="864" t="s">
        <v>330</v>
      </c>
      <c r="C342" s="864"/>
      <c r="D342" s="864"/>
      <c r="E342" s="864"/>
      <c r="F342" s="864" t="s">
        <v>129</v>
      </c>
      <c r="G342" s="864"/>
      <c r="H342" s="864"/>
      <c r="I342" s="864"/>
      <c r="J342" s="864" t="s">
        <v>129</v>
      </c>
      <c r="K342" s="864"/>
      <c r="L342" s="864"/>
      <c r="M342" s="864"/>
      <c r="N342" s="864"/>
      <c r="O342" s="864"/>
      <c r="P342" s="864"/>
    </row>
    <row r="343" spans="1:16" x14ac:dyDescent="0.25">
      <c r="A343" s="675"/>
      <c r="B343" s="865" t="s">
        <v>1818</v>
      </c>
      <c r="C343" s="865"/>
      <c r="D343" s="865"/>
      <c r="E343" s="865"/>
      <c r="F343" s="865" t="s">
        <v>2616</v>
      </c>
      <c r="G343" s="865"/>
      <c r="H343" s="865"/>
      <c r="I343" s="865"/>
      <c r="J343" s="865" t="s">
        <v>129</v>
      </c>
      <c r="K343" s="865"/>
      <c r="L343" s="865"/>
      <c r="M343" s="865"/>
      <c r="N343" s="865"/>
      <c r="O343" s="865"/>
      <c r="P343" s="865"/>
    </row>
    <row r="344" spans="1:16" x14ac:dyDescent="0.25">
      <c r="A344" s="675"/>
      <c r="B344" s="865" t="s">
        <v>1819</v>
      </c>
      <c r="C344" s="865"/>
      <c r="D344" s="865"/>
      <c r="E344" s="865"/>
      <c r="F344" s="865" t="s">
        <v>2611</v>
      </c>
      <c r="G344" s="865"/>
      <c r="H344" s="865"/>
      <c r="I344" s="865"/>
      <c r="J344" s="865" t="s">
        <v>129</v>
      </c>
      <c r="K344" s="865"/>
      <c r="L344" s="865"/>
      <c r="M344" s="865"/>
      <c r="N344" s="865"/>
      <c r="O344" s="865"/>
      <c r="P344" s="865"/>
    </row>
    <row r="345" spans="1:16" ht="40.9" customHeight="1" x14ac:dyDescent="0.25">
      <c r="A345" s="675"/>
      <c r="B345" s="865" t="s">
        <v>1820</v>
      </c>
      <c r="C345" s="865"/>
      <c r="D345" s="865"/>
      <c r="E345" s="865"/>
      <c r="F345" s="865" t="s">
        <v>2614</v>
      </c>
      <c r="G345" s="865"/>
      <c r="H345" s="865"/>
      <c r="I345" s="865"/>
      <c r="J345" s="865" t="s">
        <v>129</v>
      </c>
      <c r="K345" s="865"/>
      <c r="L345" s="865"/>
      <c r="M345" s="865"/>
      <c r="N345" s="865"/>
      <c r="O345" s="865"/>
      <c r="P345" s="865"/>
    </row>
    <row r="346" spans="1:16" x14ac:dyDescent="0.25">
      <c r="A346" s="675"/>
      <c r="B346" s="865" t="s">
        <v>1798</v>
      </c>
      <c r="C346" s="865"/>
      <c r="D346" s="865"/>
      <c r="E346" s="865"/>
      <c r="F346" s="865" t="s">
        <v>2615</v>
      </c>
      <c r="G346" s="865"/>
      <c r="H346" s="865"/>
      <c r="I346" s="865"/>
      <c r="J346" s="865" t="s">
        <v>129</v>
      </c>
      <c r="K346" s="865"/>
      <c r="L346" s="865"/>
      <c r="M346" s="865"/>
      <c r="N346" s="865"/>
      <c r="O346" s="865"/>
      <c r="P346" s="865"/>
    </row>
    <row r="347" spans="1:16" x14ac:dyDescent="0.25">
      <c r="A347" s="675"/>
      <c r="B347" s="865" t="s">
        <v>1821</v>
      </c>
      <c r="C347" s="865"/>
      <c r="D347" s="865"/>
      <c r="E347" s="865"/>
      <c r="F347" s="865" t="s">
        <v>2614</v>
      </c>
      <c r="G347" s="865"/>
      <c r="H347" s="865"/>
      <c r="I347" s="865"/>
      <c r="J347" s="865" t="s">
        <v>129</v>
      </c>
      <c r="K347" s="865"/>
      <c r="L347" s="865"/>
      <c r="M347" s="865"/>
      <c r="N347" s="865"/>
      <c r="O347" s="865"/>
      <c r="P347" s="865"/>
    </row>
    <row r="348" spans="1:16" x14ac:dyDescent="0.25">
      <c r="A348" s="675"/>
      <c r="B348" s="865" t="s">
        <v>1822</v>
      </c>
      <c r="C348" s="865"/>
      <c r="D348" s="865"/>
      <c r="E348" s="865"/>
      <c r="F348" s="865" t="s">
        <v>2613</v>
      </c>
      <c r="G348" s="865"/>
      <c r="H348" s="865"/>
      <c r="I348" s="865"/>
      <c r="J348" s="865" t="s">
        <v>129</v>
      </c>
      <c r="K348" s="865"/>
      <c r="L348" s="865"/>
      <c r="M348" s="865"/>
      <c r="N348" s="865"/>
      <c r="O348" s="865"/>
      <c r="P348" s="865"/>
    </row>
    <row r="349" spans="1:16" x14ac:dyDescent="0.25">
      <c r="A349" s="675"/>
      <c r="B349" s="865" t="s">
        <v>1823</v>
      </c>
      <c r="C349" s="865"/>
      <c r="D349" s="865"/>
      <c r="E349" s="865"/>
      <c r="F349" s="865" t="s">
        <v>2612</v>
      </c>
      <c r="G349" s="865"/>
      <c r="H349" s="865"/>
      <c r="I349" s="865"/>
      <c r="J349" s="865" t="s">
        <v>129</v>
      </c>
      <c r="K349" s="865"/>
      <c r="L349" s="865"/>
      <c r="M349" s="865"/>
      <c r="N349" s="865"/>
      <c r="O349" s="865"/>
      <c r="P349" s="865"/>
    </row>
    <row r="350" spans="1:16" x14ac:dyDescent="0.25">
      <c r="A350" s="675"/>
      <c r="B350" s="865" t="s">
        <v>1824</v>
      </c>
      <c r="C350" s="865"/>
      <c r="D350" s="865"/>
      <c r="E350" s="865"/>
      <c r="F350" s="865" t="s">
        <v>2611</v>
      </c>
      <c r="G350" s="865"/>
      <c r="H350" s="865"/>
      <c r="I350" s="865"/>
      <c r="J350" s="865" t="s">
        <v>129</v>
      </c>
      <c r="K350" s="865"/>
      <c r="L350" s="865"/>
      <c r="M350" s="865"/>
      <c r="N350" s="865"/>
      <c r="O350" s="865"/>
      <c r="P350" s="865"/>
    </row>
    <row r="351" spans="1:16" x14ac:dyDescent="0.25">
      <c r="A351" s="675"/>
      <c r="B351" s="865" t="s">
        <v>1825</v>
      </c>
      <c r="C351" s="865"/>
      <c r="D351" s="865"/>
      <c r="E351" s="865"/>
      <c r="F351" s="865" t="s">
        <v>2610</v>
      </c>
      <c r="G351" s="865"/>
      <c r="H351" s="865"/>
      <c r="I351" s="865"/>
      <c r="J351" s="865" t="s">
        <v>129</v>
      </c>
      <c r="K351" s="865"/>
      <c r="L351" s="865"/>
      <c r="M351" s="865"/>
      <c r="N351" s="865"/>
      <c r="O351" s="865"/>
      <c r="P351" s="865"/>
    </row>
    <row r="352" spans="1:16" ht="176.85" customHeight="1" x14ac:dyDescent="0.25">
      <c r="A352" s="674" t="s">
        <v>1826</v>
      </c>
      <c r="B352" s="781" t="s">
        <v>1827</v>
      </c>
      <c r="C352" s="782"/>
      <c r="D352" s="782"/>
      <c r="E352" s="782"/>
      <c r="F352" s="782" t="s">
        <v>1828</v>
      </c>
      <c r="G352" s="782"/>
      <c r="H352" s="782"/>
      <c r="I352" s="782"/>
      <c r="J352" s="782" t="s">
        <v>2609</v>
      </c>
      <c r="K352" s="782"/>
      <c r="L352" s="782"/>
      <c r="M352" s="866">
        <f>ROUND((473500 + 2666 * 200) * 1 * 1.68 * 0.4 * 0.9 * 0.2 * 1.25105, 0)</f>
        <v>152341</v>
      </c>
      <c r="N352" s="782"/>
      <c r="O352" s="782" t="s">
        <v>1829</v>
      </c>
      <c r="P352" s="782"/>
    </row>
    <row r="353" spans="1:16" x14ac:dyDescent="0.25">
      <c r="A353" s="676"/>
      <c r="B353" s="864" t="s">
        <v>306</v>
      </c>
      <c r="C353" s="864"/>
      <c r="D353" s="864"/>
      <c r="E353" s="864"/>
      <c r="F353" s="864" t="s">
        <v>129</v>
      </c>
      <c r="G353" s="864"/>
      <c r="H353" s="864"/>
      <c r="I353" s="864"/>
      <c r="J353" s="864" t="s">
        <v>129</v>
      </c>
      <c r="K353" s="864"/>
      <c r="L353" s="864"/>
      <c r="M353" s="864"/>
      <c r="N353" s="864"/>
      <c r="O353" s="864"/>
      <c r="P353" s="864"/>
    </row>
    <row r="354" spans="1:16" x14ac:dyDescent="0.25">
      <c r="A354" s="675"/>
      <c r="B354" s="865" t="s">
        <v>325</v>
      </c>
      <c r="C354" s="865"/>
      <c r="D354" s="865"/>
      <c r="E354" s="865"/>
      <c r="F354" s="865" t="s">
        <v>326</v>
      </c>
      <c r="G354" s="865"/>
      <c r="H354" s="865"/>
      <c r="I354" s="865"/>
      <c r="J354" s="865" t="s">
        <v>129</v>
      </c>
      <c r="K354" s="865"/>
      <c r="L354" s="865"/>
      <c r="M354" s="865"/>
      <c r="N354" s="865"/>
      <c r="O354" s="865"/>
      <c r="P354" s="865"/>
    </row>
    <row r="355" spans="1:16" ht="40.9" customHeight="1" x14ac:dyDescent="0.25">
      <c r="A355" s="675"/>
      <c r="B355" s="865" t="s">
        <v>331</v>
      </c>
      <c r="C355" s="865"/>
      <c r="D355" s="865"/>
      <c r="E355" s="865"/>
      <c r="F355" s="865" t="s">
        <v>332</v>
      </c>
      <c r="G355" s="865"/>
      <c r="H355" s="865"/>
      <c r="I355" s="865"/>
      <c r="J355" s="865" t="s">
        <v>129</v>
      </c>
      <c r="K355" s="865"/>
      <c r="L355" s="865"/>
      <c r="M355" s="865"/>
      <c r="N355" s="865"/>
      <c r="O355" s="865"/>
      <c r="P355" s="865"/>
    </row>
    <row r="356" spans="1:16" ht="108.75" customHeight="1" x14ac:dyDescent="0.25">
      <c r="A356" s="675"/>
      <c r="B356" s="865" t="s">
        <v>1809</v>
      </c>
      <c r="C356" s="865"/>
      <c r="D356" s="865"/>
      <c r="E356" s="865"/>
      <c r="F356" s="865" t="s">
        <v>1810</v>
      </c>
      <c r="G356" s="865"/>
      <c r="H356" s="865"/>
      <c r="I356" s="865"/>
      <c r="J356" s="865" t="s">
        <v>129</v>
      </c>
      <c r="K356" s="865"/>
      <c r="L356" s="865"/>
      <c r="M356" s="865"/>
      <c r="N356" s="865"/>
      <c r="O356" s="865"/>
      <c r="P356" s="865"/>
    </row>
    <row r="357" spans="1:16" ht="108.75" customHeight="1" x14ac:dyDescent="0.25">
      <c r="A357" s="675"/>
      <c r="B357" s="865" t="s">
        <v>2608</v>
      </c>
      <c r="C357" s="865"/>
      <c r="D357" s="865"/>
      <c r="E357" s="865"/>
      <c r="F357" s="865" t="s">
        <v>334</v>
      </c>
      <c r="G357" s="865"/>
      <c r="H357" s="865"/>
      <c r="I357" s="865"/>
      <c r="J357" s="865" t="s">
        <v>129</v>
      </c>
      <c r="K357" s="865"/>
      <c r="L357" s="865"/>
      <c r="M357" s="865"/>
      <c r="N357" s="865"/>
      <c r="O357" s="865"/>
      <c r="P357" s="865"/>
    </row>
    <row r="358" spans="1:16" ht="149.65" customHeight="1" x14ac:dyDescent="0.25">
      <c r="A358" s="675"/>
      <c r="B358" s="865" t="s">
        <v>329</v>
      </c>
      <c r="C358" s="865"/>
      <c r="D358" s="865"/>
      <c r="E358" s="865"/>
      <c r="F358" s="865" t="s">
        <v>2039</v>
      </c>
      <c r="G358" s="865"/>
      <c r="H358" s="865"/>
      <c r="I358" s="865"/>
      <c r="J358" s="865" t="s">
        <v>129</v>
      </c>
      <c r="K358" s="865"/>
      <c r="L358" s="865"/>
      <c r="M358" s="865"/>
      <c r="N358" s="865"/>
      <c r="O358" s="865"/>
      <c r="P358" s="865"/>
    </row>
    <row r="359" spans="1:16" x14ac:dyDescent="0.25">
      <c r="A359" s="676"/>
      <c r="B359" s="864" t="s">
        <v>330</v>
      </c>
      <c r="C359" s="864"/>
      <c r="D359" s="864"/>
      <c r="E359" s="864"/>
      <c r="F359" s="864" t="s">
        <v>129</v>
      </c>
      <c r="G359" s="864"/>
      <c r="H359" s="864"/>
      <c r="I359" s="864"/>
      <c r="J359" s="864" t="s">
        <v>129</v>
      </c>
      <c r="K359" s="864"/>
      <c r="L359" s="864"/>
      <c r="M359" s="864"/>
      <c r="N359" s="864"/>
      <c r="O359" s="864"/>
      <c r="P359" s="864"/>
    </row>
    <row r="360" spans="1:16" x14ac:dyDescent="0.25">
      <c r="A360" s="675"/>
      <c r="B360" s="865" t="s">
        <v>1028</v>
      </c>
      <c r="C360" s="865"/>
      <c r="D360" s="865"/>
      <c r="E360" s="865"/>
      <c r="F360" s="865" t="s">
        <v>2596</v>
      </c>
      <c r="G360" s="865"/>
      <c r="H360" s="865"/>
      <c r="I360" s="865"/>
      <c r="J360" s="865" t="s">
        <v>129</v>
      </c>
      <c r="K360" s="865"/>
      <c r="L360" s="865"/>
      <c r="M360" s="865"/>
      <c r="N360" s="865"/>
      <c r="O360" s="865"/>
      <c r="P360" s="865"/>
    </row>
    <row r="361" spans="1:16" ht="27.2" customHeight="1" x14ac:dyDescent="0.25">
      <c r="A361" s="675"/>
      <c r="B361" s="865" t="s">
        <v>1082</v>
      </c>
      <c r="C361" s="865"/>
      <c r="D361" s="865"/>
      <c r="E361" s="865"/>
      <c r="F361" s="865" t="s">
        <v>2607</v>
      </c>
      <c r="G361" s="865"/>
      <c r="H361" s="865"/>
      <c r="I361" s="865"/>
      <c r="J361" s="865" t="s">
        <v>129</v>
      </c>
      <c r="K361" s="865"/>
      <c r="L361" s="865"/>
      <c r="M361" s="865"/>
      <c r="N361" s="865"/>
      <c r="O361" s="865"/>
      <c r="P361" s="865"/>
    </row>
    <row r="362" spans="1:16" x14ac:dyDescent="0.25">
      <c r="A362" s="675"/>
      <c r="B362" s="865" t="s">
        <v>1083</v>
      </c>
      <c r="C362" s="865"/>
      <c r="D362" s="865"/>
      <c r="E362" s="865"/>
      <c r="F362" s="865" t="s">
        <v>2606</v>
      </c>
      <c r="G362" s="865"/>
      <c r="H362" s="865"/>
      <c r="I362" s="865"/>
      <c r="J362" s="865" t="s">
        <v>129</v>
      </c>
      <c r="K362" s="865"/>
      <c r="L362" s="865"/>
      <c r="M362" s="865"/>
      <c r="N362" s="865"/>
      <c r="O362" s="865"/>
      <c r="P362" s="865"/>
    </row>
    <row r="363" spans="1:16" ht="27.2" customHeight="1" x14ac:dyDescent="0.25">
      <c r="A363" s="675"/>
      <c r="B363" s="865" t="s">
        <v>1084</v>
      </c>
      <c r="C363" s="865"/>
      <c r="D363" s="865"/>
      <c r="E363" s="865"/>
      <c r="F363" s="865" t="s">
        <v>2605</v>
      </c>
      <c r="G363" s="865"/>
      <c r="H363" s="865"/>
      <c r="I363" s="865"/>
      <c r="J363" s="865" t="s">
        <v>129</v>
      </c>
      <c r="K363" s="865"/>
      <c r="L363" s="865"/>
      <c r="M363" s="865"/>
      <c r="N363" s="865"/>
      <c r="O363" s="865"/>
      <c r="P363" s="865"/>
    </row>
    <row r="364" spans="1:16" ht="81.599999999999994" customHeight="1" x14ac:dyDescent="0.25">
      <c r="A364" s="675"/>
      <c r="B364" s="865" t="s">
        <v>1085</v>
      </c>
      <c r="C364" s="865"/>
      <c r="D364" s="865"/>
      <c r="E364" s="865"/>
      <c r="F364" s="865" t="s">
        <v>2604</v>
      </c>
      <c r="G364" s="865"/>
      <c r="H364" s="865"/>
      <c r="I364" s="865"/>
      <c r="J364" s="865" t="s">
        <v>129</v>
      </c>
      <c r="K364" s="865"/>
      <c r="L364" s="865"/>
      <c r="M364" s="865"/>
      <c r="N364" s="865"/>
      <c r="O364" s="865"/>
      <c r="P364" s="865"/>
    </row>
    <row r="365" spans="1:16" ht="27.2" customHeight="1" x14ac:dyDescent="0.25">
      <c r="A365" s="675"/>
      <c r="B365" s="865" t="s">
        <v>1086</v>
      </c>
      <c r="C365" s="865"/>
      <c r="D365" s="865"/>
      <c r="E365" s="865"/>
      <c r="F365" s="865" t="s">
        <v>2603</v>
      </c>
      <c r="G365" s="865"/>
      <c r="H365" s="865"/>
      <c r="I365" s="865"/>
      <c r="J365" s="865" t="s">
        <v>129</v>
      </c>
      <c r="K365" s="865"/>
      <c r="L365" s="865"/>
      <c r="M365" s="865"/>
      <c r="N365" s="865"/>
      <c r="O365" s="865"/>
      <c r="P365" s="865"/>
    </row>
    <row r="366" spans="1:16" ht="27.2" customHeight="1" x14ac:dyDescent="0.25">
      <c r="A366" s="675"/>
      <c r="B366" s="865" t="s">
        <v>1087</v>
      </c>
      <c r="C366" s="865"/>
      <c r="D366" s="865"/>
      <c r="E366" s="865"/>
      <c r="F366" s="865" t="s">
        <v>2602</v>
      </c>
      <c r="G366" s="865"/>
      <c r="H366" s="865"/>
      <c r="I366" s="865"/>
      <c r="J366" s="865" t="s">
        <v>129</v>
      </c>
      <c r="K366" s="865"/>
      <c r="L366" s="865"/>
      <c r="M366" s="865"/>
      <c r="N366" s="865"/>
      <c r="O366" s="865"/>
      <c r="P366" s="865"/>
    </row>
    <row r="367" spans="1:16" ht="27.2" customHeight="1" x14ac:dyDescent="0.25">
      <c r="A367" s="675"/>
      <c r="B367" s="865" t="s">
        <v>1088</v>
      </c>
      <c r="C367" s="865"/>
      <c r="D367" s="865"/>
      <c r="E367" s="865"/>
      <c r="F367" s="865" t="s">
        <v>2602</v>
      </c>
      <c r="G367" s="865"/>
      <c r="H367" s="865"/>
      <c r="I367" s="865"/>
      <c r="J367" s="865" t="s">
        <v>129</v>
      </c>
      <c r="K367" s="865"/>
      <c r="L367" s="865"/>
      <c r="M367" s="865"/>
      <c r="N367" s="865"/>
      <c r="O367" s="865"/>
      <c r="P367" s="865"/>
    </row>
    <row r="368" spans="1:16" ht="27.2" customHeight="1" x14ac:dyDescent="0.25">
      <c r="A368" s="675"/>
      <c r="B368" s="865" t="s">
        <v>1089</v>
      </c>
      <c r="C368" s="865"/>
      <c r="D368" s="865"/>
      <c r="E368" s="865"/>
      <c r="F368" s="865" t="s">
        <v>2601</v>
      </c>
      <c r="G368" s="865"/>
      <c r="H368" s="865"/>
      <c r="I368" s="865"/>
      <c r="J368" s="865" t="s">
        <v>129</v>
      </c>
      <c r="K368" s="865"/>
      <c r="L368" s="865"/>
      <c r="M368" s="865"/>
      <c r="N368" s="865"/>
      <c r="O368" s="865"/>
      <c r="P368" s="865"/>
    </row>
    <row r="369" spans="1:16" ht="27.2" customHeight="1" x14ac:dyDescent="0.25">
      <c r="A369" s="675"/>
      <c r="B369" s="865" t="s">
        <v>1830</v>
      </c>
      <c r="C369" s="865"/>
      <c r="D369" s="865"/>
      <c r="E369" s="865"/>
      <c r="F369" s="865" t="s">
        <v>2600</v>
      </c>
      <c r="G369" s="865"/>
      <c r="H369" s="865"/>
      <c r="I369" s="865"/>
      <c r="J369" s="865" t="s">
        <v>129</v>
      </c>
      <c r="K369" s="865"/>
      <c r="L369" s="865"/>
      <c r="M369" s="865"/>
      <c r="N369" s="865"/>
      <c r="O369" s="865"/>
      <c r="P369" s="865"/>
    </row>
    <row r="370" spans="1:16" ht="27.2" customHeight="1" x14ac:dyDescent="0.25">
      <c r="A370" s="675"/>
      <c r="B370" s="865" t="s">
        <v>1038</v>
      </c>
      <c r="C370" s="865"/>
      <c r="D370" s="865"/>
      <c r="E370" s="865"/>
      <c r="F370" s="865" t="s">
        <v>2599</v>
      </c>
      <c r="G370" s="865"/>
      <c r="H370" s="865"/>
      <c r="I370" s="865"/>
      <c r="J370" s="865" t="s">
        <v>129</v>
      </c>
      <c r="K370" s="865"/>
      <c r="L370" s="865"/>
      <c r="M370" s="865"/>
      <c r="N370" s="865"/>
      <c r="O370" s="865"/>
      <c r="P370" s="865"/>
    </row>
    <row r="371" spans="1:16" ht="27.2" customHeight="1" x14ac:dyDescent="0.25">
      <c r="A371" s="675"/>
      <c r="B371" s="865" t="s">
        <v>1039</v>
      </c>
      <c r="C371" s="865"/>
      <c r="D371" s="865"/>
      <c r="E371" s="865"/>
      <c r="F371" s="865" t="s">
        <v>2598</v>
      </c>
      <c r="G371" s="865"/>
      <c r="H371" s="865"/>
      <c r="I371" s="865"/>
      <c r="J371" s="865" t="s">
        <v>129</v>
      </c>
      <c r="K371" s="865"/>
      <c r="L371" s="865"/>
      <c r="M371" s="865"/>
      <c r="N371" s="865"/>
      <c r="O371" s="865"/>
      <c r="P371" s="865"/>
    </row>
    <row r="372" spans="1:16" ht="27.2" customHeight="1" x14ac:dyDescent="0.25">
      <c r="A372" s="675"/>
      <c r="B372" s="865" t="s">
        <v>1040</v>
      </c>
      <c r="C372" s="865"/>
      <c r="D372" s="865"/>
      <c r="E372" s="865"/>
      <c r="F372" s="865" t="s">
        <v>2597</v>
      </c>
      <c r="G372" s="865"/>
      <c r="H372" s="865"/>
      <c r="I372" s="865"/>
      <c r="J372" s="865" t="s">
        <v>129</v>
      </c>
      <c r="K372" s="865"/>
      <c r="L372" s="865"/>
      <c r="M372" s="865"/>
      <c r="N372" s="865"/>
      <c r="O372" s="865"/>
      <c r="P372" s="865"/>
    </row>
    <row r="373" spans="1:16" ht="40.9" customHeight="1" x14ac:dyDescent="0.25">
      <c r="A373" s="675"/>
      <c r="B373" s="865" t="s">
        <v>1090</v>
      </c>
      <c r="C373" s="865"/>
      <c r="D373" s="865"/>
      <c r="E373" s="865"/>
      <c r="F373" s="865" t="s">
        <v>2596</v>
      </c>
      <c r="G373" s="865"/>
      <c r="H373" s="865"/>
      <c r="I373" s="865"/>
      <c r="J373" s="865" t="s">
        <v>129</v>
      </c>
      <c r="K373" s="865"/>
      <c r="L373" s="865"/>
      <c r="M373" s="865"/>
      <c r="N373" s="865"/>
      <c r="O373" s="865"/>
      <c r="P373" s="865"/>
    </row>
    <row r="374" spans="1:16" ht="95.25" customHeight="1" x14ac:dyDescent="0.25">
      <c r="A374" s="675"/>
      <c r="B374" s="865" t="s">
        <v>1091</v>
      </c>
      <c r="C374" s="865"/>
      <c r="D374" s="865"/>
      <c r="E374" s="865"/>
      <c r="F374" s="865" t="s">
        <v>2596</v>
      </c>
      <c r="G374" s="865"/>
      <c r="H374" s="865"/>
      <c r="I374" s="865"/>
      <c r="J374" s="865" t="s">
        <v>129</v>
      </c>
      <c r="K374" s="865"/>
      <c r="L374" s="865"/>
      <c r="M374" s="865"/>
      <c r="N374" s="865"/>
      <c r="O374" s="865"/>
      <c r="P374" s="865"/>
    </row>
    <row r="375" spans="1:16" x14ac:dyDescent="0.25">
      <c r="A375" s="675"/>
      <c r="B375" s="865" t="s">
        <v>1092</v>
      </c>
      <c r="C375" s="865"/>
      <c r="D375" s="865"/>
      <c r="E375" s="865"/>
      <c r="F375" s="865" t="s">
        <v>2595</v>
      </c>
      <c r="G375" s="865"/>
      <c r="H375" s="865"/>
      <c r="I375" s="865"/>
      <c r="J375" s="865" t="s">
        <v>129</v>
      </c>
      <c r="K375" s="865"/>
      <c r="L375" s="865"/>
      <c r="M375" s="865"/>
      <c r="N375" s="865"/>
      <c r="O375" s="865"/>
      <c r="P375" s="865"/>
    </row>
    <row r="376" spans="1:16" ht="176.85" customHeight="1" x14ac:dyDescent="0.25">
      <c r="A376" s="674" t="s">
        <v>1831</v>
      </c>
      <c r="B376" s="781" t="s">
        <v>1832</v>
      </c>
      <c r="C376" s="782"/>
      <c r="D376" s="782"/>
      <c r="E376" s="782"/>
      <c r="F376" s="782" t="s">
        <v>1833</v>
      </c>
      <c r="G376" s="782"/>
      <c r="H376" s="782"/>
      <c r="I376" s="782"/>
      <c r="J376" s="782" t="s">
        <v>2165</v>
      </c>
      <c r="K376" s="782"/>
      <c r="L376" s="782"/>
      <c r="M376" s="866">
        <f>ROUND((36600 + 580610 * 0.2) * 1 * 1.27 * 0.4 * 1.2 * 1.24632, 0)</f>
        <v>116032</v>
      </c>
      <c r="N376" s="782"/>
      <c r="O376" s="782" t="s">
        <v>1834</v>
      </c>
      <c r="P376" s="782"/>
    </row>
    <row r="377" spans="1:16" x14ac:dyDescent="0.25">
      <c r="A377" s="676"/>
      <c r="B377" s="864" t="s">
        <v>306</v>
      </c>
      <c r="C377" s="864"/>
      <c r="D377" s="864"/>
      <c r="E377" s="864"/>
      <c r="F377" s="864" t="s">
        <v>129</v>
      </c>
      <c r="G377" s="864"/>
      <c r="H377" s="864"/>
      <c r="I377" s="864"/>
      <c r="J377" s="864" t="s">
        <v>129</v>
      </c>
      <c r="K377" s="864"/>
      <c r="L377" s="864"/>
      <c r="M377" s="864"/>
      <c r="N377" s="864"/>
      <c r="O377" s="864"/>
      <c r="P377" s="864"/>
    </row>
    <row r="378" spans="1:16" x14ac:dyDescent="0.25">
      <c r="A378" s="675"/>
      <c r="B378" s="865" t="s">
        <v>325</v>
      </c>
      <c r="C378" s="865"/>
      <c r="D378" s="865"/>
      <c r="E378" s="865"/>
      <c r="F378" s="865" t="s">
        <v>326</v>
      </c>
      <c r="G378" s="865"/>
      <c r="H378" s="865"/>
      <c r="I378" s="865"/>
      <c r="J378" s="865" t="s">
        <v>129</v>
      </c>
      <c r="K378" s="865"/>
      <c r="L378" s="865"/>
      <c r="M378" s="865"/>
      <c r="N378" s="865"/>
      <c r="O378" s="865"/>
      <c r="P378" s="865"/>
    </row>
    <row r="379" spans="1:16" ht="40.9" customHeight="1" x14ac:dyDescent="0.25">
      <c r="A379" s="675"/>
      <c r="B379" s="865" t="s">
        <v>327</v>
      </c>
      <c r="C379" s="865"/>
      <c r="D379" s="865"/>
      <c r="E379" s="865"/>
      <c r="F379" s="865" t="s">
        <v>328</v>
      </c>
      <c r="G379" s="865"/>
      <c r="H379" s="865"/>
      <c r="I379" s="865"/>
      <c r="J379" s="865" t="s">
        <v>129</v>
      </c>
      <c r="K379" s="865"/>
      <c r="L379" s="865"/>
      <c r="M379" s="865"/>
      <c r="N379" s="865"/>
      <c r="O379" s="865"/>
      <c r="P379" s="865"/>
    </row>
    <row r="380" spans="1:16" ht="135.94999999999999" customHeight="1" x14ac:dyDescent="0.25">
      <c r="A380" s="675"/>
      <c r="B380" s="865" t="s">
        <v>1835</v>
      </c>
      <c r="C380" s="865"/>
      <c r="D380" s="865"/>
      <c r="E380" s="865"/>
      <c r="F380" s="865" t="s">
        <v>1836</v>
      </c>
      <c r="G380" s="865"/>
      <c r="H380" s="865"/>
      <c r="I380" s="865"/>
      <c r="J380" s="865" t="s">
        <v>129</v>
      </c>
      <c r="K380" s="865"/>
      <c r="L380" s="865"/>
      <c r="M380" s="865"/>
      <c r="N380" s="865"/>
      <c r="O380" s="865"/>
      <c r="P380" s="865"/>
    </row>
    <row r="381" spans="1:16" ht="149.65" customHeight="1" x14ac:dyDescent="0.25">
      <c r="A381" s="675"/>
      <c r="B381" s="865" t="s">
        <v>329</v>
      </c>
      <c r="C381" s="865"/>
      <c r="D381" s="865"/>
      <c r="E381" s="865"/>
      <c r="F381" s="865" t="s">
        <v>2164</v>
      </c>
      <c r="G381" s="865"/>
      <c r="H381" s="865"/>
      <c r="I381" s="865"/>
      <c r="J381" s="865" t="s">
        <v>129</v>
      </c>
      <c r="K381" s="865"/>
      <c r="L381" s="865"/>
      <c r="M381" s="865"/>
      <c r="N381" s="865"/>
      <c r="O381" s="865"/>
      <c r="P381" s="865"/>
    </row>
    <row r="382" spans="1:16" x14ac:dyDescent="0.25">
      <c r="A382" s="676"/>
      <c r="B382" s="864" t="s">
        <v>330</v>
      </c>
      <c r="C382" s="864"/>
      <c r="D382" s="864"/>
      <c r="E382" s="864"/>
      <c r="F382" s="864" t="s">
        <v>129</v>
      </c>
      <c r="G382" s="864"/>
      <c r="H382" s="864"/>
      <c r="I382" s="864"/>
      <c r="J382" s="864" t="s">
        <v>129</v>
      </c>
      <c r="K382" s="864"/>
      <c r="L382" s="864"/>
      <c r="M382" s="864"/>
      <c r="N382" s="864"/>
      <c r="O382" s="864"/>
      <c r="P382" s="864"/>
    </row>
    <row r="383" spans="1:16" x14ac:dyDescent="0.25">
      <c r="A383" s="675"/>
      <c r="B383" s="865" t="s">
        <v>1028</v>
      </c>
      <c r="C383" s="865"/>
      <c r="D383" s="865"/>
      <c r="E383" s="865"/>
      <c r="F383" s="865" t="s">
        <v>1837</v>
      </c>
      <c r="G383" s="865"/>
      <c r="H383" s="865"/>
      <c r="I383" s="865"/>
      <c r="J383" s="865" t="s">
        <v>129</v>
      </c>
      <c r="K383" s="865"/>
      <c r="L383" s="865"/>
      <c r="M383" s="865"/>
      <c r="N383" s="865"/>
      <c r="O383" s="865"/>
      <c r="P383" s="865"/>
    </row>
    <row r="384" spans="1:16" ht="27.2" customHeight="1" x14ac:dyDescent="0.25">
      <c r="A384" s="675"/>
      <c r="B384" s="865" t="s">
        <v>1029</v>
      </c>
      <c r="C384" s="865"/>
      <c r="D384" s="865"/>
      <c r="E384" s="865"/>
      <c r="F384" s="865" t="s">
        <v>2163</v>
      </c>
      <c r="G384" s="865"/>
      <c r="H384" s="865"/>
      <c r="I384" s="865"/>
      <c r="J384" s="865" t="s">
        <v>129</v>
      </c>
      <c r="K384" s="865"/>
      <c r="L384" s="865"/>
      <c r="M384" s="865"/>
      <c r="N384" s="865"/>
      <c r="O384" s="865"/>
      <c r="P384" s="865"/>
    </row>
    <row r="385" spans="1:16" ht="27.2" customHeight="1" x14ac:dyDescent="0.25">
      <c r="A385" s="675"/>
      <c r="B385" s="865" t="s">
        <v>1064</v>
      </c>
      <c r="C385" s="865"/>
      <c r="D385" s="865"/>
      <c r="E385" s="865"/>
      <c r="F385" s="865" t="s">
        <v>2162</v>
      </c>
      <c r="G385" s="865"/>
      <c r="H385" s="865"/>
      <c r="I385" s="865"/>
      <c r="J385" s="865" t="s">
        <v>129</v>
      </c>
      <c r="K385" s="865"/>
      <c r="L385" s="865"/>
      <c r="M385" s="865"/>
      <c r="N385" s="865"/>
      <c r="O385" s="865"/>
      <c r="P385" s="865"/>
    </row>
    <row r="386" spans="1:16" x14ac:dyDescent="0.25">
      <c r="A386" s="675"/>
      <c r="B386" s="865" t="s">
        <v>1065</v>
      </c>
      <c r="C386" s="865"/>
      <c r="D386" s="865"/>
      <c r="E386" s="865"/>
      <c r="F386" s="865" t="s">
        <v>2161</v>
      </c>
      <c r="G386" s="865"/>
      <c r="H386" s="865"/>
      <c r="I386" s="865"/>
      <c r="J386" s="865" t="s">
        <v>129</v>
      </c>
      <c r="K386" s="865"/>
      <c r="L386" s="865"/>
      <c r="M386" s="865"/>
      <c r="N386" s="865"/>
      <c r="O386" s="865"/>
      <c r="P386" s="865"/>
    </row>
    <row r="387" spans="1:16" ht="54.4" customHeight="1" x14ac:dyDescent="0.25">
      <c r="A387" s="675"/>
      <c r="B387" s="865" t="s">
        <v>1032</v>
      </c>
      <c r="C387" s="865"/>
      <c r="D387" s="865"/>
      <c r="E387" s="865"/>
      <c r="F387" s="865" t="s">
        <v>2160</v>
      </c>
      <c r="G387" s="865"/>
      <c r="H387" s="865"/>
      <c r="I387" s="865"/>
      <c r="J387" s="865" t="s">
        <v>129</v>
      </c>
      <c r="K387" s="865"/>
      <c r="L387" s="865"/>
      <c r="M387" s="865"/>
      <c r="N387" s="865"/>
      <c r="O387" s="865"/>
      <c r="P387" s="865"/>
    </row>
    <row r="388" spans="1:16" ht="27.2" customHeight="1" x14ac:dyDescent="0.25">
      <c r="A388" s="675"/>
      <c r="B388" s="865" t="s">
        <v>1033</v>
      </c>
      <c r="C388" s="865"/>
      <c r="D388" s="865"/>
      <c r="E388" s="865"/>
      <c r="F388" s="865" t="s">
        <v>2158</v>
      </c>
      <c r="G388" s="865"/>
      <c r="H388" s="865"/>
      <c r="I388" s="865"/>
      <c r="J388" s="865" t="s">
        <v>129</v>
      </c>
      <c r="K388" s="865"/>
      <c r="L388" s="865"/>
      <c r="M388" s="865"/>
      <c r="N388" s="865"/>
      <c r="O388" s="865"/>
      <c r="P388" s="865"/>
    </row>
    <row r="389" spans="1:16" ht="27.2" customHeight="1" x14ac:dyDescent="0.25">
      <c r="A389" s="675"/>
      <c r="B389" s="865" t="s">
        <v>1118</v>
      </c>
      <c r="C389" s="865"/>
      <c r="D389" s="865"/>
      <c r="E389" s="865"/>
      <c r="F389" s="865" t="s">
        <v>2159</v>
      </c>
      <c r="G389" s="865"/>
      <c r="H389" s="865"/>
      <c r="I389" s="865"/>
      <c r="J389" s="865" t="s">
        <v>129</v>
      </c>
      <c r="K389" s="865"/>
      <c r="L389" s="865"/>
      <c r="M389" s="865"/>
      <c r="N389" s="865"/>
      <c r="O389" s="865"/>
      <c r="P389" s="865"/>
    </row>
    <row r="390" spans="1:16" ht="40.9" customHeight="1" x14ac:dyDescent="0.25">
      <c r="A390" s="675"/>
      <c r="B390" s="865" t="s">
        <v>1839</v>
      </c>
      <c r="C390" s="865"/>
      <c r="D390" s="865"/>
      <c r="E390" s="865"/>
      <c r="F390" s="865" t="s">
        <v>2158</v>
      </c>
      <c r="G390" s="865"/>
      <c r="H390" s="865"/>
      <c r="I390" s="865"/>
      <c r="J390" s="865" t="s">
        <v>129</v>
      </c>
      <c r="K390" s="865"/>
      <c r="L390" s="865"/>
      <c r="M390" s="865"/>
      <c r="N390" s="865"/>
      <c r="O390" s="865"/>
      <c r="P390" s="865"/>
    </row>
    <row r="391" spans="1:16" x14ac:dyDescent="0.25">
      <c r="A391" s="675"/>
      <c r="B391" s="865" t="s">
        <v>1072</v>
      </c>
      <c r="C391" s="865"/>
      <c r="D391" s="865"/>
      <c r="E391" s="865"/>
      <c r="F391" s="865" t="s">
        <v>2157</v>
      </c>
      <c r="G391" s="865"/>
      <c r="H391" s="865"/>
      <c r="I391" s="865"/>
      <c r="J391" s="865" t="s">
        <v>129</v>
      </c>
      <c r="K391" s="865"/>
      <c r="L391" s="865"/>
      <c r="M391" s="865"/>
      <c r="N391" s="865"/>
      <c r="O391" s="865"/>
      <c r="P391" s="865"/>
    </row>
    <row r="392" spans="1:16" ht="27.2" customHeight="1" x14ac:dyDescent="0.25">
      <c r="A392" s="675"/>
      <c r="B392" s="865" t="s">
        <v>1073</v>
      </c>
      <c r="C392" s="865"/>
      <c r="D392" s="865"/>
      <c r="E392" s="865"/>
      <c r="F392" s="865" t="s">
        <v>1838</v>
      </c>
      <c r="G392" s="865"/>
      <c r="H392" s="865"/>
      <c r="I392" s="865"/>
      <c r="J392" s="865" t="s">
        <v>129</v>
      </c>
      <c r="K392" s="865"/>
      <c r="L392" s="865"/>
      <c r="M392" s="865"/>
      <c r="N392" s="865"/>
      <c r="O392" s="865"/>
      <c r="P392" s="865"/>
    </row>
    <row r="393" spans="1:16" ht="27.2" customHeight="1" x14ac:dyDescent="0.25">
      <c r="A393" s="675"/>
      <c r="B393" s="865" t="s">
        <v>1122</v>
      </c>
      <c r="C393" s="865"/>
      <c r="D393" s="865"/>
      <c r="E393" s="865"/>
      <c r="F393" s="865" t="s">
        <v>1840</v>
      </c>
      <c r="G393" s="865"/>
      <c r="H393" s="865"/>
      <c r="I393" s="865"/>
      <c r="J393" s="865" t="s">
        <v>129</v>
      </c>
      <c r="K393" s="865"/>
      <c r="L393" s="865"/>
      <c r="M393" s="865"/>
      <c r="N393" s="865"/>
      <c r="O393" s="865"/>
      <c r="P393" s="865"/>
    </row>
    <row r="394" spans="1:16" ht="27.2" customHeight="1" x14ac:dyDescent="0.25">
      <c r="A394" s="675"/>
      <c r="B394" s="865" t="s">
        <v>1075</v>
      </c>
      <c r="C394" s="865"/>
      <c r="D394" s="865"/>
      <c r="E394" s="865"/>
      <c r="F394" s="865" t="s">
        <v>1837</v>
      </c>
      <c r="G394" s="865"/>
      <c r="H394" s="865"/>
      <c r="I394" s="865"/>
      <c r="J394" s="865" t="s">
        <v>129</v>
      </c>
      <c r="K394" s="865"/>
      <c r="L394" s="865"/>
      <c r="M394" s="865"/>
      <c r="N394" s="865"/>
      <c r="O394" s="865"/>
      <c r="P394" s="865"/>
    </row>
    <row r="395" spans="1:16" ht="81.599999999999994" customHeight="1" x14ac:dyDescent="0.25">
      <c r="A395" s="675"/>
      <c r="B395" s="865" t="s">
        <v>1123</v>
      </c>
      <c r="C395" s="865"/>
      <c r="D395" s="865"/>
      <c r="E395" s="865"/>
      <c r="F395" s="865" t="s">
        <v>1837</v>
      </c>
      <c r="G395" s="865"/>
      <c r="H395" s="865"/>
      <c r="I395" s="865"/>
      <c r="J395" s="865" t="s">
        <v>129</v>
      </c>
      <c r="K395" s="865"/>
      <c r="L395" s="865"/>
      <c r="M395" s="865"/>
      <c r="N395" s="865"/>
      <c r="O395" s="865"/>
      <c r="P395" s="865"/>
    </row>
    <row r="396" spans="1:16" ht="54.4" customHeight="1" x14ac:dyDescent="0.25">
      <c r="A396" s="675"/>
      <c r="B396" s="865" t="s">
        <v>1124</v>
      </c>
      <c r="C396" s="865"/>
      <c r="D396" s="865"/>
      <c r="E396" s="865"/>
      <c r="F396" s="865" t="s">
        <v>2156</v>
      </c>
      <c r="G396" s="865"/>
      <c r="H396" s="865"/>
      <c r="I396" s="865"/>
      <c r="J396" s="865" t="s">
        <v>129</v>
      </c>
      <c r="K396" s="865"/>
      <c r="L396" s="865"/>
      <c r="M396" s="865"/>
      <c r="N396" s="865"/>
      <c r="O396" s="865"/>
      <c r="P396" s="865"/>
    </row>
    <row r="397" spans="1:16" ht="135.94999999999999" customHeight="1" x14ac:dyDescent="0.25">
      <c r="A397" s="674" t="s">
        <v>1841</v>
      </c>
      <c r="B397" s="781" t="s">
        <v>2135</v>
      </c>
      <c r="C397" s="782"/>
      <c r="D397" s="782"/>
      <c r="E397" s="782"/>
      <c r="F397" s="782" t="s">
        <v>2134</v>
      </c>
      <c r="G397" s="782"/>
      <c r="H397" s="782"/>
      <c r="I397" s="782"/>
      <c r="J397" s="782" t="s">
        <v>2133</v>
      </c>
      <c r="K397" s="782"/>
      <c r="L397" s="782"/>
      <c r="M397" s="866">
        <f>ROUND((62100 + 13486 * 4) * 1 * 1.15 * 0.4 * 1.23333, 0)</f>
        <v>65835</v>
      </c>
      <c r="N397" s="782"/>
      <c r="O397" s="782" t="s">
        <v>2155</v>
      </c>
      <c r="P397" s="782"/>
    </row>
    <row r="398" spans="1:16" x14ac:dyDescent="0.25">
      <c r="A398" s="676"/>
      <c r="B398" s="864" t="s">
        <v>306</v>
      </c>
      <c r="C398" s="864"/>
      <c r="D398" s="864"/>
      <c r="E398" s="864"/>
      <c r="F398" s="864" t="s">
        <v>129</v>
      </c>
      <c r="G398" s="864"/>
      <c r="H398" s="864"/>
      <c r="I398" s="864"/>
      <c r="J398" s="864" t="s">
        <v>129</v>
      </c>
      <c r="K398" s="864"/>
      <c r="L398" s="864"/>
      <c r="M398" s="864"/>
      <c r="N398" s="864"/>
      <c r="O398" s="864"/>
      <c r="P398" s="864"/>
    </row>
    <row r="399" spans="1:16" x14ac:dyDescent="0.25">
      <c r="A399" s="675"/>
      <c r="B399" s="865" t="s">
        <v>325</v>
      </c>
      <c r="C399" s="865"/>
      <c r="D399" s="865"/>
      <c r="E399" s="865"/>
      <c r="F399" s="865" t="s">
        <v>326</v>
      </c>
      <c r="G399" s="865"/>
      <c r="H399" s="865"/>
      <c r="I399" s="865"/>
      <c r="J399" s="865" t="s">
        <v>129</v>
      </c>
      <c r="K399" s="865"/>
      <c r="L399" s="865"/>
      <c r="M399" s="865"/>
      <c r="N399" s="865"/>
      <c r="O399" s="865"/>
      <c r="P399" s="865"/>
    </row>
    <row r="400" spans="1:16" ht="40.9" customHeight="1" x14ac:dyDescent="0.25">
      <c r="A400" s="675"/>
      <c r="B400" s="865" t="s">
        <v>1265</v>
      </c>
      <c r="C400" s="865"/>
      <c r="D400" s="865"/>
      <c r="E400" s="865"/>
      <c r="F400" s="865" t="s">
        <v>1266</v>
      </c>
      <c r="G400" s="865"/>
      <c r="H400" s="865"/>
      <c r="I400" s="865"/>
      <c r="J400" s="865" t="s">
        <v>129</v>
      </c>
      <c r="K400" s="865"/>
      <c r="L400" s="865"/>
      <c r="M400" s="865"/>
      <c r="N400" s="865"/>
      <c r="O400" s="865"/>
      <c r="P400" s="865"/>
    </row>
    <row r="401" spans="1:16" ht="149.65" customHeight="1" x14ac:dyDescent="0.25">
      <c r="A401" s="675"/>
      <c r="B401" s="865" t="s">
        <v>329</v>
      </c>
      <c r="C401" s="865"/>
      <c r="D401" s="865"/>
      <c r="E401" s="865"/>
      <c r="F401" s="865" t="s">
        <v>1154</v>
      </c>
      <c r="G401" s="865"/>
      <c r="H401" s="865"/>
      <c r="I401" s="865"/>
      <c r="J401" s="865" t="s">
        <v>129</v>
      </c>
      <c r="K401" s="865"/>
      <c r="L401" s="865"/>
      <c r="M401" s="865"/>
      <c r="N401" s="865"/>
      <c r="O401" s="865"/>
      <c r="P401" s="865"/>
    </row>
    <row r="402" spans="1:16" x14ac:dyDescent="0.25">
      <c r="A402" s="676"/>
      <c r="B402" s="864" t="s">
        <v>330</v>
      </c>
      <c r="C402" s="864"/>
      <c r="D402" s="864"/>
      <c r="E402" s="864"/>
      <c r="F402" s="864" t="s">
        <v>129</v>
      </c>
      <c r="G402" s="864"/>
      <c r="H402" s="864"/>
      <c r="I402" s="864"/>
      <c r="J402" s="864" t="s">
        <v>129</v>
      </c>
      <c r="K402" s="864"/>
      <c r="L402" s="864"/>
      <c r="M402" s="864"/>
      <c r="N402" s="864"/>
      <c r="O402" s="864"/>
      <c r="P402" s="864"/>
    </row>
    <row r="403" spans="1:16" x14ac:dyDescent="0.25">
      <c r="A403" s="675"/>
      <c r="B403" s="865" t="s">
        <v>1028</v>
      </c>
      <c r="C403" s="865"/>
      <c r="D403" s="865"/>
      <c r="E403" s="865"/>
      <c r="F403" s="865" t="s">
        <v>2131</v>
      </c>
      <c r="G403" s="865"/>
      <c r="H403" s="865"/>
      <c r="I403" s="865"/>
      <c r="J403" s="865" t="s">
        <v>129</v>
      </c>
      <c r="K403" s="865"/>
      <c r="L403" s="865"/>
      <c r="M403" s="865"/>
      <c r="N403" s="865"/>
      <c r="O403" s="865"/>
      <c r="P403" s="865"/>
    </row>
    <row r="404" spans="1:16" ht="27.2" customHeight="1" x14ac:dyDescent="0.25">
      <c r="A404" s="675"/>
      <c r="B404" s="865" t="s">
        <v>2130</v>
      </c>
      <c r="C404" s="865"/>
      <c r="D404" s="865"/>
      <c r="E404" s="865"/>
      <c r="F404" s="865" t="s">
        <v>2129</v>
      </c>
      <c r="G404" s="865"/>
      <c r="H404" s="865"/>
      <c r="I404" s="865"/>
      <c r="J404" s="865" t="s">
        <v>129</v>
      </c>
      <c r="K404" s="865"/>
      <c r="L404" s="865"/>
      <c r="M404" s="865"/>
      <c r="N404" s="865"/>
      <c r="O404" s="865"/>
      <c r="P404" s="865"/>
    </row>
    <row r="405" spans="1:16" x14ac:dyDescent="0.25">
      <c r="A405" s="675"/>
      <c r="B405" s="865" t="s">
        <v>1224</v>
      </c>
      <c r="C405" s="865"/>
      <c r="D405" s="865"/>
      <c r="E405" s="865"/>
      <c r="F405" s="865" t="s">
        <v>2128</v>
      </c>
      <c r="G405" s="865"/>
      <c r="H405" s="865"/>
      <c r="I405" s="865"/>
      <c r="J405" s="865" t="s">
        <v>129</v>
      </c>
      <c r="K405" s="865"/>
      <c r="L405" s="865"/>
      <c r="M405" s="865"/>
      <c r="N405" s="865"/>
      <c r="O405" s="865"/>
      <c r="P405" s="865"/>
    </row>
    <row r="406" spans="1:16" ht="27.2" customHeight="1" x14ac:dyDescent="0.25">
      <c r="A406" s="675"/>
      <c r="B406" s="865" t="s">
        <v>1160</v>
      </c>
      <c r="C406" s="865"/>
      <c r="D406" s="865"/>
      <c r="E406" s="865"/>
      <c r="F406" s="865" t="s">
        <v>2126</v>
      </c>
      <c r="G406" s="865"/>
      <c r="H406" s="865"/>
      <c r="I406" s="865"/>
      <c r="J406" s="865" t="s">
        <v>129</v>
      </c>
      <c r="K406" s="865"/>
      <c r="L406" s="865"/>
      <c r="M406" s="865"/>
      <c r="N406" s="865"/>
      <c r="O406" s="865"/>
      <c r="P406" s="865"/>
    </row>
    <row r="407" spans="1:16" ht="27.2" customHeight="1" x14ac:dyDescent="0.25">
      <c r="A407" s="675"/>
      <c r="B407" s="865" t="s">
        <v>2127</v>
      </c>
      <c r="C407" s="865"/>
      <c r="D407" s="865"/>
      <c r="E407" s="865"/>
      <c r="F407" s="865" t="s">
        <v>2126</v>
      </c>
      <c r="G407" s="865"/>
      <c r="H407" s="865"/>
      <c r="I407" s="865"/>
      <c r="J407" s="865" t="s">
        <v>129</v>
      </c>
      <c r="K407" s="865"/>
      <c r="L407" s="865"/>
      <c r="M407" s="865"/>
      <c r="N407" s="865"/>
      <c r="O407" s="865"/>
      <c r="P407" s="865"/>
    </row>
    <row r="408" spans="1:16" x14ac:dyDescent="0.25">
      <c r="A408" s="675"/>
      <c r="B408" s="865" t="s">
        <v>1192</v>
      </c>
      <c r="C408" s="865"/>
      <c r="D408" s="865"/>
      <c r="E408" s="865"/>
      <c r="F408" s="865" t="s">
        <v>2125</v>
      </c>
      <c r="G408" s="865"/>
      <c r="H408" s="865"/>
      <c r="I408" s="865"/>
      <c r="J408" s="865" t="s">
        <v>129</v>
      </c>
      <c r="K408" s="865"/>
      <c r="L408" s="865"/>
      <c r="M408" s="865"/>
      <c r="N408" s="865"/>
      <c r="O408" s="865"/>
      <c r="P408" s="865"/>
    </row>
    <row r="409" spans="1:16" ht="40.9" customHeight="1" x14ac:dyDescent="0.25">
      <c r="A409" s="673" t="s">
        <v>1842</v>
      </c>
      <c r="B409" s="780" t="s">
        <v>1145</v>
      </c>
      <c r="C409" s="780"/>
      <c r="D409" s="780"/>
      <c r="E409" s="780"/>
      <c r="F409" s="780"/>
      <c r="G409" s="780"/>
      <c r="H409" s="780"/>
      <c r="I409" s="780"/>
      <c r="J409" s="780" t="s">
        <v>129</v>
      </c>
      <c r="K409" s="780"/>
      <c r="L409" s="780"/>
      <c r="M409" s="791">
        <f>ROUND(SUM($M$19:$M$397),0)</f>
        <v>4754806</v>
      </c>
      <c r="N409" s="780"/>
      <c r="O409" s="780"/>
      <c r="P409" s="780"/>
    </row>
    <row r="410" spans="1:16" ht="40.9" customHeight="1" x14ac:dyDescent="0.25">
      <c r="A410" s="673" t="s">
        <v>2154</v>
      </c>
      <c r="B410" s="780" t="s">
        <v>1146</v>
      </c>
      <c r="C410" s="780"/>
      <c r="D410" s="780"/>
      <c r="E410" s="780"/>
      <c r="F410" s="780"/>
      <c r="G410" s="780"/>
      <c r="H410" s="780"/>
      <c r="I410" s="780"/>
      <c r="J410" s="780" t="s">
        <v>129</v>
      </c>
      <c r="K410" s="780"/>
      <c r="L410" s="780"/>
      <c r="M410" s="791">
        <f>ROUND(($M$409),0)</f>
        <v>4754806</v>
      </c>
      <c r="N410" s="780"/>
      <c r="O410" s="780"/>
      <c r="P410" s="780"/>
    </row>
    <row r="411" spans="1:16" ht="54.4" customHeight="1" x14ac:dyDescent="0.25">
      <c r="A411" s="673" t="s">
        <v>137</v>
      </c>
      <c r="B411" s="780" t="s">
        <v>339</v>
      </c>
      <c r="C411" s="780"/>
      <c r="D411" s="780"/>
      <c r="E411" s="780"/>
      <c r="F411" s="780" t="s">
        <v>1147</v>
      </c>
      <c r="G411" s="780"/>
      <c r="H411" s="780"/>
      <c r="I411" s="780"/>
      <c r="J411" s="780"/>
      <c r="K411" s="780"/>
      <c r="L411" s="780"/>
      <c r="M411" s="780"/>
      <c r="N411" s="780"/>
      <c r="O411" s="780"/>
      <c r="P411" s="780"/>
    </row>
    <row r="412" spans="1:16" ht="190.35" customHeight="1" x14ac:dyDescent="0.25">
      <c r="A412" s="674" t="s">
        <v>9</v>
      </c>
      <c r="B412" s="781" t="s">
        <v>1148</v>
      </c>
      <c r="C412" s="782"/>
      <c r="D412" s="782"/>
      <c r="E412" s="782"/>
      <c r="F412" s="782" t="s">
        <v>1149</v>
      </c>
      <c r="G412" s="782"/>
      <c r="H412" s="782"/>
      <c r="I412" s="782"/>
      <c r="J412" s="782" t="s">
        <v>1150</v>
      </c>
      <c r="K412" s="782"/>
      <c r="L412" s="782"/>
      <c r="M412" s="866">
        <f>ROUND((126400 + 235 * (0.4 * 1000 + 0.6 * (1000 / 2))) * 1 * 0.2 * 1.38 * 0.4 * 1.2427, 0)</f>
        <v>39910</v>
      </c>
      <c r="N412" s="782"/>
      <c r="O412" s="782" t="s">
        <v>1843</v>
      </c>
      <c r="P412" s="782"/>
    </row>
    <row r="413" spans="1:16" x14ac:dyDescent="0.25">
      <c r="A413" s="676"/>
      <c r="B413" s="864" t="s">
        <v>306</v>
      </c>
      <c r="C413" s="864"/>
      <c r="D413" s="864"/>
      <c r="E413" s="864"/>
      <c r="F413" s="864" t="s">
        <v>129</v>
      </c>
      <c r="G413" s="864"/>
      <c r="H413" s="864"/>
      <c r="I413" s="864"/>
      <c r="J413" s="864" t="s">
        <v>129</v>
      </c>
      <c r="K413" s="864"/>
      <c r="L413" s="864"/>
      <c r="M413" s="864"/>
      <c r="N413" s="864"/>
      <c r="O413" s="864"/>
      <c r="P413" s="864"/>
    </row>
    <row r="414" spans="1:16" x14ac:dyDescent="0.25">
      <c r="A414" s="675"/>
      <c r="B414" s="865" t="s">
        <v>325</v>
      </c>
      <c r="C414" s="865"/>
      <c r="D414" s="865"/>
      <c r="E414" s="865"/>
      <c r="F414" s="865" t="s">
        <v>326</v>
      </c>
      <c r="G414" s="865"/>
      <c r="H414" s="865"/>
      <c r="I414" s="865"/>
      <c r="J414" s="865" t="s">
        <v>129</v>
      </c>
      <c r="K414" s="865"/>
      <c r="L414" s="865"/>
      <c r="M414" s="865"/>
      <c r="N414" s="865"/>
      <c r="O414" s="865"/>
      <c r="P414" s="865"/>
    </row>
    <row r="415" spans="1:16" ht="40.9" customHeight="1" x14ac:dyDescent="0.25">
      <c r="A415" s="675"/>
      <c r="B415" s="865" t="s">
        <v>1151</v>
      </c>
      <c r="C415" s="865"/>
      <c r="D415" s="865"/>
      <c r="E415" s="865"/>
      <c r="F415" s="865" t="s">
        <v>1152</v>
      </c>
      <c r="G415" s="865"/>
      <c r="H415" s="865"/>
      <c r="I415" s="865"/>
      <c r="J415" s="865" t="s">
        <v>129</v>
      </c>
      <c r="K415" s="865"/>
      <c r="L415" s="865"/>
      <c r="M415" s="865"/>
      <c r="N415" s="865"/>
      <c r="O415" s="865"/>
      <c r="P415" s="865"/>
    </row>
    <row r="416" spans="1:16" ht="95.25" customHeight="1" x14ac:dyDescent="0.25">
      <c r="A416" s="675"/>
      <c r="B416" s="865" t="s">
        <v>333</v>
      </c>
      <c r="C416" s="865"/>
      <c r="D416" s="865"/>
      <c r="E416" s="865"/>
      <c r="F416" s="865" t="s">
        <v>1153</v>
      </c>
      <c r="G416" s="865"/>
      <c r="H416" s="865"/>
      <c r="I416" s="865"/>
      <c r="J416" s="865" t="s">
        <v>129</v>
      </c>
      <c r="K416" s="865"/>
      <c r="L416" s="865"/>
      <c r="M416" s="865"/>
      <c r="N416" s="865"/>
      <c r="O416" s="865"/>
      <c r="P416" s="865"/>
    </row>
    <row r="417" spans="1:16" ht="149.65" customHeight="1" x14ac:dyDescent="0.25">
      <c r="A417" s="675"/>
      <c r="B417" s="865" t="s">
        <v>329</v>
      </c>
      <c r="C417" s="865"/>
      <c r="D417" s="865"/>
      <c r="E417" s="865"/>
      <c r="F417" s="865" t="s">
        <v>1154</v>
      </c>
      <c r="G417" s="865"/>
      <c r="H417" s="865"/>
      <c r="I417" s="865"/>
      <c r="J417" s="865" t="s">
        <v>129</v>
      </c>
      <c r="K417" s="865"/>
      <c r="L417" s="865"/>
      <c r="M417" s="865"/>
      <c r="N417" s="865"/>
      <c r="O417" s="865"/>
      <c r="P417" s="865"/>
    </row>
    <row r="418" spans="1:16" x14ac:dyDescent="0.25">
      <c r="A418" s="676"/>
      <c r="B418" s="864" t="s">
        <v>330</v>
      </c>
      <c r="C418" s="864"/>
      <c r="D418" s="864"/>
      <c r="E418" s="864"/>
      <c r="F418" s="864" t="s">
        <v>129</v>
      </c>
      <c r="G418" s="864"/>
      <c r="H418" s="864"/>
      <c r="I418" s="864"/>
      <c r="J418" s="864" t="s">
        <v>129</v>
      </c>
      <c r="K418" s="864"/>
      <c r="L418" s="864"/>
      <c r="M418" s="864"/>
      <c r="N418" s="864"/>
      <c r="O418" s="864"/>
      <c r="P418" s="864"/>
    </row>
    <row r="419" spans="1:16" x14ac:dyDescent="0.25">
      <c r="A419" s="675"/>
      <c r="B419" s="865" t="s">
        <v>1028</v>
      </c>
      <c r="C419" s="865"/>
      <c r="D419" s="865"/>
      <c r="E419" s="865"/>
      <c r="F419" s="865" t="s">
        <v>1155</v>
      </c>
      <c r="G419" s="865"/>
      <c r="H419" s="865"/>
      <c r="I419" s="865"/>
      <c r="J419" s="865" t="s">
        <v>129</v>
      </c>
      <c r="K419" s="865"/>
      <c r="L419" s="865"/>
      <c r="M419" s="865"/>
      <c r="N419" s="865"/>
      <c r="O419" s="865"/>
      <c r="P419" s="865"/>
    </row>
    <row r="420" spans="1:16" x14ac:dyDescent="0.25">
      <c r="A420" s="675"/>
      <c r="B420" s="865" t="s">
        <v>1156</v>
      </c>
      <c r="C420" s="865"/>
      <c r="D420" s="865"/>
      <c r="E420" s="865"/>
      <c r="F420" s="865" t="s">
        <v>1157</v>
      </c>
      <c r="G420" s="865"/>
      <c r="H420" s="865"/>
      <c r="I420" s="865"/>
      <c r="J420" s="865" t="s">
        <v>129</v>
      </c>
      <c r="K420" s="865"/>
      <c r="L420" s="865"/>
      <c r="M420" s="865"/>
      <c r="N420" s="865"/>
      <c r="O420" s="865"/>
      <c r="P420" s="865"/>
    </row>
    <row r="421" spans="1:16" ht="40.9" customHeight="1" x14ac:dyDescent="0.25">
      <c r="A421" s="675"/>
      <c r="B421" s="865" t="s">
        <v>1158</v>
      </c>
      <c r="C421" s="865"/>
      <c r="D421" s="865"/>
      <c r="E421" s="865"/>
      <c r="F421" s="865" t="s">
        <v>1159</v>
      </c>
      <c r="G421" s="865"/>
      <c r="H421" s="865"/>
      <c r="I421" s="865"/>
      <c r="J421" s="865" t="s">
        <v>129</v>
      </c>
      <c r="K421" s="865"/>
      <c r="L421" s="865"/>
      <c r="M421" s="865"/>
      <c r="N421" s="865"/>
      <c r="O421" s="865"/>
      <c r="P421" s="865"/>
    </row>
    <row r="422" spans="1:16" ht="27.2" customHeight="1" x14ac:dyDescent="0.25">
      <c r="A422" s="675"/>
      <c r="B422" s="865" t="s">
        <v>1160</v>
      </c>
      <c r="C422" s="865"/>
      <c r="D422" s="865"/>
      <c r="E422" s="865"/>
      <c r="F422" s="865" t="s">
        <v>1161</v>
      </c>
      <c r="G422" s="865"/>
      <c r="H422" s="865"/>
      <c r="I422" s="865"/>
      <c r="J422" s="865" t="s">
        <v>129</v>
      </c>
      <c r="K422" s="865"/>
      <c r="L422" s="865"/>
      <c r="M422" s="865"/>
      <c r="N422" s="865"/>
      <c r="O422" s="865"/>
      <c r="P422" s="865"/>
    </row>
    <row r="423" spans="1:16" ht="27.2" customHeight="1" x14ac:dyDescent="0.25">
      <c r="A423" s="675"/>
      <c r="B423" s="865" t="s">
        <v>1162</v>
      </c>
      <c r="C423" s="865"/>
      <c r="D423" s="865"/>
      <c r="E423" s="865"/>
      <c r="F423" s="865" t="s">
        <v>1163</v>
      </c>
      <c r="G423" s="865"/>
      <c r="H423" s="865"/>
      <c r="I423" s="865"/>
      <c r="J423" s="865" t="s">
        <v>129</v>
      </c>
      <c r="K423" s="865"/>
      <c r="L423" s="865"/>
      <c r="M423" s="865"/>
      <c r="N423" s="865"/>
      <c r="O423" s="865"/>
      <c r="P423" s="865"/>
    </row>
    <row r="424" spans="1:16" ht="27.2" customHeight="1" x14ac:dyDescent="0.25">
      <c r="A424" s="675"/>
      <c r="B424" s="865" t="s">
        <v>1164</v>
      </c>
      <c r="C424" s="865"/>
      <c r="D424" s="865"/>
      <c r="E424" s="865"/>
      <c r="F424" s="865" t="s">
        <v>1165</v>
      </c>
      <c r="G424" s="865"/>
      <c r="H424" s="865"/>
      <c r="I424" s="865"/>
      <c r="J424" s="865" t="s">
        <v>129</v>
      </c>
      <c r="K424" s="865"/>
      <c r="L424" s="865"/>
      <c r="M424" s="865"/>
      <c r="N424" s="865"/>
      <c r="O424" s="865"/>
      <c r="P424" s="865"/>
    </row>
    <row r="425" spans="1:16" ht="54.4" customHeight="1" x14ac:dyDescent="0.25">
      <c r="A425" s="675"/>
      <c r="B425" s="865" t="s">
        <v>1166</v>
      </c>
      <c r="C425" s="865"/>
      <c r="D425" s="865"/>
      <c r="E425" s="865"/>
      <c r="F425" s="865" t="s">
        <v>1167</v>
      </c>
      <c r="G425" s="865"/>
      <c r="H425" s="865"/>
      <c r="I425" s="865"/>
      <c r="J425" s="865" t="s">
        <v>129</v>
      </c>
      <c r="K425" s="865"/>
      <c r="L425" s="865"/>
      <c r="M425" s="865"/>
      <c r="N425" s="865"/>
      <c r="O425" s="865"/>
      <c r="P425" s="865"/>
    </row>
    <row r="426" spans="1:16" ht="163.15" customHeight="1" x14ac:dyDescent="0.25">
      <c r="A426" s="674" t="s">
        <v>10</v>
      </c>
      <c r="B426" s="781" t="s">
        <v>1093</v>
      </c>
      <c r="C426" s="782"/>
      <c r="D426" s="782"/>
      <c r="E426" s="782"/>
      <c r="F426" s="782" t="s">
        <v>1094</v>
      </c>
      <c r="G426" s="782"/>
      <c r="H426" s="782"/>
      <c r="I426" s="782"/>
      <c r="J426" s="782" t="s">
        <v>1095</v>
      </c>
      <c r="K426" s="782"/>
      <c r="L426" s="782"/>
      <c r="M426" s="866">
        <f>ROUND(33400 * 1 * 1.53 * 0.4 * 1.26809, 0)</f>
        <v>25921</v>
      </c>
      <c r="N426" s="782"/>
      <c r="O426" s="782" t="s">
        <v>1844</v>
      </c>
      <c r="P426" s="782"/>
    </row>
    <row r="427" spans="1:16" x14ac:dyDescent="0.25">
      <c r="A427" s="676"/>
      <c r="B427" s="864" t="s">
        <v>306</v>
      </c>
      <c r="C427" s="864"/>
      <c r="D427" s="864"/>
      <c r="E427" s="864"/>
      <c r="F427" s="864" t="s">
        <v>129</v>
      </c>
      <c r="G427" s="864"/>
      <c r="H427" s="864"/>
      <c r="I427" s="864"/>
      <c r="J427" s="864" t="s">
        <v>129</v>
      </c>
      <c r="K427" s="864"/>
      <c r="L427" s="864"/>
      <c r="M427" s="864"/>
      <c r="N427" s="864"/>
      <c r="O427" s="864"/>
      <c r="P427" s="864"/>
    </row>
    <row r="428" spans="1:16" x14ac:dyDescent="0.25">
      <c r="A428" s="675"/>
      <c r="B428" s="865" t="s">
        <v>325</v>
      </c>
      <c r="C428" s="865"/>
      <c r="D428" s="865"/>
      <c r="E428" s="865"/>
      <c r="F428" s="865" t="s">
        <v>326</v>
      </c>
      <c r="G428" s="865"/>
      <c r="H428" s="865"/>
      <c r="I428" s="865"/>
      <c r="J428" s="865" t="s">
        <v>129</v>
      </c>
      <c r="K428" s="865"/>
      <c r="L428" s="865"/>
      <c r="M428" s="865"/>
      <c r="N428" s="865"/>
      <c r="O428" s="865"/>
      <c r="P428" s="865"/>
    </row>
    <row r="429" spans="1:16" ht="40.9" customHeight="1" x14ac:dyDescent="0.25">
      <c r="A429" s="675"/>
      <c r="B429" s="865" t="s">
        <v>336</v>
      </c>
      <c r="C429" s="865"/>
      <c r="D429" s="865"/>
      <c r="E429" s="865"/>
      <c r="F429" s="865" t="s">
        <v>337</v>
      </c>
      <c r="G429" s="865"/>
      <c r="H429" s="865"/>
      <c r="I429" s="865"/>
      <c r="J429" s="865" t="s">
        <v>129</v>
      </c>
      <c r="K429" s="865"/>
      <c r="L429" s="865"/>
      <c r="M429" s="865"/>
      <c r="N429" s="865"/>
      <c r="O429" s="865"/>
      <c r="P429" s="865"/>
    </row>
    <row r="430" spans="1:16" ht="149.65" customHeight="1" x14ac:dyDescent="0.25">
      <c r="A430" s="675"/>
      <c r="B430" s="865" t="s">
        <v>329</v>
      </c>
      <c r="C430" s="865"/>
      <c r="D430" s="865"/>
      <c r="E430" s="865"/>
      <c r="F430" s="865" t="s">
        <v>1097</v>
      </c>
      <c r="G430" s="865"/>
      <c r="H430" s="865"/>
      <c r="I430" s="865"/>
      <c r="J430" s="865" t="s">
        <v>129</v>
      </c>
      <c r="K430" s="865"/>
      <c r="L430" s="865"/>
      <c r="M430" s="865"/>
      <c r="N430" s="865"/>
      <c r="O430" s="865"/>
      <c r="P430" s="865"/>
    </row>
    <row r="431" spans="1:16" x14ac:dyDescent="0.25">
      <c r="A431" s="676"/>
      <c r="B431" s="864" t="s">
        <v>330</v>
      </c>
      <c r="C431" s="864"/>
      <c r="D431" s="864"/>
      <c r="E431" s="864"/>
      <c r="F431" s="864" t="s">
        <v>129</v>
      </c>
      <c r="G431" s="864"/>
      <c r="H431" s="864"/>
      <c r="I431" s="864"/>
      <c r="J431" s="864" t="s">
        <v>129</v>
      </c>
      <c r="K431" s="864"/>
      <c r="L431" s="864"/>
      <c r="M431" s="864"/>
      <c r="N431" s="864"/>
      <c r="O431" s="864"/>
      <c r="P431" s="864"/>
    </row>
    <row r="432" spans="1:16" x14ac:dyDescent="0.25">
      <c r="A432" s="675"/>
      <c r="B432" s="865" t="s">
        <v>1028</v>
      </c>
      <c r="C432" s="865"/>
      <c r="D432" s="865"/>
      <c r="E432" s="865"/>
      <c r="F432" s="865" t="s">
        <v>1098</v>
      </c>
      <c r="G432" s="865"/>
      <c r="H432" s="865"/>
      <c r="I432" s="865"/>
      <c r="J432" s="865" t="s">
        <v>129</v>
      </c>
      <c r="K432" s="865"/>
      <c r="L432" s="865"/>
      <c r="M432" s="865"/>
      <c r="N432" s="865"/>
      <c r="O432" s="865"/>
      <c r="P432" s="865"/>
    </row>
    <row r="433" spans="1:16" ht="27.2" customHeight="1" x14ac:dyDescent="0.25">
      <c r="A433" s="675"/>
      <c r="B433" s="865" t="s">
        <v>1029</v>
      </c>
      <c r="C433" s="865"/>
      <c r="D433" s="865"/>
      <c r="E433" s="865"/>
      <c r="F433" s="865" t="s">
        <v>1099</v>
      </c>
      <c r="G433" s="865"/>
      <c r="H433" s="865"/>
      <c r="I433" s="865"/>
      <c r="J433" s="865" t="s">
        <v>129</v>
      </c>
      <c r="K433" s="865"/>
      <c r="L433" s="865"/>
      <c r="M433" s="865"/>
      <c r="N433" s="865"/>
      <c r="O433" s="865"/>
      <c r="P433" s="865"/>
    </row>
    <row r="434" spans="1:16" ht="27.2" customHeight="1" x14ac:dyDescent="0.25">
      <c r="A434" s="675"/>
      <c r="B434" s="865" t="s">
        <v>1061</v>
      </c>
      <c r="C434" s="865"/>
      <c r="D434" s="865"/>
      <c r="E434" s="865"/>
      <c r="F434" s="865" t="s">
        <v>1100</v>
      </c>
      <c r="G434" s="865"/>
      <c r="H434" s="865"/>
      <c r="I434" s="865"/>
      <c r="J434" s="865" t="s">
        <v>129</v>
      </c>
      <c r="K434" s="865"/>
      <c r="L434" s="865"/>
      <c r="M434" s="865"/>
      <c r="N434" s="865"/>
      <c r="O434" s="865"/>
      <c r="P434" s="865"/>
    </row>
    <row r="435" spans="1:16" ht="27.2" customHeight="1" x14ac:dyDescent="0.25">
      <c r="A435" s="675"/>
      <c r="B435" s="865" t="s">
        <v>1062</v>
      </c>
      <c r="C435" s="865"/>
      <c r="D435" s="865"/>
      <c r="E435" s="865"/>
      <c r="F435" s="865" t="s">
        <v>1101</v>
      </c>
      <c r="G435" s="865"/>
      <c r="H435" s="865"/>
      <c r="I435" s="865"/>
      <c r="J435" s="865" t="s">
        <v>129</v>
      </c>
      <c r="K435" s="865"/>
      <c r="L435" s="865"/>
      <c r="M435" s="865"/>
      <c r="N435" s="865"/>
      <c r="O435" s="865"/>
      <c r="P435" s="865"/>
    </row>
    <row r="436" spans="1:16" ht="27.2" customHeight="1" x14ac:dyDescent="0.25">
      <c r="A436" s="675"/>
      <c r="B436" s="865" t="s">
        <v>1063</v>
      </c>
      <c r="C436" s="865"/>
      <c r="D436" s="865"/>
      <c r="E436" s="865"/>
      <c r="F436" s="865" t="s">
        <v>1101</v>
      </c>
      <c r="G436" s="865"/>
      <c r="H436" s="865"/>
      <c r="I436" s="865"/>
      <c r="J436" s="865" t="s">
        <v>129</v>
      </c>
      <c r="K436" s="865"/>
      <c r="L436" s="865"/>
      <c r="M436" s="865"/>
      <c r="N436" s="865"/>
      <c r="O436" s="865"/>
      <c r="P436" s="865"/>
    </row>
    <row r="437" spans="1:16" ht="27.2" customHeight="1" x14ac:dyDescent="0.25">
      <c r="A437" s="675"/>
      <c r="B437" s="865" t="s">
        <v>1064</v>
      </c>
      <c r="C437" s="865"/>
      <c r="D437" s="865"/>
      <c r="E437" s="865"/>
      <c r="F437" s="865" t="s">
        <v>1102</v>
      </c>
      <c r="G437" s="865"/>
      <c r="H437" s="865"/>
      <c r="I437" s="865"/>
      <c r="J437" s="865" t="s">
        <v>129</v>
      </c>
      <c r="K437" s="865"/>
      <c r="L437" s="865"/>
      <c r="M437" s="865"/>
      <c r="N437" s="865"/>
      <c r="O437" s="865"/>
      <c r="P437" s="865"/>
    </row>
    <row r="438" spans="1:16" x14ac:dyDescent="0.25">
      <c r="A438" s="675"/>
      <c r="B438" s="865" t="s">
        <v>1065</v>
      </c>
      <c r="C438" s="865"/>
      <c r="D438" s="865"/>
      <c r="E438" s="865"/>
      <c r="F438" s="865" t="s">
        <v>1103</v>
      </c>
      <c r="G438" s="865"/>
      <c r="H438" s="865"/>
      <c r="I438" s="865"/>
      <c r="J438" s="865" t="s">
        <v>129</v>
      </c>
      <c r="K438" s="865"/>
      <c r="L438" s="865"/>
      <c r="M438" s="865"/>
      <c r="N438" s="865"/>
      <c r="O438" s="865"/>
      <c r="P438" s="865"/>
    </row>
    <row r="439" spans="1:16" ht="27.2" customHeight="1" x14ac:dyDescent="0.25">
      <c r="A439" s="675"/>
      <c r="B439" s="865" t="s">
        <v>1104</v>
      </c>
      <c r="C439" s="865"/>
      <c r="D439" s="865"/>
      <c r="E439" s="865"/>
      <c r="F439" s="865" t="s">
        <v>1105</v>
      </c>
      <c r="G439" s="865"/>
      <c r="H439" s="865"/>
      <c r="I439" s="865"/>
      <c r="J439" s="865" t="s">
        <v>129</v>
      </c>
      <c r="K439" s="865"/>
      <c r="L439" s="865"/>
      <c r="M439" s="865"/>
      <c r="N439" s="865"/>
      <c r="O439" s="865"/>
      <c r="P439" s="865"/>
    </row>
    <row r="440" spans="1:16" ht="27.2" customHeight="1" x14ac:dyDescent="0.25">
      <c r="A440" s="675"/>
      <c r="B440" s="865" t="s">
        <v>1106</v>
      </c>
      <c r="C440" s="865"/>
      <c r="D440" s="865"/>
      <c r="E440" s="865"/>
      <c r="F440" s="865" t="s">
        <v>1107</v>
      </c>
      <c r="G440" s="865"/>
      <c r="H440" s="865"/>
      <c r="I440" s="865"/>
      <c r="J440" s="865" t="s">
        <v>129</v>
      </c>
      <c r="K440" s="865"/>
      <c r="L440" s="865"/>
      <c r="M440" s="865"/>
      <c r="N440" s="865"/>
      <c r="O440" s="865"/>
      <c r="P440" s="865"/>
    </row>
    <row r="441" spans="1:16" ht="40.9" customHeight="1" x14ac:dyDescent="0.25">
      <c r="A441" s="675"/>
      <c r="B441" s="865" t="s">
        <v>1108</v>
      </c>
      <c r="C441" s="865"/>
      <c r="D441" s="865"/>
      <c r="E441" s="865"/>
      <c r="F441" s="865" t="s">
        <v>1107</v>
      </c>
      <c r="G441" s="865"/>
      <c r="H441" s="865"/>
      <c r="I441" s="865"/>
      <c r="J441" s="865" t="s">
        <v>129</v>
      </c>
      <c r="K441" s="865"/>
      <c r="L441" s="865"/>
      <c r="M441" s="865"/>
      <c r="N441" s="865"/>
      <c r="O441" s="865"/>
      <c r="P441" s="865"/>
    </row>
    <row r="442" spans="1:16" ht="54.4" customHeight="1" x14ac:dyDescent="0.25">
      <c r="A442" s="675"/>
      <c r="B442" s="865" t="s">
        <v>1109</v>
      </c>
      <c r="C442" s="865"/>
      <c r="D442" s="865"/>
      <c r="E442" s="865"/>
      <c r="F442" s="865" t="s">
        <v>1110</v>
      </c>
      <c r="G442" s="865"/>
      <c r="H442" s="865"/>
      <c r="I442" s="865"/>
      <c r="J442" s="865" t="s">
        <v>129</v>
      </c>
      <c r="K442" s="865"/>
      <c r="L442" s="865"/>
      <c r="M442" s="865"/>
      <c r="N442" s="865"/>
      <c r="O442" s="865"/>
      <c r="P442" s="865"/>
    </row>
    <row r="443" spans="1:16" ht="204" customHeight="1" x14ac:dyDescent="0.25">
      <c r="A443" s="674" t="s">
        <v>11</v>
      </c>
      <c r="B443" s="781" t="s">
        <v>2153</v>
      </c>
      <c r="C443" s="782"/>
      <c r="D443" s="782"/>
      <c r="E443" s="782"/>
      <c r="F443" s="782" t="s">
        <v>2152</v>
      </c>
      <c r="G443" s="782"/>
      <c r="H443" s="782"/>
      <c r="I443" s="782"/>
      <c r="J443" s="782" t="s">
        <v>2151</v>
      </c>
      <c r="K443" s="782"/>
      <c r="L443" s="782"/>
      <c r="M443" s="866">
        <f>ROUND((81700 + 9561 * 8) * 1 * 1.15 * 0.4 * 1.23333, 0)</f>
        <v>89745</v>
      </c>
      <c r="N443" s="782"/>
      <c r="O443" s="782" t="s">
        <v>2150</v>
      </c>
      <c r="P443" s="782"/>
    </row>
    <row r="444" spans="1:16" x14ac:dyDescent="0.25">
      <c r="A444" s="676"/>
      <c r="B444" s="864" t="s">
        <v>306</v>
      </c>
      <c r="C444" s="864"/>
      <c r="D444" s="864"/>
      <c r="E444" s="864"/>
      <c r="F444" s="864" t="s">
        <v>129</v>
      </c>
      <c r="G444" s="864"/>
      <c r="H444" s="864"/>
      <c r="I444" s="864"/>
      <c r="J444" s="864" t="s">
        <v>129</v>
      </c>
      <c r="K444" s="864"/>
      <c r="L444" s="864"/>
      <c r="M444" s="864"/>
      <c r="N444" s="864"/>
      <c r="O444" s="864"/>
      <c r="P444" s="864"/>
    </row>
    <row r="445" spans="1:16" x14ac:dyDescent="0.25">
      <c r="A445" s="675"/>
      <c r="B445" s="865" t="s">
        <v>325</v>
      </c>
      <c r="C445" s="865"/>
      <c r="D445" s="865"/>
      <c r="E445" s="865"/>
      <c r="F445" s="865" t="s">
        <v>326</v>
      </c>
      <c r="G445" s="865"/>
      <c r="H445" s="865"/>
      <c r="I445" s="865"/>
      <c r="J445" s="865" t="s">
        <v>129</v>
      </c>
      <c r="K445" s="865"/>
      <c r="L445" s="865"/>
      <c r="M445" s="865"/>
      <c r="N445" s="865"/>
      <c r="O445" s="865"/>
      <c r="P445" s="865"/>
    </row>
    <row r="446" spans="1:16" ht="40.9" customHeight="1" x14ac:dyDescent="0.25">
      <c r="A446" s="675"/>
      <c r="B446" s="865" t="s">
        <v>1265</v>
      </c>
      <c r="C446" s="865"/>
      <c r="D446" s="865"/>
      <c r="E446" s="865"/>
      <c r="F446" s="865" t="s">
        <v>1266</v>
      </c>
      <c r="G446" s="865"/>
      <c r="H446" s="865"/>
      <c r="I446" s="865"/>
      <c r="J446" s="865" t="s">
        <v>129</v>
      </c>
      <c r="K446" s="865"/>
      <c r="L446" s="865"/>
      <c r="M446" s="865"/>
      <c r="N446" s="865"/>
      <c r="O446" s="865"/>
      <c r="P446" s="865"/>
    </row>
    <row r="447" spans="1:16" ht="149.65" customHeight="1" x14ac:dyDescent="0.25">
      <c r="A447" s="675"/>
      <c r="B447" s="865" t="s">
        <v>329</v>
      </c>
      <c r="C447" s="865"/>
      <c r="D447" s="865"/>
      <c r="E447" s="865"/>
      <c r="F447" s="865" t="s">
        <v>1154</v>
      </c>
      <c r="G447" s="865"/>
      <c r="H447" s="865"/>
      <c r="I447" s="865"/>
      <c r="J447" s="865" t="s">
        <v>129</v>
      </c>
      <c r="K447" s="865"/>
      <c r="L447" s="865"/>
      <c r="M447" s="865"/>
      <c r="N447" s="865"/>
      <c r="O447" s="865"/>
      <c r="P447" s="865"/>
    </row>
    <row r="448" spans="1:16" x14ac:dyDescent="0.25">
      <c r="A448" s="676"/>
      <c r="B448" s="864" t="s">
        <v>330</v>
      </c>
      <c r="C448" s="864"/>
      <c r="D448" s="864"/>
      <c r="E448" s="864"/>
      <c r="F448" s="864" t="s">
        <v>129</v>
      </c>
      <c r="G448" s="864"/>
      <c r="H448" s="864"/>
      <c r="I448" s="864"/>
      <c r="J448" s="864" t="s">
        <v>129</v>
      </c>
      <c r="K448" s="864"/>
      <c r="L448" s="864"/>
      <c r="M448" s="864"/>
      <c r="N448" s="864"/>
      <c r="O448" s="864"/>
      <c r="P448" s="864"/>
    </row>
    <row r="449" spans="1:16" x14ac:dyDescent="0.25">
      <c r="A449" s="675"/>
      <c r="B449" s="865" t="s">
        <v>1028</v>
      </c>
      <c r="C449" s="865"/>
      <c r="D449" s="865"/>
      <c r="E449" s="865"/>
      <c r="F449" s="865" t="s">
        <v>2149</v>
      </c>
      <c r="G449" s="865"/>
      <c r="H449" s="865"/>
      <c r="I449" s="865"/>
      <c r="J449" s="865" t="s">
        <v>129</v>
      </c>
      <c r="K449" s="865"/>
      <c r="L449" s="865"/>
      <c r="M449" s="865"/>
      <c r="N449" s="865"/>
      <c r="O449" s="865"/>
      <c r="P449" s="865"/>
    </row>
    <row r="450" spans="1:16" ht="27.2" customHeight="1" x14ac:dyDescent="0.25">
      <c r="A450" s="675"/>
      <c r="B450" s="865" t="s">
        <v>2130</v>
      </c>
      <c r="C450" s="865"/>
      <c r="D450" s="865"/>
      <c r="E450" s="865"/>
      <c r="F450" s="865" t="s">
        <v>2148</v>
      </c>
      <c r="G450" s="865"/>
      <c r="H450" s="865"/>
      <c r="I450" s="865"/>
      <c r="J450" s="865" t="s">
        <v>129</v>
      </c>
      <c r="K450" s="865"/>
      <c r="L450" s="865"/>
      <c r="M450" s="865"/>
      <c r="N450" s="865"/>
      <c r="O450" s="865"/>
      <c r="P450" s="865"/>
    </row>
    <row r="451" spans="1:16" x14ac:dyDescent="0.25">
      <c r="A451" s="675"/>
      <c r="B451" s="865" t="s">
        <v>1224</v>
      </c>
      <c r="C451" s="865"/>
      <c r="D451" s="865"/>
      <c r="E451" s="865"/>
      <c r="F451" s="865" t="s">
        <v>2147</v>
      </c>
      <c r="G451" s="865"/>
      <c r="H451" s="865"/>
      <c r="I451" s="865"/>
      <c r="J451" s="865" t="s">
        <v>129</v>
      </c>
      <c r="K451" s="865"/>
      <c r="L451" s="865"/>
      <c r="M451" s="865"/>
      <c r="N451" s="865"/>
      <c r="O451" s="865"/>
      <c r="P451" s="865"/>
    </row>
    <row r="452" spans="1:16" ht="27.2" customHeight="1" x14ac:dyDescent="0.25">
      <c r="A452" s="675"/>
      <c r="B452" s="865" t="s">
        <v>1160</v>
      </c>
      <c r="C452" s="865"/>
      <c r="D452" s="865"/>
      <c r="E452" s="865"/>
      <c r="F452" s="865" t="s">
        <v>2146</v>
      </c>
      <c r="G452" s="865"/>
      <c r="H452" s="865"/>
      <c r="I452" s="865"/>
      <c r="J452" s="865" t="s">
        <v>129</v>
      </c>
      <c r="K452" s="865"/>
      <c r="L452" s="865"/>
      <c r="M452" s="865"/>
      <c r="N452" s="865"/>
      <c r="O452" s="865"/>
      <c r="P452" s="865"/>
    </row>
    <row r="453" spans="1:16" ht="27.2" customHeight="1" x14ac:dyDescent="0.25">
      <c r="A453" s="675"/>
      <c r="B453" s="865" t="s">
        <v>2127</v>
      </c>
      <c r="C453" s="865"/>
      <c r="D453" s="865"/>
      <c r="E453" s="865"/>
      <c r="F453" s="865" t="s">
        <v>2146</v>
      </c>
      <c r="G453" s="865"/>
      <c r="H453" s="865"/>
      <c r="I453" s="865"/>
      <c r="J453" s="865" t="s">
        <v>129</v>
      </c>
      <c r="K453" s="865"/>
      <c r="L453" s="865"/>
      <c r="M453" s="865"/>
      <c r="N453" s="865"/>
      <c r="O453" s="865"/>
      <c r="P453" s="865"/>
    </row>
    <row r="454" spans="1:16" x14ac:dyDescent="0.25">
      <c r="A454" s="675"/>
      <c r="B454" s="865" t="s">
        <v>1192</v>
      </c>
      <c r="C454" s="865"/>
      <c r="D454" s="865"/>
      <c r="E454" s="865"/>
      <c r="F454" s="865" t="s">
        <v>2145</v>
      </c>
      <c r="G454" s="865"/>
      <c r="H454" s="865"/>
      <c r="I454" s="865"/>
      <c r="J454" s="865" t="s">
        <v>129</v>
      </c>
      <c r="K454" s="865"/>
      <c r="L454" s="865"/>
      <c r="M454" s="865"/>
      <c r="N454" s="865"/>
      <c r="O454" s="865"/>
      <c r="P454" s="865"/>
    </row>
    <row r="455" spans="1:16" ht="231.2" customHeight="1" x14ac:dyDescent="0.25">
      <c r="A455" s="674" t="s">
        <v>159</v>
      </c>
      <c r="B455" s="781" t="s">
        <v>2135</v>
      </c>
      <c r="C455" s="782"/>
      <c r="D455" s="782"/>
      <c r="E455" s="782"/>
      <c r="F455" s="782" t="s">
        <v>2134</v>
      </c>
      <c r="G455" s="782"/>
      <c r="H455" s="782"/>
      <c r="I455" s="782"/>
      <c r="J455" s="782" t="s">
        <v>2133</v>
      </c>
      <c r="K455" s="782"/>
      <c r="L455" s="782"/>
      <c r="M455" s="866">
        <f>ROUND((62100 + 13486 * 4) * 1 * 1.15 * 0.4 * 1.23333, 0)</f>
        <v>65835</v>
      </c>
      <c r="N455" s="782"/>
      <c r="O455" s="782" t="s">
        <v>2144</v>
      </c>
      <c r="P455" s="782"/>
    </row>
    <row r="456" spans="1:16" x14ac:dyDescent="0.25">
      <c r="A456" s="676"/>
      <c r="B456" s="864" t="s">
        <v>306</v>
      </c>
      <c r="C456" s="864"/>
      <c r="D456" s="864"/>
      <c r="E456" s="864"/>
      <c r="F456" s="864" t="s">
        <v>129</v>
      </c>
      <c r="G456" s="864"/>
      <c r="H456" s="864"/>
      <c r="I456" s="864"/>
      <c r="J456" s="864" t="s">
        <v>129</v>
      </c>
      <c r="K456" s="864"/>
      <c r="L456" s="864"/>
      <c r="M456" s="864"/>
      <c r="N456" s="864"/>
      <c r="O456" s="864"/>
      <c r="P456" s="864"/>
    </row>
    <row r="457" spans="1:16" x14ac:dyDescent="0.25">
      <c r="A457" s="675"/>
      <c r="B457" s="865" t="s">
        <v>325</v>
      </c>
      <c r="C457" s="865"/>
      <c r="D457" s="865"/>
      <c r="E457" s="865"/>
      <c r="F457" s="865" t="s">
        <v>326</v>
      </c>
      <c r="G457" s="865"/>
      <c r="H457" s="865"/>
      <c r="I457" s="865"/>
      <c r="J457" s="865" t="s">
        <v>129</v>
      </c>
      <c r="K457" s="865"/>
      <c r="L457" s="865"/>
      <c r="M457" s="865"/>
      <c r="N457" s="865"/>
      <c r="O457" s="865"/>
      <c r="P457" s="865"/>
    </row>
    <row r="458" spans="1:16" ht="40.9" customHeight="1" x14ac:dyDescent="0.25">
      <c r="A458" s="675"/>
      <c r="B458" s="865" t="s">
        <v>1265</v>
      </c>
      <c r="C458" s="865"/>
      <c r="D458" s="865"/>
      <c r="E458" s="865"/>
      <c r="F458" s="865" t="s">
        <v>1266</v>
      </c>
      <c r="G458" s="865"/>
      <c r="H458" s="865"/>
      <c r="I458" s="865"/>
      <c r="J458" s="865" t="s">
        <v>129</v>
      </c>
      <c r="K458" s="865"/>
      <c r="L458" s="865"/>
      <c r="M458" s="865"/>
      <c r="N458" s="865"/>
      <c r="O458" s="865"/>
      <c r="P458" s="865"/>
    </row>
    <row r="459" spans="1:16" ht="149.65" customHeight="1" x14ac:dyDescent="0.25">
      <c r="A459" s="675"/>
      <c r="B459" s="865" t="s">
        <v>329</v>
      </c>
      <c r="C459" s="865"/>
      <c r="D459" s="865"/>
      <c r="E459" s="865"/>
      <c r="F459" s="865" t="s">
        <v>1154</v>
      </c>
      <c r="G459" s="865"/>
      <c r="H459" s="865"/>
      <c r="I459" s="865"/>
      <c r="J459" s="865" t="s">
        <v>129</v>
      </c>
      <c r="K459" s="865"/>
      <c r="L459" s="865"/>
      <c r="M459" s="865"/>
      <c r="N459" s="865"/>
      <c r="O459" s="865"/>
      <c r="P459" s="865"/>
    </row>
    <row r="460" spans="1:16" x14ac:dyDescent="0.25">
      <c r="A460" s="676"/>
      <c r="B460" s="864" t="s">
        <v>330</v>
      </c>
      <c r="C460" s="864"/>
      <c r="D460" s="864"/>
      <c r="E460" s="864"/>
      <c r="F460" s="864" t="s">
        <v>129</v>
      </c>
      <c r="G460" s="864"/>
      <c r="H460" s="864"/>
      <c r="I460" s="864"/>
      <c r="J460" s="864" t="s">
        <v>129</v>
      </c>
      <c r="K460" s="864"/>
      <c r="L460" s="864"/>
      <c r="M460" s="864"/>
      <c r="N460" s="864"/>
      <c r="O460" s="864"/>
      <c r="P460" s="864"/>
    </row>
    <row r="461" spans="1:16" x14ac:dyDescent="0.25">
      <c r="A461" s="675"/>
      <c r="B461" s="865" t="s">
        <v>1028</v>
      </c>
      <c r="C461" s="865"/>
      <c r="D461" s="865"/>
      <c r="E461" s="865"/>
      <c r="F461" s="865" t="s">
        <v>2131</v>
      </c>
      <c r="G461" s="865"/>
      <c r="H461" s="865"/>
      <c r="I461" s="865"/>
      <c r="J461" s="865" t="s">
        <v>129</v>
      </c>
      <c r="K461" s="865"/>
      <c r="L461" s="865"/>
      <c r="M461" s="865"/>
      <c r="N461" s="865"/>
      <c r="O461" s="865"/>
      <c r="P461" s="865"/>
    </row>
    <row r="462" spans="1:16" ht="27.2" customHeight="1" x14ac:dyDescent="0.25">
      <c r="A462" s="675"/>
      <c r="B462" s="865" t="s">
        <v>2130</v>
      </c>
      <c r="C462" s="865"/>
      <c r="D462" s="865"/>
      <c r="E462" s="865"/>
      <c r="F462" s="865" t="s">
        <v>2129</v>
      </c>
      <c r="G462" s="865"/>
      <c r="H462" s="865"/>
      <c r="I462" s="865"/>
      <c r="J462" s="865" t="s">
        <v>129</v>
      </c>
      <c r="K462" s="865"/>
      <c r="L462" s="865"/>
      <c r="M462" s="865"/>
      <c r="N462" s="865"/>
      <c r="O462" s="865"/>
      <c r="P462" s="865"/>
    </row>
    <row r="463" spans="1:16" x14ac:dyDescent="0.25">
      <c r="A463" s="675"/>
      <c r="B463" s="865" t="s">
        <v>1224</v>
      </c>
      <c r="C463" s="865"/>
      <c r="D463" s="865"/>
      <c r="E463" s="865"/>
      <c r="F463" s="865" t="s">
        <v>2128</v>
      </c>
      <c r="G463" s="865"/>
      <c r="H463" s="865"/>
      <c r="I463" s="865"/>
      <c r="J463" s="865" t="s">
        <v>129</v>
      </c>
      <c r="K463" s="865"/>
      <c r="L463" s="865"/>
      <c r="M463" s="865"/>
      <c r="N463" s="865"/>
      <c r="O463" s="865"/>
      <c r="P463" s="865"/>
    </row>
    <row r="464" spans="1:16" ht="27.2" customHeight="1" x14ac:dyDescent="0.25">
      <c r="A464" s="675"/>
      <c r="B464" s="865" t="s">
        <v>1160</v>
      </c>
      <c r="C464" s="865"/>
      <c r="D464" s="865"/>
      <c r="E464" s="865"/>
      <c r="F464" s="865" t="s">
        <v>2126</v>
      </c>
      <c r="G464" s="865"/>
      <c r="H464" s="865"/>
      <c r="I464" s="865"/>
      <c r="J464" s="865" t="s">
        <v>129</v>
      </c>
      <c r="K464" s="865"/>
      <c r="L464" s="865"/>
      <c r="M464" s="865"/>
      <c r="N464" s="865"/>
      <c r="O464" s="865"/>
      <c r="P464" s="865"/>
    </row>
    <row r="465" spans="1:16" ht="27.2" customHeight="1" x14ac:dyDescent="0.25">
      <c r="A465" s="675"/>
      <c r="B465" s="865" t="s">
        <v>2127</v>
      </c>
      <c r="C465" s="865"/>
      <c r="D465" s="865"/>
      <c r="E465" s="865"/>
      <c r="F465" s="865" t="s">
        <v>2126</v>
      </c>
      <c r="G465" s="865"/>
      <c r="H465" s="865"/>
      <c r="I465" s="865"/>
      <c r="J465" s="865" t="s">
        <v>129</v>
      </c>
      <c r="K465" s="865"/>
      <c r="L465" s="865"/>
      <c r="M465" s="865"/>
      <c r="N465" s="865"/>
      <c r="O465" s="865"/>
      <c r="P465" s="865"/>
    </row>
    <row r="466" spans="1:16" x14ac:dyDescent="0.25">
      <c r="A466" s="675"/>
      <c r="B466" s="865" t="s">
        <v>1192</v>
      </c>
      <c r="C466" s="865"/>
      <c r="D466" s="865"/>
      <c r="E466" s="865"/>
      <c r="F466" s="865" t="s">
        <v>2125</v>
      </c>
      <c r="G466" s="865"/>
      <c r="H466" s="865"/>
      <c r="I466" s="865"/>
      <c r="J466" s="865" t="s">
        <v>129</v>
      </c>
      <c r="K466" s="865"/>
      <c r="L466" s="865"/>
      <c r="M466" s="865"/>
      <c r="N466" s="865"/>
      <c r="O466" s="865"/>
      <c r="P466" s="865"/>
    </row>
    <row r="467" spans="1:16" ht="258.39999999999998" customHeight="1" x14ac:dyDescent="0.25">
      <c r="A467" s="674" t="s">
        <v>160</v>
      </c>
      <c r="B467" s="781" t="s">
        <v>2135</v>
      </c>
      <c r="C467" s="782"/>
      <c r="D467" s="782"/>
      <c r="E467" s="782"/>
      <c r="F467" s="782" t="s">
        <v>2134</v>
      </c>
      <c r="G467" s="782"/>
      <c r="H467" s="782"/>
      <c r="I467" s="782"/>
      <c r="J467" s="782" t="s">
        <v>2143</v>
      </c>
      <c r="K467" s="782"/>
      <c r="L467" s="782"/>
      <c r="M467" s="866">
        <f>ROUND((62100 + 13486 * 4) * 1 * 1.15 * 0.4 * 2.4 * 1.23333, 0)</f>
        <v>158005</v>
      </c>
      <c r="N467" s="782"/>
      <c r="O467" s="782" t="s">
        <v>2142</v>
      </c>
      <c r="P467" s="782"/>
    </row>
    <row r="468" spans="1:16" x14ac:dyDescent="0.25">
      <c r="A468" s="676"/>
      <c r="B468" s="864" t="s">
        <v>306</v>
      </c>
      <c r="C468" s="864"/>
      <c r="D468" s="864"/>
      <c r="E468" s="864"/>
      <c r="F468" s="864" t="s">
        <v>129</v>
      </c>
      <c r="G468" s="864"/>
      <c r="H468" s="864"/>
      <c r="I468" s="864"/>
      <c r="J468" s="864" t="s">
        <v>129</v>
      </c>
      <c r="K468" s="864"/>
      <c r="L468" s="864"/>
      <c r="M468" s="864"/>
      <c r="N468" s="864"/>
      <c r="O468" s="864"/>
      <c r="P468" s="864"/>
    </row>
    <row r="469" spans="1:16" x14ac:dyDescent="0.25">
      <c r="A469" s="675"/>
      <c r="B469" s="865" t="s">
        <v>325</v>
      </c>
      <c r="C469" s="865"/>
      <c r="D469" s="865"/>
      <c r="E469" s="865"/>
      <c r="F469" s="865" t="s">
        <v>326</v>
      </c>
      <c r="G469" s="865"/>
      <c r="H469" s="865"/>
      <c r="I469" s="865"/>
      <c r="J469" s="865" t="s">
        <v>129</v>
      </c>
      <c r="K469" s="865"/>
      <c r="L469" s="865"/>
      <c r="M469" s="865"/>
      <c r="N469" s="865"/>
      <c r="O469" s="865"/>
      <c r="P469" s="865"/>
    </row>
    <row r="470" spans="1:16" ht="40.9" customHeight="1" x14ac:dyDescent="0.25">
      <c r="A470" s="675"/>
      <c r="B470" s="865" t="s">
        <v>1265</v>
      </c>
      <c r="C470" s="865"/>
      <c r="D470" s="865"/>
      <c r="E470" s="865"/>
      <c r="F470" s="865" t="s">
        <v>1266</v>
      </c>
      <c r="G470" s="865"/>
      <c r="H470" s="865"/>
      <c r="I470" s="865"/>
      <c r="J470" s="865" t="s">
        <v>129</v>
      </c>
      <c r="K470" s="865"/>
      <c r="L470" s="865"/>
      <c r="M470" s="865"/>
      <c r="N470" s="865"/>
      <c r="O470" s="865"/>
      <c r="P470" s="865"/>
    </row>
    <row r="471" spans="1:16" ht="135.94999999999999" customHeight="1" x14ac:dyDescent="0.25">
      <c r="A471" s="675"/>
      <c r="B471" s="865" t="s">
        <v>1835</v>
      </c>
      <c r="C471" s="865"/>
      <c r="D471" s="865"/>
      <c r="E471" s="865"/>
      <c r="F471" s="865" t="s">
        <v>2141</v>
      </c>
      <c r="G471" s="865"/>
      <c r="H471" s="865"/>
      <c r="I471" s="865"/>
      <c r="J471" s="865" t="s">
        <v>129</v>
      </c>
      <c r="K471" s="865"/>
      <c r="L471" s="865"/>
      <c r="M471" s="865"/>
      <c r="N471" s="865"/>
      <c r="O471" s="865"/>
      <c r="P471" s="865"/>
    </row>
    <row r="472" spans="1:16" ht="149.65" customHeight="1" x14ac:dyDescent="0.25">
      <c r="A472" s="675"/>
      <c r="B472" s="865" t="s">
        <v>329</v>
      </c>
      <c r="C472" s="865"/>
      <c r="D472" s="865"/>
      <c r="E472" s="865"/>
      <c r="F472" s="865" t="s">
        <v>340</v>
      </c>
      <c r="G472" s="865"/>
      <c r="H472" s="865"/>
      <c r="I472" s="865"/>
      <c r="J472" s="865" t="s">
        <v>129</v>
      </c>
      <c r="K472" s="865"/>
      <c r="L472" s="865"/>
      <c r="M472" s="865"/>
      <c r="N472" s="865"/>
      <c r="O472" s="865"/>
      <c r="P472" s="865"/>
    </row>
    <row r="473" spans="1:16" x14ac:dyDescent="0.25">
      <c r="A473" s="676"/>
      <c r="B473" s="864" t="s">
        <v>330</v>
      </c>
      <c r="C473" s="864"/>
      <c r="D473" s="864"/>
      <c r="E473" s="864"/>
      <c r="F473" s="864" t="s">
        <v>129</v>
      </c>
      <c r="G473" s="864"/>
      <c r="H473" s="864"/>
      <c r="I473" s="864"/>
      <c r="J473" s="864" t="s">
        <v>129</v>
      </c>
      <c r="K473" s="864"/>
      <c r="L473" s="864"/>
      <c r="M473" s="864"/>
      <c r="N473" s="864"/>
      <c r="O473" s="864"/>
      <c r="P473" s="864"/>
    </row>
    <row r="474" spans="1:16" x14ac:dyDescent="0.25">
      <c r="A474" s="675"/>
      <c r="B474" s="865" t="s">
        <v>1028</v>
      </c>
      <c r="C474" s="865"/>
      <c r="D474" s="865"/>
      <c r="E474" s="865"/>
      <c r="F474" s="865" t="s">
        <v>2140</v>
      </c>
      <c r="G474" s="865"/>
      <c r="H474" s="865"/>
      <c r="I474" s="865"/>
      <c r="J474" s="865" t="s">
        <v>129</v>
      </c>
      <c r="K474" s="865"/>
      <c r="L474" s="865"/>
      <c r="M474" s="865"/>
      <c r="N474" s="865"/>
      <c r="O474" s="865"/>
      <c r="P474" s="865"/>
    </row>
    <row r="475" spans="1:16" ht="27.2" customHeight="1" x14ac:dyDescent="0.25">
      <c r="A475" s="675"/>
      <c r="B475" s="865" t="s">
        <v>2130</v>
      </c>
      <c r="C475" s="865"/>
      <c r="D475" s="865"/>
      <c r="E475" s="865"/>
      <c r="F475" s="865" t="s">
        <v>2139</v>
      </c>
      <c r="G475" s="865"/>
      <c r="H475" s="865"/>
      <c r="I475" s="865"/>
      <c r="J475" s="865" t="s">
        <v>129</v>
      </c>
      <c r="K475" s="865"/>
      <c r="L475" s="865"/>
      <c r="M475" s="865"/>
      <c r="N475" s="865"/>
      <c r="O475" s="865"/>
      <c r="P475" s="865"/>
    </row>
    <row r="476" spans="1:16" x14ac:dyDescent="0.25">
      <c r="A476" s="675"/>
      <c r="B476" s="865" t="s">
        <v>1224</v>
      </c>
      <c r="C476" s="865"/>
      <c r="D476" s="865"/>
      <c r="E476" s="865"/>
      <c r="F476" s="865" t="s">
        <v>2138</v>
      </c>
      <c r="G476" s="865"/>
      <c r="H476" s="865"/>
      <c r="I476" s="865"/>
      <c r="J476" s="865" t="s">
        <v>129</v>
      </c>
      <c r="K476" s="865"/>
      <c r="L476" s="865"/>
      <c r="M476" s="865"/>
      <c r="N476" s="865"/>
      <c r="O476" s="865"/>
      <c r="P476" s="865"/>
    </row>
    <row r="477" spans="1:16" ht="27.2" customHeight="1" x14ac:dyDescent="0.25">
      <c r="A477" s="675"/>
      <c r="B477" s="865" t="s">
        <v>1160</v>
      </c>
      <c r="C477" s="865"/>
      <c r="D477" s="865"/>
      <c r="E477" s="865"/>
      <c r="F477" s="865" t="s">
        <v>2137</v>
      </c>
      <c r="G477" s="865"/>
      <c r="H477" s="865"/>
      <c r="I477" s="865"/>
      <c r="J477" s="865" t="s">
        <v>129</v>
      </c>
      <c r="K477" s="865"/>
      <c r="L477" s="865"/>
      <c r="M477" s="865"/>
      <c r="N477" s="865"/>
      <c r="O477" s="865"/>
      <c r="P477" s="865"/>
    </row>
    <row r="478" spans="1:16" ht="27.2" customHeight="1" x14ac:dyDescent="0.25">
      <c r="A478" s="675"/>
      <c r="B478" s="865" t="s">
        <v>2127</v>
      </c>
      <c r="C478" s="865"/>
      <c r="D478" s="865"/>
      <c r="E478" s="865"/>
      <c r="F478" s="865" t="s">
        <v>2137</v>
      </c>
      <c r="G478" s="865"/>
      <c r="H478" s="865"/>
      <c r="I478" s="865"/>
      <c r="J478" s="865" t="s">
        <v>129</v>
      </c>
      <c r="K478" s="865"/>
      <c r="L478" s="865"/>
      <c r="M478" s="865"/>
      <c r="N478" s="865"/>
      <c r="O478" s="865"/>
      <c r="P478" s="865"/>
    </row>
    <row r="479" spans="1:16" x14ac:dyDescent="0.25">
      <c r="A479" s="675"/>
      <c r="B479" s="865" t="s">
        <v>1192</v>
      </c>
      <c r="C479" s="865"/>
      <c r="D479" s="865"/>
      <c r="E479" s="865"/>
      <c r="F479" s="865" t="s">
        <v>2136</v>
      </c>
      <c r="G479" s="865"/>
      <c r="H479" s="865"/>
      <c r="I479" s="865"/>
      <c r="J479" s="865" t="s">
        <v>129</v>
      </c>
      <c r="K479" s="865"/>
      <c r="L479" s="865"/>
      <c r="M479" s="865"/>
      <c r="N479" s="865"/>
      <c r="O479" s="865"/>
      <c r="P479" s="865"/>
    </row>
    <row r="480" spans="1:16" ht="272.10000000000002" customHeight="1" x14ac:dyDescent="0.25">
      <c r="A480" s="674" t="s">
        <v>161</v>
      </c>
      <c r="B480" s="781" t="s">
        <v>2135</v>
      </c>
      <c r="C480" s="782"/>
      <c r="D480" s="782"/>
      <c r="E480" s="782"/>
      <c r="F480" s="782" t="s">
        <v>2134</v>
      </c>
      <c r="G480" s="782"/>
      <c r="H480" s="782"/>
      <c r="I480" s="782"/>
      <c r="J480" s="782" t="s">
        <v>2133</v>
      </c>
      <c r="K480" s="782"/>
      <c r="L480" s="782"/>
      <c r="M480" s="866">
        <f>ROUND((62100 + 13486 * 4) * 1 * 1.15 * 0.4 * 1.23333, 0)</f>
        <v>65835</v>
      </c>
      <c r="N480" s="782"/>
      <c r="O480" s="782" t="s">
        <v>2132</v>
      </c>
      <c r="P480" s="782"/>
    </row>
    <row r="481" spans="1:16" x14ac:dyDescent="0.25">
      <c r="A481" s="676"/>
      <c r="B481" s="864" t="s">
        <v>306</v>
      </c>
      <c r="C481" s="864"/>
      <c r="D481" s="864"/>
      <c r="E481" s="864"/>
      <c r="F481" s="864" t="s">
        <v>129</v>
      </c>
      <c r="G481" s="864"/>
      <c r="H481" s="864"/>
      <c r="I481" s="864"/>
      <c r="J481" s="864" t="s">
        <v>129</v>
      </c>
      <c r="K481" s="864"/>
      <c r="L481" s="864"/>
      <c r="M481" s="864"/>
      <c r="N481" s="864"/>
      <c r="O481" s="864"/>
      <c r="P481" s="864"/>
    </row>
    <row r="482" spans="1:16" x14ac:dyDescent="0.25">
      <c r="A482" s="675"/>
      <c r="B482" s="865" t="s">
        <v>325</v>
      </c>
      <c r="C482" s="865"/>
      <c r="D482" s="865"/>
      <c r="E482" s="865"/>
      <c r="F482" s="865" t="s">
        <v>326</v>
      </c>
      <c r="G482" s="865"/>
      <c r="H482" s="865"/>
      <c r="I482" s="865"/>
      <c r="J482" s="865" t="s">
        <v>129</v>
      </c>
      <c r="K482" s="865"/>
      <c r="L482" s="865"/>
      <c r="M482" s="865"/>
      <c r="N482" s="865"/>
      <c r="O482" s="865"/>
      <c r="P482" s="865"/>
    </row>
    <row r="483" spans="1:16" ht="40.9" customHeight="1" x14ac:dyDescent="0.25">
      <c r="A483" s="675"/>
      <c r="B483" s="865" t="s">
        <v>1265</v>
      </c>
      <c r="C483" s="865"/>
      <c r="D483" s="865"/>
      <c r="E483" s="865"/>
      <c r="F483" s="865" t="s">
        <v>1266</v>
      </c>
      <c r="G483" s="865"/>
      <c r="H483" s="865"/>
      <c r="I483" s="865"/>
      <c r="J483" s="865" t="s">
        <v>129</v>
      </c>
      <c r="K483" s="865"/>
      <c r="L483" s="865"/>
      <c r="M483" s="865"/>
      <c r="N483" s="865"/>
      <c r="O483" s="865"/>
      <c r="P483" s="865"/>
    </row>
    <row r="484" spans="1:16" ht="149.65" customHeight="1" x14ac:dyDescent="0.25">
      <c r="A484" s="675"/>
      <c r="B484" s="865" t="s">
        <v>329</v>
      </c>
      <c r="C484" s="865"/>
      <c r="D484" s="865"/>
      <c r="E484" s="865"/>
      <c r="F484" s="865" t="s">
        <v>1154</v>
      </c>
      <c r="G484" s="865"/>
      <c r="H484" s="865"/>
      <c r="I484" s="865"/>
      <c r="J484" s="865" t="s">
        <v>129</v>
      </c>
      <c r="K484" s="865"/>
      <c r="L484" s="865"/>
      <c r="M484" s="865"/>
      <c r="N484" s="865"/>
      <c r="O484" s="865"/>
      <c r="P484" s="865"/>
    </row>
    <row r="485" spans="1:16" x14ac:dyDescent="0.25">
      <c r="A485" s="676"/>
      <c r="B485" s="864" t="s">
        <v>330</v>
      </c>
      <c r="C485" s="864"/>
      <c r="D485" s="864"/>
      <c r="E485" s="864"/>
      <c r="F485" s="864" t="s">
        <v>129</v>
      </c>
      <c r="G485" s="864"/>
      <c r="H485" s="864"/>
      <c r="I485" s="864"/>
      <c r="J485" s="864" t="s">
        <v>129</v>
      </c>
      <c r="K485" s="864"/>
      <c r="L485" s="864"/>
      <c r="M485" s="864"/>
      <c r="N485" s="864"/>
      <c r="O485" s="864"/>
      <c r="P485" s="864"/>
    </row>
    <row r="486" spans="1:16" x14ac:dyDescent="0.25">
      <c r="A486" s="675"/>
      <c r="B486" s="865" t="s">
        <v>1028</v>
      </c>
      <c r="C486" s="865"/>
      <c r="D486" s="865"/>
      <c r="E486" s="865"/>
      <c r="F486" s="865" t="s">
        <v>2131</v>
      </c>
      <c r="G486" s="865"/>
      <c r="H486" s="865"/>
      <c r="I486" s="865"/>
      <c r="J486" s="865" t="s">
        <v>129</v>
      </c>
      <c r="K486" s="865"/>
      <c r="L486" s="865"/>
      <c r="M486" s="865"/>
      <c r="N486" s="865"/>
      <c r="O486" s="865"/>
      <c r="P486" s="865"/>
    </row>
    <row r="487" spans="1:16" ht="27.2" customHeight="1" x14ac:dyDescent="0.25">
      <c r="A487" s="675"/>
      <c r="B487" s="865" t="s">
        <v>2130</v>
      </c>
      <c r="C487" s="865"/>
      <c r="D487" s="865"/>
      <c r="E487" s="865"/>
      <c r="F487" s="865" t="s">
        <v>2129</v>
      </c>
      <c r="G487" s="865"/>
      <c r="H487" s="865"/>
      <c r="I487" s="865"/>
      <c r="J487" s="865" t="s">
        <v>129</v>
      </c>
      <c r="K487" s="865"/>
      <c r="L487" s="865"/>
      <c r="M487" s="865"/>
      <c r="N487" s="865"/>
      <c r="O487" s="865"/>
      <c r="P487" s="865"/>
    </row>
    <row r="488" spans="1:16" x14ac:dyDescent="0.25">
      <c r="A488" s="675"/>
      <c r="B488" s="865" t="s">
        <v>1224</v>
      </c>
      <c r="C488" s="865"/>
      <c r="D488" s="865"/>
      <c r="E488" s="865"/>
      <c r="F488" s="865" t="s">
        <v>2128</v>
      </c>
      <c r="G488" s="865"/>
      <c r="H488" s="865"/>
      <c r="I488" s="865"/>
      <c r="J488" s="865" t="s">
        <v>129</v>
      </c>
      <c r="K488" s="865"/>
      <c r="L488" s="865"/>
      <c r="M488" s="865"/>
      <c r="N488" s="865"/>
      <c r="O488" s="865"/>
      <c r="P488" s="865"/>
    </row>
    <row r="489" spans="1:16" ht="27.2" customHeight="1" x14ac:dyDescent="0.25">
      <c r="A489" s="675"/>
      <c r="B489" s="865" t="s">
        <v>1160</v>
      </c>
      <c r="C489" s="865"/>
      <c r="D489" s="865"/>
      <c r="E489" s="865"/>
      <c r="F489" s="865" t="s">
        <v>2126</v>
      </c>
      <c r="G489" s="865"/>
      <c r="H489" s="865"/>
      <c r="I489" s="865"/>
      <c r="J489" s="865" t="s">
        <v>129</v>
      </c>
      <c r="K489" s="865"/>
      <c r="L489" s="865"/>
      <c r="M489" s="865"/>
      <c r="N489" s="865"/>
      <c r="O489" s="865"/>
      <c r="P489" s="865"/>
    </row>
    <row r="490" spans="1:16" ht="27.2" customHeight="1" x14ac:dyDescent="0.25">
      <c r="A490" s="675"/>
      <c r="B490" s="865" t="s">
        <v>2127</v>
      </c>
      <c r="C490" s="865"/>
      <c r="D490" s="865"/>
      <c r="E490" s="865"/>
      <c r="F490" s="865" t="s">
        <v>2126</v>
      </c>
      <c r="G490" s="865"/>
      <c r="H490" s="865"/>
      <c r="I490" s="865"/>
      <c r="J490" s="865" t="s">
        <v>129</v>
      </c>
      <c r="K490" s="865"/>
      <c r="L490" s="865"/>
      <c r="M490" s="865"/>
      <c r="N490" s="865"/>
      <c r="O490" s="865"/>
      <c r="P490" s="865"/>
    </row>
    <row r="491" spans="1:16" x14ac:dyDescent="0.25">
      <c r="A491" s="675"/>
      <c r="B491" s="865" t="s">
        <v>1192</v>
      </c>
      <c r="C491" s="865"/>
      <c r="D491" s="865"/>
      <c r="E491" s="865"/>
      <c r="F491" s="865" t="s">
        <v>2125</v>
      </c>
      <c r="G491" s="865"/>
      <c r="H491" s="865"/>
      <c r="I491" s="865"/>
      <c r="J491" s="865" t="s">
        <v>129</v>
      </c>
      <c r="K491" s="865"/>
      <c r="L491" s="865"/>
      <c r="M491" s="865"/>
      <c r="N491" s="865"/>
      <c r="O491" s="865"/>
      <c r="P491" s="865"/>
    </row>
    <row r="492" spans="1:16" ht="149.65" customHeight="1" x14ac:dyDescent="0.25">
      <c r="A492" s="674" t="s">
        <v>179</v>
      </c>
      <c r="B492" s="781" t="s">
        <v>1168</v>
      </c>
      <c r="C492" s="782"/>
      <c r="D492" s="782"/>
      <c r="E492" s="782"/>
      <c r="F492" s="782" t="s">
        <v>1845</v>
      </c>
      <c r="G492" s="782"/>
      <c r="H492" s="782"/>
      <c r="I492" s="782"/>
      <c r="J492" s="782" t="s">
        <v>1846</v>
      </c>
      <c r="K492" s="782"/>
      <c r="L492" s="782"/>
      <c r="M492" s="866">
        <f>ROUND((10500 + 592 * 200) * 1 * 1.27 * 0.4 * 1.23621, 0)</f>
        <v>80949</v>
      </c>
      <c r="N492" s="782"/>
      <c r="O492" s="782" t="s">
        <v>1847</v>
      </c>
      <c r="P492" s="782"/>
    </row>
    <row r="493" spans="1:16" x14ac:dyDescent="0.25">
      <c r="A493" s="676"/>
      <c r="B493" s="864" t="s">
        <v>306</v>
      </c>
      <c r="C493" s="864"/>
      <c r="D493" s="864"/>
      <c r="E493" s="864"/>
      <c r="F493" s="864" t="s">
        <v>129</v>
      </c>
      <c r="G493" s="864"/>
      <c r="H493" s="864"/>
      <c r="I493" s="864"/>
      <c r="J493" s="864" t="s">
        <v>129</v>
      </c>
      <c r="K493" s="864"/>
      <c r="L493" s="864"/>
      <c r="M493" s="864"/>
      <c r="N493" s="864"/>
      <c r="O493" s="864"/>
      <c r="P493" s="864"/>
    </row>
    <row r="494" spans="1:16" x14ac:dyDescent="0.25">
      <c r="A494" s="675"/>
      <c r="B494" s="865" t="s">
        <v>325</v>
      </c>
      <c r="C494" s="865"/>
      <c r="D494" s="865"/>
      <c r="E494" s="865"/>
      <c r="F494" s="865" t="s">
        <v>326</v>
      </c>
      <c r="G494" s="865"/>
      <c r="H494" s="865"/>
      <c r="I494" s="865"/>
      <c r="J494" s="865" t="s">
        <v>129</v>
      </c>
      <c r="K494" s="865"/>
      <c r="L494" s="865"/>
      <c r="M494" s="865"/>
      <c r="N494" s="865"/>
      <c r="O494" s="865"/>
      <c r="P494" s="865"/>
    </row>
    <row r="495" spans="1:16" ht="40.9" customHeight="1" x14ac:dyDescent="0.25">
      <c r="A495" s="675"/>
      <c r="B495" s="865" t="s">
        <v>327</v>
      </c>
      <c r="C495" s="865"/>
      <c r="D495" s="865"/>
      <c r="E495" s="865"/>
      <c r="F495" s="865" t="s">
        <v>328</v>
      </c>
      <c r="G495" s="865"/>
      <c r="H495" s="865"/>
      <c r="I495" s="865"/>
      <c r="J495" s="865" t="s">
        <v>129</v>
      </c>
      <c r="K495" s="865"/>
      <c r="L495" s="865"/>
      <c r="M495" s="865"/>
      <c r="N495" s="865"/>
      <c r="O495" s="865"/>
      <c r="P495" s="865"/>
    </row>
    <row r="496" spans="1:16" ht="149.65" customHeight="1" x14ac:dyDescent="0.25">
      <c r="A496" s="675"/>
      <c r="B496" s="865" t="s">
        <v>329</v>
      </c>
      <c r="C496" s="865"/>
      <c r="D496" s="865"/>
      <c r="E496" s="865"/>
      <c r="F496" s="865" t="s">
        <v>1154</v>
      </c>
      <c r="G496" s="865"/>
      <c r="H496" s="865"/>
      <c r="I496" s="865"/>
      <c r="J496" s="865" t="s">
        <v>129</v>
      </c>
      <c r="K496" s="865"/>
      <c r="L496" s="865"/>
      <c r="M496" s="865"/>
      <c r="N496" s="865"/>
      <c r="O496" s="865"/>
      <c r="P496" s="865"/>
    </row>
    <row r="497" spans="1:16" x14ac:dyDescent="0.25">
      <c r="A497" s="676"/>
      <c r="B497" s="864" t="s">
        <v>330</v>
      </c>
      <c r="C497" s="864"/>
      <c r="D497" s="864"/>
      <c r="E497" s="864"/>
      <c r="F497" s="864" t="s">
        <v>129</v>
      </c>
      <c r="G497" s="864"/>
      <c r="H497" s="864"/>
      <c r="I497" s="864"/>
      <c r="J497" s="864" t="s">
        <v>129</v>
      </c>
      <c r="K497" s="864"/>
      <c r="L497" s="864"/>
      <c r="M497" s="864"/>
      <c r="N497" s="864"/>
      <c r="O497" s="864"/>
      <c r="P497" s="864"/>
    </row>
    <row r="498" spans="1:16" x14ac:dyDescent="0.25">
      <c r="A498" s="675"/>
      <c r="B498" s="865" t="s">
        <v>1028</v>
      </c>
      <c r="C498" s="865"/>
      <c r="D498" s="865"/>
      <c r="E498" s="865"/>
      <c r="F498" s="865" t="s">
        <v>1848</v>
      </c>
      <c r="G498" s="865"/>
      <c r="H498" s="865"/>
      <c r="I498" s="865"/>
      <c r="J498" s="865" t="s">
        <v>129</v>
      </c>
      <c r="K498" s="865"/>
      <c r="L498" s="865"/>
      <c r="M498" s="865"/>
      <c r="N498" s="865"/>
      <c r="O498" s="865"/>
      <c r="P498" s="865"/>
    </row>
    <row r="499" spans="1:16" x14ac:dyDescent="0.25">
      <c r="A499" s="675"/>
      <c r="B499" s="865" t="s">
        <v>1156</v>
      </c>
      <c r="C499" s="865"/>
      <c r="D499" s="865"/>
      <c r="E499" s="865"/>
      <c r="F499" s="865" t="s">
        <v>1849</v>
      </c>
      <c r="G499" s="865"/>
      <c r="H499" s="865"/>
      <c r="I499" s="865"/>
      <c r="J499" s="865" t="s">
        <v>129</v>
      </c>
      <c r="K499" s="865"/>
      <c r="L499" s="865"/>
      <c r="M499" s="865"/>
      <c r="N499" s="865"/>
      <c r="O499" s="865"/>
      <c r="P499" s="865"/>
    </row>
    <row r="500" spans="1:16" ht="54.4" customHeight="1" x14ac:dyDescent="0.25">
      <c r="A500" s="675"/>
      <c r="B500" s="865" t="s">
        <v>1169</v>
      </c>
      <c r="C500" s="865"/>
      <c r="D500" s="865"/>
      <c r="E500" s="865"/>
      <c r="F500" s="865" t="s">
        <v>1850</v>
      </c>
      <c r="G500" s="865"/>
      <c r="H500" s="865"/>
      <c r="I500" s="865"/>
      <c r="J500" s="865" t="s">
        <v>129</v>
      </c>
      <c r="K500" s="865"/>
      <c r="L500" s="865"/>
      <c r="M500" s="865"/>
      <c r="N500" s="865"/>
      <c r="O500" s="865"/>
      <c r="P500" s="865"/>
    </row>
    <row r="501" spans="1:16" ht="27.2" customHeight="1" x14ac:dyDescent="0.25">
      <c r="A501" s="675"/>
      <c r="B501" s="865" t="s">
        <v>1160</v>
      </c>
      <c r="C501" s="865"/>
      <c r="D501" s="865"/>
      <c r="E501" s="865"/>
      <c r="F501" s="865" t="s">
        <v>1851</v>
      </c>
      <c r="G501" s="865"/>
      <c r="H501" s="865"/>
      <c r="I501" s="865"/>
      <c r="J501" s="865" t="s">
        <v>129</v>
      </c>
      <c r="K501" s="865"/>
      <c r="L501" s="865"/>
      <c r="M501" s="865"/>
      <c r="N501" s="865"/>
      <c r="O501" s="865"/>
      <c r="P501" s="865"/>
    </row>
    <row r="502" spans="1:16" ht="27.2" customHeight="1" x14ac:dyDescent="0.25">
      <c r="A502" s="675"/>
      <c r="B502" s="865" t="s">
        <v>1162</v>
      </c>
      <c r="C502" s="865"/>
      <c r="D502" s="865"/>
      <c r="E502" s="865"/>
      <c r="F502" s="865" t="s">
        <v>1852</v>
      </c>
      <c r="G502" s="865"/>
      <c r="H502" s="865"/>
      <c r="I502" s="865"/>
      <c r="J502" s="865" t="s">
        <v>129</v>
      </c>
      <c r="K502" s="865"/>
      <c r="L502" s="865"/>
      <c r="M502" s="865"/>
      <c r="N502" s="865"/>
      <c r="O502" s="865"/>
      <c r="P502" s="865"/>
    </row>
    <row r="503" spans="1:16" ht="27.2" customHeight="1" x14ac:dyDescent="0.25">
      <c r="A503" s="675"/>
      <c r="B503" s="865" t="s">
        <v>1164</v>
      </c>
      <c r="C503" s="865"/>
      <c r="D503" s="865"/>
      <c r="E503" s="865"/>
      <c r="F503" s="865" t="s">
        <v>1853</v>
      </c>
      <c r="G503" s="865"/>
      <c r="H503" s="865"/>
      <c r="I503" s="865"/>
      <c r="J503" s="865" t="s">
        <v>129</v>
      </c>
      <c r="K503" s="865"/>
      <c r="L503" s="865"/>
      <c r="M503" s="865"/>
      <c r="N503" s="865"/>
      <c r="O503" s="865"/>
      <c r="P503" s="865"/>
    </row>
    <row r="504" spans="1:16" x14ac:dyDescent="0.25">
      <c r="A504" s="675"/>
      <c r="B504" s="865" t="s">
        <v>1170</v>
      </c>
      <c r="C504" s="865"/>
      <c r="D504" s="865"/>
      <c r="E504" s="865"/>
      <c r="F504" s="865" t="s">
        <v>1854</v>
      </c>
      <c r="G504" s="865"/>
      <c r="H504" s="865"/>
      <c r="I504" s="865"/>
      <c r="J504" s="865" t="s">
        <v>129</v>
      </c>
      <c r="K504" s="865"/>
      <c r="L504" s="865"/>
      <c r="M504" s="865"/>
      <c r="N504" s="865"/>
      <c r="O504" s="865"/>
      <c r="P504" s="865"/>
    </row>
    <row r="505" spans="1:16" ht="135.94999999999999" customHeight="1" x14ac:dyDescent="0.25">
      <c r="A505" s="674" t="s">
        <v>180</v>
      </c>
      <c r="B505" s="781" t="s">
        <v>342</v>
      </c>
      <c r="C505" s="782"/>
      <c r="D505" s="782"/>
      <c r="E505" s="782"/>
      <c r="F505" s="782" t="s">
        <v>1171</v>
      </c>
      <c r="G505" s="782"/>
      <c r="H505" s="782"/>
      <c r="I505" s="782"/>
      <c r="J505" s="782" t="s">
        <v>2594</v>
      </c>
      <c r="K505" s="782"/>
      <c r="L505" s="782"/>
      <c r="M505" s="866">
        <f>ROUND((17700 + 234 * 300) * 1 * 1.68 * 0.4 * 0.9 * 0.8 * 1.24947, 0)</f>
        <v>53139</v>
      </c>
      <c r="N505" s="782"/>
      <c r="O505" s="782" t="s">
        <v>1172</v>
      </c>
      <c r="P505" s="782"/>
    </row>
    <row r="506" spans="1:16" x14ac:dyDescent="0.25">
      <c r="A506" s="676"/>
      <c r="B506" s="864" t="s">
        <v>306</v>
      </c>
      <c r="C506" s="864"/>
      <c r="D506" s="864"/>
      <c r="E506" s="864"/>
      <c r="F506" s="864" t="s">
        <v>129</v>
      </c>
      <c r="G506" s="864"/>
      <c r="H506" s="864"/>
      <c r="I506" s="864"/>
      <c r="J506" s="864" t="s">
        <v>129</v>
      </c>
      <c r="K506" s="864"/>
      <c r="L506" s="864"/>
      <c r="M506" s="864"/>
      <c r="N506" s="864"/>
      <c r="O506" s="864"/>
      <c r="P506" s="864"/>
    </row>
    <row r="507" spans="1:16" x14ac:dyDescent="0.25">
      <c r="A507" s="675"/>
      <c r="B507" s="865" t="s">
        <v>325</v>
      </c>
      <c r="C507" s="865"/>
      <c r="D507" s="865"/>
      <c r="E507" s="865"/>
      <c r="F507" s="865" t="s">
        <v>326</v>
      </c>
      <c r="G507" s="865"/>
      <c r="H507" s="865"/>
      <c r="I507" s="865"/>
      <c r="J507" s="865" t="s">
        <v>129</v>
      </c>
      <c r="K507" s="865"/>
      <c r="L507" s="865"/>
      <c r="M507" s="865"/>
      <c r="N507" s="865"/>
      <c r="O507" s="865"/>
      <c r="P507" s="865"/>
    </row>
    <row r="508" spans="1:16" ht="40.9" customHeight="1" x14ac:dyDescent="0.25">
      <c r="A508" s="675"/>
      <c r="B508" s="865" t="s">
        <v>331</v>
      </c>
      <c r="C508" s="865"/>
      <c r="D508" s="865"/>
      <c r="E508" s="865"/>
      <c r="F508" s="865" t="s">
        <v>332</v>
      </c>
      <c r="G508" s="865"/>
      <c r="H508" s="865"/>
      <c r="I508" s="865"/>
      <c r="J508" s="865" t="s">
        <v>129</v>
      </c>
      <c r="K508" s="865"/>
      <c r="L508" s="865"/>
      <c r="M508" s="865"/>
      <c r="N508" s="865"/>
      <c r="O508" s="865"/>
      <c r="P508" s="865"/>
    </row>
    <row r="509" spans="1:16" ht="108.75" customHeight="1" x14ac:dyDescent="0.25">
      <c r="A509" s="675"/>
      <c r="B509" s="865" t="s">
        <v>1809</v>
      </c>
      <c r="C509" s="865"/>
      <c r="D509" s="865"/>
      <c r="E509" s="865"/>
      <c r="F509" s="865" t="s">
        <v>1810</v>
      </c>
      <c r="G509" s="865"/>
      <c r="H509" s="865"/>
      <c r="I509" s="865"/>
      <c r="J509" s="865" t="s">
        <v>129</v>
      </c>
      <c r="K509" s="865"/>
      <c r="L509" s="865"/>
      <c r="M509" s="865"/>
      <c r="N509" s="865"/>
      <c r="O509" s="865"/>
      <c r="P509" s="865"/>
    </row>
    <row r="510" spans="1:16" ht="54.4" customHeight="1" x14ac:dyDescent="0.25">
      <c r="A510" s="675"/>
      <c r="B510" s="865" t="s">
        <v>343</v>
      </c>
      <c r="C510" s="865"/>
      <c r="D510" s="865"/>
      <c r="E510" s="865"/>
      <c r="F510" s="865" t="s">
        <v>2593</v>
      </c>
      <c r="G510" s="865"/>
      <c r="H510" s="865"/>
      <c r="I510" s="865"/>
      <c r="J510" s="865" t="s">
        <v>129</v>
      </c>
      <c r="K510" s="865"/>
      <c r="L510" s="865"/>
      <c r="M510" s="865"/>
      <c r="N510" s="865"/>
      <c r="O510" s="865"/>
      <c r="P510" s="865"/>
    </row>
    <row r="511" spans="1:16" ht="149.65" customHeight="1" x14ac:dyDescent="0.25">
      <c r="A511" s="675"/>
      <c r="B511" s="865" t="s">
        <v>329</v>
      </c>
      <c r="C511" s="865"/>
      <c r="D511" s="865"/>
      <c r="E511" s="865"/>
      <c r="F511" s="865" t="s">
        <v>2466</v>
      </c>
      <c r="G511" s="865"/>
      <c r="H511" s="865"/>
      <c r="I511" s="865"/>
      <c r="J511" s="865" t="s">
        <v>129</v>
      </c>
      <c r="K511" s="865"/>
      <c r="L511" s="865"/>
      <c r="M511" s="865"/>
      <c r="N511" s="865"/>
      <c r="O511" s="865"/>
      <c r="P511" s="865"/>
    </row>
    <row r="512" spans="1:16" x14ac:dyDescent="0.25">
      <c r="A512" s="676"/>
      <c r="B512" s="864" t="s">
        <v>330</v>
      </c>
      <c r="C512" s="864"/>
      <c r="D512" s="864"/>
      <c r="E512" s="864"/>
      <c r="F512" s="864" t="s">
        <v>129</v>
      </c>
      <c r="G512" s="864"/>
      <c r="H512" s="864"/>
      <c r="I512" s="864"/>
      <c r="J512" s="864" t="s">
        <v>129</v>
      </c>
      <c r="K512" s="864"/>
      <c r="L512" s="864"/>
      <c r="M512" s="864"/>
      <c r="N512" s="864"/>
      <c r="O512" s="864"/>
      <c r="P512" s="864"/>
    </row>
    <row r="513" spans="1:16" x14ac:dyDescent="0.25">
      <c r="A513" s="675"/>
      <c r="B513" s="865" t="s">
        <v>1028</v>
      </c>
      <c r="C513" s="865"/>
      <c r="D513" s="865"/>
      <c r="E513" s="865"/>
      <c r="F513" s="865" t="s">
        <v>2592</v>
      </c>
      <c r="G513" s="865"/>
      <c r="H513" s="865"/>
      <c r="I513" s="865"/>
      <c r="J513" s="865" t="s">
        <v>129</v>
      </c>
      <c r="K513" s="865"/>
      <c r="L513" s="865"/>
      <c r="M513" s="865"/>
      <c r="N513" s="865"/>
      <c r="O513" s="865"/>
      <c r="P513" s="865"/>
    </row>
    <row r="514" spans="1:16" x14ac:dyDescent="0.25">
      <c r="A514" s="675"/>
      <c r="B514" s="865" t="s">
        <v>1156</v>
      </c>
      <c r="C514" s="865"/>
      <c r="D514" s="865"/>
      <c r="E514" s="865"/>
      <c r="F514" s="865" t="s">
        <v>2591</v>
      </c>
      <c r="G514" s="865"/>
      <c r="H514" s="865"/>
      <c r="I514" s="865"/>
      <c r="J514" s="865" t="s">
        <v>129</v>
      </c>
      <c r="K514" s="865"/>
      <c r="L514" s="865"/>
      <c r="M514" s="865"/>
      <c r="N514" s="865"/>
      <c r="O514" s="865"/>
      <c r="P514" s="865"/>
    </row>
    <row r="515" spans="1:16" ht="54.4" customHeight="1" x14ac:dyDescent="0.25">
      <c r="A515" s="675"/>
      <c r="B515" s="865" t="s">
        <v>1169</v>
      </c>
      <c r="C515" s="865"/>
      <c r="D515" s="865"/>
      <c r="E515" s="865"/>
      <c r="F515" s="865" t="s">
        <v>2590</v>
      </c>
      <c r="G515" s="865"/>
      <c r="H515" s="865"/>
      <c r="I515" s="865"/>
      <c r="J515" s="865" t="s">
        <v>129</v>
      </c>
      <c r="K515" s="865"/>
      <c r="L515" s="865"/>
      <c r="M515" s="865"/>
      <c r="N515" s="865"/>
      <c r="O515" s="865"/>
      <c r="P515" s="865"/>
    </row>
    <row r="516" spans="1:16" ht="27.2" customHeight="1" x14ac:dyDescent="0.25">
      <c r="A516" s="675"/>
      <c r="B516" s="865" t="s">
        <v>1160</v>
      </c>
      <c r="C516" s="865"/>
      <c r="D516" s="865"/>
      <c r="E516" s="865"/>
      <c r="F516" s="865" t="s">
        <v>2589</v>
      </c>
      <c r="G516" s="865"/>
      <c r="H516" s="865"/>
      <c r="I516" s="865"/>
      <c r="J516" s="865" t="s">
        <v>129</v>
      </c>
      <c r="K516" s="865"/>
      <c r="L516" s="865"/>
      <c r="M516" s="865"/>
      <c r="N516" s="865"/>
      <c r="O516" s="865"/>
      <c r="P516" s="865"/>
    </row>
    <row r="517" spans="1:16" ht="27.2" customHeight="1" x14ac:dyDescent="0.25">
      <c r="A517" s="675"/>
      <c r="B517" s="865" t="s">
        <v>1162</v>
      </c>
      <c r="C517" s="865"/>
      <c r="D517" s="865"/>
      <c r="E517" s="865"/>
      <c r="F517" s="865" t="s">
        <v>2588</v>
      </c>
      <c r="G517" s="865"/>
      <c r="H517" s="865"/>
      <c r="I517" s="865"/>
      <c r="J517" s="865" t="s">
        <v>129</v>
      </c>
      <c r="K517" s="865"/>
      <c r="L517" s="865"/>
      <c r="M517" s="865"/>
      <c r="N517" s="865"/>
      <c r="O517" s="865"/>
      <c r="P517" s="865"/>
    </row>
    <row r="518" spans="1:16" ht="27.2" customHeight="1" x14ac:dyDescent="0.25">
      <c r="A518" s="675"/>
      <c r="B518" s="865" t="s">
        <v>1164</v>
      </c>
      <c r="C518" s="865"/>
      <c r="D518" s="865"/>
      <c r="E518" s="865"/>
      <c r="F518" s="865" t="s">
        <v>2587</v>
      </c>
      <c r="G518" s="865"/>
      <c r="H518" s="865"/>
      <c r="I518" s="865"/>
      <c r="J518" s="865" t="s">
        <v>129</v>
      </c>
      <c r="K518" s="865"/>
      <c r="L518" s="865"/>
      <c r="M518" s="865"/>
      <c r="N518" s="865"/>
      <c r="O518" s="865"/>
      <c r="P518" s="865"/>
    </row>
    <row r="519" spans="1:16" x14ac:dyDescent="0.25">
      <c r="A519" s="675"/>
      <c r="B519" s="865" t="s">
        <v>1170</v>
      </c>
      <c r="C519" s="865"/>
      <c r="D519" s="865"/>
      <c r="E519" s="865"/>
      <c r="F519" s="865" t="s">
        <v>2586</v>
      </c>
      <c r="G519" s="865"/>
      <c r="H519" s="865"/>
      <c r="I519" s="865"/>
      <c r="J519" s="865" t="s">
        <v>129</v>
      </c>
      <c r="K519" s="865"/>
      <c r="L519" s="865"/>
      <c r="M519" s="865"/>
      <c r="N519" s="865"/>
      <c r="O519" s="865"/>
      <c r="P519" s="865"/>
    </row>
    <row r="520" spans="1:16" ht="176.85" customHeight="1" x14ac:dyDescent="0.25">
      <c r="A520" s="674" t="s">
        <v>181</v>
      </c>
      <c r="B520" s="781" t="s">
        <v>1177</v>
      </c>
      <c r="C520" s="782"/>
      <c r="D520" s="782"/>
      <c r="E520" s="782"/>
      <c r="F520" s="782" t="s">
        <v>1178</v>
      </c>
      <c r="G520" s="782"/>
      <c r="H520" s="782"/>
      <c r="I520" s="782"/>
      <c r="J520" s="782" t="s">
        <v>1179</v>
      </c>
      <c r="K520" s="782"/>
      <c r="L520" s="782"/>
      <c r="M520" s="866">
        <f>ROUND((195900 + 360 * 540) * 1 * 1.68 * 0.4 * 0.82 * 0.74 * 1.21733, 0)</f>
        <v>193741</v>
      </c>
      <c r="N520" s="782"/>
      <c r="O520" s="782" t="s">
        <v>1180</v>
      </c>
      <c r="P520" s="782"/>
    </row>
    <row r="521" spans="1:16" x14ac:dyDescent="0.25">
      <c r="A521" s="676"/>
      <c r="B521" s="864" t="s">
        <v>306</v>
      </c>
      <c r="C521" s="864"/>
      <c r="D521" s="864"/>
      <c r="E521" s="864"/>
      <c r="F521" s="864" t="s">
        <v>129</v>
      </c>
      <c r="G521" s="864"/>
      <c r="H521" s="864"/>
      <c r="I521" s="864"/>
      <c r="J521" s="864" t="s">
        <v>129</v>
      </c>
      <c r="K521" s="864"/>
      <c r="L521" s="864"/>
      <c r="M521" s="864"/>
      <c r="N521" s="864"/>
      <c r="O521" s="864"/>
      <c r="P521" s="864"/>
    </row>
    <row r="522" spans="1:16" x14ac:dyDescent="0.25">
      <c r="A522" s="675"/>
      <c r="B522" s="865" t="s">
        <v>325</v>
      </c>
      <c r="C522" s="865"/>
      <c r="D522" s="865"/>
      <c r="E522" s="865"/>
      <c r="F522" s="865" t="s">
        <v>326</v>
      </c>
      <c r="G522" s="865"/>
      <c r="H522" s="865"/>
      <c r="I522" s="865"/>
      <c r="J522" s="865" t="s">
        <v>129</v>
      </c>
      <c r="K522" s="865"/>
      <c r="L522" s="865"/>
      <c r="M522" s="865"/>
      <c r="N522" s="865"/>
      <c r="O522" s="865"/>
      <c r="P522" s="865"/>
    </row>
    <row r="523" spans="1:16" ht="40.9" customHeight="1" x14ac:dyDescent="0.25">
      <c r="A523" s="675"/>
      <c r="B523" s="865" t="s">
        <v>331</v>
      </c>
      <c r="C523" s="865"/>
      <c r="D523" s="865"/>
      <c r="E523" s="865"/>
      <c r="F523" s="865" t="s">
        <v>332</v>
      </c>
      <c r="G523" s="865"/>
      <c r="H523" s="865"/>
      <c r="I523" s="865"/>
      <c r="J523" s="865" t="s">
        <v>129</v>
      </c>
      <c r="K523" s="865"/>
      <c r="L523" s="865"/>
      <c r="M523" s="865"/>
      <c r="N523" s="865"/>
      <c r="O523" s="865"/>
      <c r="P523" s="865"/>
    </row>
    <row r="524" spans="1:16" ht="68.099999999999994" customHeight="1" x14ac:dyDescent="0.25">
      <c r="A524" s="675"/>
      <c r="B524" s="865" t="s">
        <v>1181</v>
      </c>
      <c r="C524" s="865"/>
      <c r="D524" s="865"/>
      <c r="E524" s="865"/>
      <c r="F524" s="865" t="s">
        <v>1182</v>
      </c>
      <c r="G524" s="865"/>
      <c r="H524" s="865"/>
      <c r="I524" s="865"/>
      <c r="J524" s="865" t="s">
        <v>129</v>
      </c>
      <c r="K524" s="865"/>
      <c r="L524" s="865"/>
      <c r="M524" s="865"/>
      <c r="N524" s="865"/>
      <c r="O524" s="865"/>
      <c r="P524" s="865"/>
    </row>
    <row r="525" spans="1:16" ht="81.599999999999994" customHeight="1" x14ac:dyDescent="0.25">
      <c r="A525" s="675"/>
      <c r="B525" s="865" t="s">
        <v>1183</v>
      </c>
      <c r="C525" s="865"/>
      <c r="D525" s="865"/>
      <c r="E525" s="865"/>
      <c r="F525" s="865" t="s">
        <v>1184</v>
      </c>
      <c r="G525" s="865"/>
      <c r="H525" s="865"/>
      <c r="I525" s="865"/>
      <c r="J525" s="865" t="s">
        <v>129</v>
      </c>
      <c r="K525" s="865"/>
      <c r="L525" s="865"/>
      <c r="M525" s="865"/>
      <c r="N525" s="865"/>
      <c r="O525" s="865"/>
      <c r="P525" s="865"/>
    </row>
    <row r="526" spans="1:16" ht="149.65" customHeight="1" x14ac:dyDescent="0.25">
      <c r="A526" s="675"/>
      <c r="B526" s="865" t="s">
        <v>329</v>
      </c>
      <c r="C526" s="865"/>
      <c r="D526" s="865"/>
      <c r="E526" s="865"/>
      <c r="F526" s="865" t="s">
        <v>1185</v>
      </c>
      <c r="G526" s="865"/>
      <c r="H526" s="865"/>
      <c r="I526" s="865"/>
      <c r="J526" s="865" t="s">
        <v>129</v>
      </c>
      <c r="K526" s="865"/>
      <c r="L526" s="865"/>
      <c r="M526" s="865"/>
      <c r="N526" s="865"/>
      <c r="O526" s="865"/>
      <c r="P526" s="865"/>
    </row>
    <row r="527" spans="1:16" x14ac:dyDescent="0.25">
      <c r="A527" s="676"/>
      <c r="B527" s="864" t="s">
        <v>330</v>
      </c>
      <c r="C527" s="864"/>
      <c r="D527" s="864"/>
      <c r="E527" s="864"/>
      <c r="F527" s="864" t="s">
        <v>129</v>
      </c>
      <c r="G527" s="864"/>
      <c r="H527" s="864"/>
      <c r="I527" s="864"/>
      <c r="J527" s="864" t="s">
        <v>129</v>
      </c>
      <c r="K527" s="864"/>
      <c r="L527" s="864"/>
      <c r="M527" s="864"/>
      <c r="N527" s="864"/>
      <c r="O527" s="864"/>
      <c r="P527" s="864"/>
    </row>
    <row r="528" spans="1:16" x14ac:dyDescent="0.25">
      <c r="A528" s="675"/>
      <c r="B528" s="865" t="s">
        <v>1028</v>
      </c>
      <c r="C528" s="865"/>
      <c r="D528" s="865"/>
      <c r="E528" s="865"/>
      <c r="F528" s="865" t="s">
        <v>1186</v>
      </c>
      <c r="G528" s="865"/>
      <c r="H528" s="865"/>
      <c r="I528" s="865"/>
      <c r="J528" s="865" t="s">
        <v>129</v>
      </c>
      <c r="K528" s="865"/>
      <c r="L528" s="865"/>
      <c r="M528" s="865"/>
      <c r="N528" s="865"/>
      <c r="O528" s="865"/>
      <c r="P528" s="865"/>
    </row>
    <row r="529" spans="1:16" ht="27.2" customHeight="1" x14ac:dyDescent="0.25">
      <c r="A529" s="675"/>
      <c r="B529" s="865" t="s">
        <v>1082</v>
      </c>
      <c r="C529" s="865"/>
      <c r="D529" s="865"/>
      <c r="E529" s="865"/>
      <c r="F529" s="865" t="s">
        <v>1187</v>
      </c>
      <c r="G529" s="865"/>
      <c r="H529" s="865"/>
      <c r="I529" s="865"/>
      <c r="J529" s="865" t="s">
        <v>129</v>
      </c>
      <c r="K529" s="865"/>
      <c r="L529" s="865"/>
      <c r="M529" s="865"/>
      <c r="N529" s="865"/>
      <c r="O529" s="865"/>
      <c r="P529" s="865"/>
    </row>
    <row r="530" spans="1:16" ht="27.2" customHeight="1" x14ac:dyDescent="0.25">
      <c r="A530" s="675"/>
      <c r="B530" s="865" t="s">
        <v>1188</v>
      </c>
      <c r="C530" s="865"/>
      <c r="D530" s="865"/>
      <c r="E530" s="865"/>
      <c r="F530" s="865" t="s">
        <v>1189</v>
      </c>
      <c r="G530" s="865"/>
      <c r="H530" s="865"/>
      <c r="I530" s="865"/>
      <c r="J530" s="865" t="s">
        <v>129</v>
      </c>
      <c r="K530" s="865"/>
      <c r="L530" s="865"/>
      <c r="M530" s="865"/>
      <c r="N530" s="865"/>
      <c r="O530" s="865"/>
      <c r="P530" s="865"/>
    </row>
    <row r="531" spans="1:16" x14ac:dyDescent="0.25">
      <c r="A531" s="675"/>
      <c r="B531" s="865" t="s">
        <v>1031</v>
      </c>
      <c r="C531" s="865"/>
      <c r="D531" s="865"/>
      <c r="E531" s="865"/>
      <c r="F531" s="865" t="s">
        <v>1190</v>
      </c>
      <c r="G531" s="865"/>
      <c r="H531" s="865"/>
      <c r="I531" s="865"/>
      <c r="J531" s="865" t="s">
        <v>129</v>
      </c>
      <c r="K531" s="865"/>
      <c r="L531" s="865"/>
      <c r="M531" s="865"/>
      <c r="N531" s="865"/>
      <c r="O531" s="865"/>
      <c r="P531" s="865"/>
    </row>
    <row r="532" spans="1:16" ht="27.2" customHeight="1" x14ac:dyDescent="0.25">
      <c r="A532" s="675"/>
      <c r="B532" s="865" t="s">
        <v>1104</v>
      </c>
      <c r="C532" s="865"/>
      <c r="D532" s="865"/>
      <c r="E532" s="865"/>
      <c r="F532" s="865" t="s">
        <v>1191</v>
      </c>
      <c r="G532" s="865"/>
      <c r="H532" s="865"/>
      <c r="I532" s="865"/>
      <c r="J532" s="865" t="s">
        <v>129</v>
      </c>
      <c r="K532" s="865"/>
      <c r="L532" s="865"/>
      <c r="M532" s="865"/>
      <c r="N532" s="865"/>
      <c r="O532" s="865"/>
      <c r="P532" s="865"/>
    </row>
    <row r="533" spans="1:16" x14ac:dyDescent="0.25">
      <c r="A533" s="675"/>
      <c r="B533" s="865" t="s">
        <v>1192</v>
      </c>
      <c r="C533" s="865"/>
      <c r="D533" s="865"/>
      <c r="E533" s="865"/>
      <c r="F533" s="865" t="s">
        <v>1193</v>
      </c>
      <c r="G533" s="865"/>
      <c r="H533" s="865"/>
      <c r="I533" s="865"/>
      <c r="J533" s="865" t="s">
        <v>129</v>
      </c>
      <c r="K533" s="865"/>
      <c r="L533" s="865"/>
      <c r="M533" s="865"/>
      <c r="N533" s="865"/>
      <c r="O533" s="865"/>
      <c r="P533" s="865"/>
    </row>
    <row r="534" spans="1:16" ht="244.9" customHeight="1" x14ac:dyDescent="0.25">
      <c r="A534" s="674" t="s">
        <v>182</v>
      </c>
      <c r="B534" s="781" t="s">
        <v>1194</v>
      </c>
      <c r="C534" s="782"/>
      <c r="D534" s="782"/>
      <c r="E534" s="782"/>
      <c r="F534" s="782" t="s">
        <v>1195</v>
      </c>
      <c r="G534" s="782"/>
      <c r="H534" s="782"/>
      <c r="I534" s="782"/>
      <c r="J534" s="782" t="s">
        <v>2585</v>
      </c>
      <c r="K534" s="782"/>
      <c r="L534" s="782"/>
      <c r="M534" s="866">
        <f>ROUND((30800 + 608 * 250) * 1 * 1.68 * 0.4 * 0.9 * 1.1 * 1.24316, 0)</f>
        <v>151185</v>
      </c>
      <c r="N534" s="782"/>
      <c r="O534" s="782" t="s">
        <v>1196</v>
      </c>
      <c r="P534" s="782"/>
    </row>
    <row r="535" spans="1:16" x14ac:dyDescent="0.25">
      <c r="A535" s="676"/>
      <c r="B535" s="864" t="s">
        <v>306</v>
      </c>
      <c r="C535" s="864"/>
      <c r="D535" s="864"/>
      <c r="E535" s="864"/>
      <c r="F535" s="864" t="s">
        <v>129</v>
      </c>
      <c r="G535" s="864"/>
      <c r="H535" s="864"/>
      <c r="I535" s="864"/>
      <c r="J535" s="864" t="s">
        <v>129</v>
      </c>
      <c r="K535" s="864"/>
      <c r="L535" s="864"/>
      <c r="M535" s="864"/>
      <c r="N535" s="864"/>
      <c r="O535" s="864"/>
      <c r="P535" s="864"/>
    </row>
    <row r="536" spans="1:16" x14ac:dyDescent="0.25">
      <c r="A536" s="675"/>
      <c r="B536" s="865" t="s">
        <v>325</v>
      </c>
      <c r="C536" s="865"/>
      <c r="D536" s="865"/>
      <c r="E536" s="865"/>
      <c r="F536" s="865" t="s">
        <v>326</v>
      </c>
      <c r="G536" s="865"/>
      <c r="H536" s="865"/>
      <c r="I536" s="865"/>
      <c r="J536" s="865" t="s">
        <v>129</v>
      </c>
      <c r="K536" s="865"/>
      <c r="L536" s="865"/>
      <c r="M536" s="865"/>
      <c r="N536" s="865"/>
      <c r="O536" s="865"/>
      <c r="P536" s="865"/>
    </row>
    <row r="537" spans="1:16" ht="40.9" customHeight="1" x14ac:dyDescent="0.25">
      <c r="A537" s="675"/>
      <c r="B537" s="865" t="s">
        <v>331</v>
      </c>
      <c r="C537" s="865"/>
      <c r="D537" s="865"/>
      <c r="E537" s="865"/>
      <c r="F537" s="865" t="s">
        <v>332</v>
      </c>
      <c r="G537" s="865"/>
      <c r="H537" s="865"/>
      <c r="I537" s="865"/>
      <c r="J537" s="865" t="s">
        <v>129</v>
      </c>
      <c r="K537" s="865"/>
      <c r="L537" s="865"/>
      <c r="M537" s="865"/>
      <c r="N537" s="865"/>
      <c r="O537" s="865"/>
      <c r="P537" s="865"/>
    </row>
    <row r="538" spans="1:16" ht="108.75" customHeight="1" x14ac:dyDescent="0.25">
      <c r="A538" s="675"/>
      <c r="B538" s="865" t="s">
        <v>1809</v>
      </c>
      <c r="C538" s="865"/>
      <c r="D538" s="865"/>
      <c r="E538" s="865"/>
      <c r="F538" s="865" t="s">
        <v>1810</v>
      </c>
      <c r="G538" s="865"/>
      <c r="H538" s="865"/>
      <c r="I538" s="865"/>
      <c r="J538" s="865" t="s">
        <v>129</v>
      </c>
      <c r="K538" s="865"/>
      <c r="L538" s="865"/>
      <c r="M538" s="865"/>
      <c r="N538" s="865"/>
      <c r="O538" s="865"/>
      <c r="P538" s="865"/>
    </row>
    <row r="539" spans="1:16" ht="95.25" customHeight="1" x14ac:dyDescent="0.25">
      <c r="A539" s="675"/>
      <c r="B539" s="865" t="s">
        <v>1197</v>
      </c>
      <c r="C539" s="865"/>
      <c r="D539" s="865"/>
      <c r="E539" s="865"/>
      <c r="F539" s="865" t="s">
        <v>2577</v>
      </c>
      <c r="G539" s="865"/>
      <c r="H539" s="865"/>
      <c r="I539" s="865"/>
      <c r="J539" s="865" t="s">
        <v>129</v>
      </c>
      <c r="K539" s="865"/>
      <c r="L539" s="865"/>
      <c r="M539" s="865"/>
      <c r="N539" s="865"/>
      <c r="O539" s="865"/>
      <c r="P539" s="865"/>
    </row>
    <row r="540" spans="1:16" ht="149.65" customHeight="1" x14ac:dyDescent="0.25">
      <c r="A540" s="675"/>
      <c r="B540" s="865" t="s">
        <v>329</v>
      </c>
      <c r="C540" s="865"/>
      <c r="D540" s="865"/>
      <c r="E540" s="865"/>
      <c r="F540" s="865" t="s">
        <v>2466</v>
      </c>
      <c r="G540" s="865"/>
      <c r="H540" s="865"/>
      <c r="I540" s="865"/>
      <c r="J540" s="865" t="s">
        <v>129</v>
      </c>
      <c r="K540" s="865"/>
      <c r="L540" s="865"/>
      <c r="M540" s="865"/>
      <c r="N540" s="865"/>
      <c r="O540" s="865"/>
      <c r="P540" s="865"/>
    </row>
    <row r="541" spans="1:16" x14ac:dyDescent="0.25">
      <c r="A541" s="676"/>
      <c r="B541" s="864" t="s">
        <v>330</v>
      </c>
      <c r="C541" s="864"/>
      <c r="D541" s="864"/>
      <c r="E541" s="864"/>
      <c r="F541" s="864" t="s">
        <v>129</v>
      </c>
      <c r="G541" s="864"/>
      <c r="H541" s="864"/>
      <c r="I541" s="864"/>
      <c r="J541" s="864" t="s">
        <v>129</v>
      </c>
      <c r="K541" s="864"/>
      <c r="L541" s="864"/>
      <c r="M541" s="864"/>
      <c r="N541" s="864"/>
      <c r="O541" s="864"/>
      <c r="P541" s="864"/>
    </row>
    <row r="542" spans="1:16" x14ac:dyDescent="0.25">
      <c r="A542" s="675"/>
      <c r="B542" s="865" t="s">
        <v>1028</v>
      </c>
      <c r="C542" s="865"/>
      <c r="D542" s="865"/>
      <c r="E542" s="865"/>
      <c r="F542" s="865" t="s">
        <v>2584</v>
      </c>
      <c r="G542" s="865"/>
      <c r="H542" s="865"/>
      <c r="I542" s="865"/>
      <c r="J542" s="865" t="s">
        <v>129</v>
      </c>
      <c r="K542" s="865"/>
      <c r="L542" s="865"/>
      <c r="M542" s="865"/>
      <c r="N542" s="865"/>
      <c r="O542" s="865"/>
      <c r="P542" s="865"/>
    </row>
    <row r="543" spans="1:16" x14ac:dyDescent="0.25">
      <c r="A543" s="675"/>
      <c r="B543" s="865" t="s">
        <v>1156</v>
      </c>
      <c r="C543" s="865"/>
      <c r="D543" s="865"/>
      <c r="E543" s="865"/>
      <c r="F543" s="865" t="s">
        <v>2583</v>
      </c>
      <c r="G543" s="865"/>
      <c r="H543" s="865"/>
      <c r="I543" s="865"/>
      <c r="J543" s="865" t="s">
        <v>129</v>
      </c>
      <c r="K543" s="865"/>
      <c r="L543" s="865"/>
      <c r="M543" s="865"/>
      <c r="N543" s="865"/>
      <c r="O543" s="865"/>
      <c r="P543" s="865"/>
    </row>
    <row r="544" spans="1:16" ht="54.4" customHeight="1" x14ac:dyDescent="0.25">
      <c r="A544" s="675"/>
      <c r="B544" s="865" t="s">
        <v>1169</v>
      </c>
      <c r="C544" s="865"/>
      <c r="D544" s="865"/>
      <c r="E544" s="865"/>
      <c r="F544" s="865" t="s">
        <v>2582</v>
      </c>
      <c r="G544" s="865"/>
      <c r="H544" s="865"/>
      <c r="I544" s="865"/>
      <c r="J544" s="865" t="s">
        <v>129</v>
      </c>
      <c r="K544" s="865"/>
      <c r="L544" s="865"/>
      <c r="M544" s="865"/>
      <c r="N544" s="865"/>
      <c r="O544" s="865"/>
      <c r="P544" s="865"/>
    </row>
    <row r="545" spans="1:16" ht="27.2" customHeight="1" x14ac:dyDescent="0.25">
      <c r="A545" s="675"/>
      <c r="B545" s="865" t="s">
        <v>1160</v>
      </c>
      <c r="C545" s="865"/>
      <c r="D545" s="865"/>
      <c r="E545" s="865"/>
      <c r="F545" s="865" t="s">
        <v>2580</v>
      </c>
      <c r="G545" s="865"/>
      <c r="H545" s="865"/>
      <c r="I545" s="865"/>
      <c r="J545" s="865" t="s">
        <v>129</v>
      </c>
      <c r="K545" s="865"/>
      <c r="L545" s="865"/>
      <c r="M545" s="865"/>
      <c r="N545" s="865"/>
      <c r="O545" s="865"/>
      <c r="P545" s="865"/>
    </row>
    <row r="546" spans="1:16" ht="27.2" customHeight="1" x14ac:dyDescent="0.25">
      <c r="A546" s="675"/>
      <c r="B546" s="865" t="s">
        <v>1162</v>
      </c>
      <c r="C546" s="865"/>
      <c r="D546" s="865"/>
      <c r="E546" s="865"/>
      <c r="F546" s="865" t="s">
        <v>2581</v>
      </c>
      <c r="G546" s="865"/>
      <c r="H546" s="865"/>
      <c r="I546" s="865"/>
      <c r="J546" s="865" t="s">
        <v>129</v>
      </c>
      <c r="K546" s="865"/>
      <c r="L546" s="865"/>
      <c r="M546" s="865"/>
      <c r="N546" s="865"/>
      <c r="O546" s="865"/>
      <c r="P546" s="865"/>
    </row>
    <row r="547" spans="1:16" ht="27.2" customHeight="1" x14ac:dyDescent="0.25">
      <c r="A547" s="675"/>
      <c r="B547" s="865" t="s">
        <v>1164</v>
      </c>
      <c r="C547" s="865"/>
      <c r="D547" s="865"/>
      <c r="E547" s="865"/>
      <c r="F547" s="865" t="s">
        <v>2580</v>
      </c>
      <c r="G547" s="865"/>
      <c r="H547" s="865"/>
      <c r="I547" s="865"/>
      <c r="J547" s="865" t="s">
        <v>129</v>
      </c>
      <c r="K547" s="865"/>
      <c r="L547" s="865"/>
      <c r="M547" s="865"/>
      <c r="N547" s="865"/>
      <c r="O547" s="865"/>
      <c r="P547" s="865"/>
    </row>
    <row r="548" spans="1:16" x14ac:dyDescent="0.25">
      <c r="A548" s="675"/>
      <c r="B548" s="865" t="s">
        <v>1170</v>
      </c>
      <c r="C548" s="865"/>
      <c r="D548" s="865"/>
      <c r="E548" s="865"/>
      <c r="F548" s="865" t="s">
        <v>2579</v>
      </c>
      <c r="G548" s="865"/>
      <c r="H548" s="865"/>
      <c r="I548" s="865"/>
      <c r="J548" s="865" t="s">
        <v>129</v>
      </c>
      <c r="K548" s="865"/>
      <c r="L548" s="865"/>
      <c r="M548" s="865"/>
      <c r="N548" s="865"/>
      <c r="O548" s="865"/>
      <c r="P548" s="865"/>
    </row>
    <row r="549" spans="1:16" ht="149.65" customHeight="1" x14ac:dyDescent="0.25">
      <c r="A549" s="674" t="s">
        <v>184</v>
      </c>
      <c r="B549" s="781" t="s">
        <v>1198</v>
      </c>
      <c r="C549" s="782"/>
      <c r="D549" s="782"/>
      <c r="E549" s="782"/>
      <c r="F549" s="782" t="s">
        <v>1199</v>
      </c>
      <c r="G549" s="782"/>
      <c r="H549" s="782"/>
      <c r="I549" s="782"/>
      <c r="J549" s="782" t="s">
        <v>2570</v>
      </c>
      <c r="K549" s="782"/>
      <c r="L549" s="782"/>
      <c r="M549" s="866">
        <f>ROUND(52800 * 1 * 1.68 * 0.4 * 0.9 * 1.24947, 0)</f>
        <v>39900</v>
      </c>
      <c r="N549" s="782"/>
      <c r="O549" s="782" t="s">
        <v>1200</v>
      </c>
      <c r="P549" s="782"/>
    </row>
    <row r="550" spans="1:16" x14ac:dyDescent="0.25">
      <c r="A550" s="676"/>
      <c r="B550" s="864" t="s">
        <v>306</v>
      </c>
      <c r="C550" s="864"/>
      <c r="D550" s="864"/>
      <c r="E550" s="864"/>
      <c r="F550" s="864" t="s">
        <v>129</v>
      </c>
      <c r="G550" s="864"/>
      <c r="H550" s="864"/>
      <c r="I550" s="864"/>
      <c r="J550" s="864" t="s">
        <v>129</v>
      </c>
      <c r="K550" s="864"/>
      <c r="L550" s="864"/>
      <c r="M550" s="864"/>
      <c r="N550" s="864"/>
      <c r="O550" s="864"/>
      <c r="P550" s="864"/>
    </row>
    <row r="551" spans="1:16" x14ac:dyDescent="0.25">
      <c r="A551" s="675"/>
      <c r="B551" s="865" t="s">
        <v>325</v>
      </c>
      <c r="C551" s="865"/>
      <c r="D551" s="865"/>
      <c r="E551" s="865"/>
      <c r="F551" s="865" t="s">
        <v>326</v>
      </c>
      <c r="G551" s="865"/>
      <c r="H551" s="865"/>
      <c r="I551" s="865"/>
      <c r="J551" s="865" t="s">
        <v>129</v>
      </c>
      <c r="K551" s="865"/>
      <c r="L551" s="865"/>
      <c r="M551" s="865"/>
      <c r="N551" s="865"/>
      <c r="O551" s="865"/>
      <c r="P551" s="865"/>
    </row>
    <row r="552" spans="1:16" ht="40.9" customHeight="1" x14ac:dyDescent="0.25">
      <c r="A552" s="675"/>
      <c r="B552" s="865" t="s">
        <v>331</v>
      </c>
      <c r="C552" s="865"/>
      <c r="D552" s="865"/>
      <c r="E552" s="865"/>
      <c r="F552" s="865" t="s">
        <v>332</v>
      </c>
      <c r="G552" s="865"/>
      <c r="H552" s="865"/>
      <c r="I552" s="865"/>
      <c r="J552" s="865" t="s">
        <v>129</v>
      </c>
      <c r="K552" s="865"/>
      <c r="L552" s="865"/>
      <c r="M552" s="865"/>
      <c r="N552" s="865"/>
      <c r="O552" s="865"/>
      <c r="P552" s="865"/>
    </row>
    <row r="553" spans="1:16" ht="108.75" customHeight="1" x14ac:dyDescent="0.25">
      <c r="A553" s="675"/>
      <c r="B553" s="865" t="s">
        <v>1809</v>
      </c>
      <c r="C553" s="865"/>
      <c r="D553" s="865"/>
      <c r="E553" s="865"/>
      <c r="F553" s="865" t="s">
        <v>1810</v>
      </c>
      <c r="G553" s="865"/>
      <c r="H553" s="865"/>
      <c r="I553" s="865"/>
      <c r="J553" s="865" t="s">
        <v>129</v>
      </c>
      <c r="K553" s="865"/>
      <c r="L553" s="865"/>
      <c r="M553" s="865"/>
      <c r="N553" s="865"/>
      <c r="O553" s="865"/>
      <c r="P553" s="865"/>
    </row>
    <row r="554" spans="1:16" ht="149.65" customHeight="1" x14ac:dyDescent="0.25">
      <c r="A554" s="675"/>
      <c r="B554" s="865" t="s">
        <v>329</v>
      </c>
      <c r="C554" s="865"/>
      <c r="D554" s="865"/>
      <c r="E554" s="865"/>
      <c r="F554" s="865" t="s">
        <v>340</v>
      </c>
      <c r="G554" s="865"/>
      <c r="H554" s="865"/>
      <c r="I554" s="865"/>
      <c r="J554" s="865" t="s">
        <v>129</v>
      </c>
      <c r="K554" s="865"/>
      <c r="L554" s="865"/>
      <c r="M554" s="865"/>
      <c r="N554" s="865"/>
      <c r="O554" s="865"/>
      <c r="P554" s="865"/>
    </row>
    <row r="555" spans="1:16" x14ac:dyDescent="0.25">
      <c r="A555" s="676"/>
      <c r="B555" s="864" t="s">
        <v>330</v>
      </c>
      <c r="C555" s="864"/>
      <c r="D555" s="864"/>
      <c r="E555" s="864"/>
      <c r="F555" s="864" t="s">
        <v>129</v>
      </c>
      <c r="G555" s="864"/>
      <c r="H555" s="864"/>
      <c r="I555" s="864"/>
      <c r="J555" s="864" t="s">
        <v>129</v>
      </c>
      <c r="K555" s="864"/>
      <c r="L555" s="864"/>
      <c r="M555" s="864"/>
      <c r="N555" s="864"/>
      <c r="O555" s="864"/>
      <c r="P555" s="864"/>
    </row>
    <row r="556" spans="1:16" x14ac:dyDescent="0.25">
      <c r="A556" s="675"/>
      <c r="B556" s="865" t="s">
        <v>1028</v>
      </c>
      <c r="C556" s="865"/>
      <c r="D556" s="865"/>
      <c r="E556" s="865"/>
      <c r="F556" s="865" t="s">
        <v>2569</v>
      </c>
      <c r="G556" s="865"/>
      <c r="H556" s="865"/>
      <c r="I556" s="865"/>
      <c r="J556" s="865" t="s">
        <v>129</v>
      </c>
      <c r="K556" s="865"/>
      <c r="L556" s="865"/>
      <c r="M556" s="865"/>
      <c r="N556" s="865"/>
      <c r="O556" s="865"/>
      <c r="P556" s="865"/>
    </row>
    <row r="557" spans="1:16" x14ac:dyDescent="0.25">
      <c r="A557" s="675"/>
      <c r="B557" s="865" t="s">
        <v>1156</v>
      </c>
      <c r="C557" s="865"/>
      <c r="D557" s="865"/>
      <c r="E557" s="865"/>
      <c r="F557" s="865" t="s">
        <v>2568</v>
      </c>
      <c r="G557" s="865"/>
      <c r="H557" s="865"/>
      <c r="I557" s="865"/>
      <c r="J557" s="865" t="s">
        <v>129</v>
      </c>
      <c r="K557" s="865"/>
      <c r="L557" s="865"/>
      <c r="M557" s="865"/>
      <c r="N557" s="865"/>
      <c r="O557" s="865"/>
      <c r="P557" s="865"/>
    </row>
    <row r="558" spans="1:16" ht="54.4" customHeight="1" x14ac:dyDescent="0.25">
      <c r="A558" s="675"/>
      <c r="B558" s="865" t="s">
        <v>1169</v>
      </c>
      <c r="C558" s="865"/>
      <c r="D558" s="865"/>
      <c r="E558" s="865"/>
      <c r="F558" s="865" t="s">
        <v>2567</v>
      </c>
      <c r="G558" s="865"/>
      <c r="H558" s="865"/>
      <c r="I558" s="865"/>
      <c r="J558" s="865" t="s">
        <v>129</v>
      </c>
      <c r="K558" s="865"/>
      <c r="L558" s="865"/>
      <c r="M558" s="865"/>
      <c r="N558" s="865"/>
      <c r="O558" s="865"/>
      <c r="P558" s="865"/>
    </row>
    <row r="559" spans="1:16" ht="27.2" customHeight="1" x14ac:dyDescent="0.25">
      <c r="A559" s="675"/>
      <c r="B559" s="865" t="s">
        <v>1160</v>
      </c>
      <c r="C559" s="865"/>
      <c r="D559" s="865"/>
      <c r="E559" s="865"/>
      <c r="F559" s="865" t="s">
        <v>2566</v>
      </c>
      <c r="G559" s="865"/>
      <c r="H559" s="865"/>
      <c r="I559" s="865"/>
      <c r="J559" s="865" t="s">
        <v>129</v>
      </c>
      <c r="K559" s="865"/>
      <c r="L559" s="865"/>
      <c r="M559" s="865"/>
      <c r="N559" s="865"/>
      <c r="O559" s="865"/>
      <c r="P559" s="865"/>
    </row>
    <row r="560" spans="1:16" ht="27.2" customHeight="1" x14ac:dyDescent="0.25">
      <c r="A560" s="675"/>
      <c r="B560" s="865" t="s">
        <v>1162</v>
      </c>
      <c r="C560" s="865"/>
      <c r="D560" s="865"/>
      <c r="E560" s="865"/>
      <c r="F560" s="865" t="s">
        <v>2565</v>
      </c>
      <c r="G560" s="865"/>
      <c r="H560" s="865"/>
      <c r="I560" s="865"/>
      <c r="J560" s="865" t="s">
        <v>129</v>
      </c>
      <c r="K560" s="865"/>
      <c r="L560" s="865"/>
      <c r="M560" s="865"/>
      <c r="N560" s="865"/>
      <c r="O560" s="865"/>
      <c r="P560" s="865"/>
    </row>
    <row r="561" spans="1:16" ht="27.2" customHeight="1" x14ac:dyDescent="0.25">
      <c r="A561" s="675"/>
      <c r="B561" s="865" t="s">
        <v>1164</v>
      </c>
      <c r="C561" s="865"/>
      <c r="D561" s="865"/>
      <c r="E561" s="865"/>
      <c r="F561" s="865" t="s">
        <v>2564</v>
      </c>
      <c r="G561" s="865"/>
      <c r="H561" s="865"/>
      <c r="I561" s="865"/>
      <c r="J561" s="865" t="s">
        <v>129</v>
      </c>
      <c r="K561" s="865"/>
      <c r="L561" s="865"/>
      <c r="M561" s="865"/>
      <c r="N561" s="865"/>
      <c r="O561" s="865"/>
      <c r="P561" s="865"/>
    </row>
    <row r="562" spans="1:16" x14ac:dyDescent="0.25">
      <c r="A562" s="675"/>
      <c r="B562" s="865" t="s">
        <v>1170</v>
      </c>
      <c r="C562" s="865"/>
      <c r="D562" s="865"/>
      <c r="E562" s="865"/>
      <c r="F562" s="865" t="s">
        <v>2563</v>
      </c>
      <c r="G562" s="865"/>
      <c r="H562" s="865"/>
      <c r="I562" s="865"/>
      <c r="J562" s="865" t="s">
        <v>129</v>
      </c>
      <c r="K562" s="865"/>
      <c r="L562" s="865"/>
      <c r="M562" s="865"/>
      <c r="N562" s="865"/>
      <c r="O562" s="865"/>
      <c r="P562" s="865"/>
    </row>
    <row r="563" spans="1:16" ht="244.9" customHeight="1" x14ac:dyDescent="0.25">
      <c r="A563" s="674" t="s">
        <v>185</v>
      </c>
      <c r="B563" s="781" t="s">
        <v>1194</v>
      </c>
      <c r="C563" s="782"/>
      <c r="D563" s="782"/>
      <c r="E563" s="782"/>
      <c r="F563" s="782" t="s">
        <v>1201</v>
      </c>
      <c r="G563" s="782"/>
      <c r="H563" s="782"/>
      <c r="I563" s="782"/>
      <c r="J563" s="782" t="s">
        <v>2578</v>
      </c>
      <c r="K563" s="782"/>
      <c r="L563" s="782"/>
      <c r="M563" s="866">
        <f>ROUND((30800 + 608 * 350) * 1 * 1.68 * 0.4 * 0.9 * 1.1 * 1.24316, 0)</f>
        <v>201469</v>
      </c>
      <c r="N563" s="782"/>
      <c r="O563" s="782" t="s">
        <v>1202</v>
      </c>
      <c r="P563" s="782"/>
    </row>
    <row r="564" spans="1:16" x14ac:dyDescent="0.25">
      <c r="A564" s="676"/>
      <c r="B564" s="864" t="s">
        <v>306</v>
      </c>
      <c r="C564" s="864"/>
      <c r="D564" s="864"/>
      <c r="E564" s="864"/>
      <c r="F564" s="864" t="s">
        <v>129</v>
      </c>
      <c r="G564" s="864"/>
      <c r="H564" s="864"/>
      <c r="I564" s="864"/>
      <c r="J564" s="864" t="s">
        <v>129</v>
      </c>
      <c r="K564" s="864"/>
      <c r="L564" s="864"/>
      <c r="M564" s="864"/>
      <c r="N564" s="864"/>
      <c r="O564" s="864"/>
      <c r="P564" s="864"/>
    </row>
    <row r="565" spans="1:16" x14ac:dyDescent="0.25">
      <c r="A565" s="675"/>
      <c r="B565" s="865" t="s">
        <v>325</v>
      </c>
      <c r="C565" s="865"/>
      <c r="D565" s="865"/>
      <c r="E565" s="865"/>
      <c r="F565" s="865" t="s">
        <v>326</v>
      </c>
      <c r="G565" s="865"/>
      <c r="H565" s="865"/>
      <c r="I565" s="865"/>
      <c r="J565" s="865" t="s">
        <v>129</v>
      </c>
      <c r="K565" s="865"/>
      <c r="L565" s="865"/>
      <c r="M565" s="865"/>
      <c r="N565" s="865"/>
      <c r="O565" s="865"/>
      <c r="P565" s="865"/>
    </row>
    <row r="566" spans="1:16" ht="40.9" customHeight="1" x14ac:dyDescent="0.25">
      <c r="A566" s="675"/>
      <c r="B566" s="865" t="s">
        <v>331</v>
      </c>
      <c r="C566" s="865"/>
      <c r="D566" s="865"/>
      <c r="E566" s="865"/>
      <c r="F566" s="865" t="s">
        <v>332</v>
      </c>
      <c r="G566" s="865"/>
      <c r="H566" s="865"/>
      <c r="I566" s="865"/>
      <c r="J566" s="865" t="s">
        <v>129</v>
      </c>
      <c r="K566" s="865"/>
      <c r="L566" s="865"/>
      <c r="M566" s="865"/>
      <c r="N566" s="865"/>
      <c r="O566" s="865"/>
      <c r="P566" s="865"/>
    </row>
    <row r="567" spans="1:16" ht="108.75" customHeight="1" x14ac:dyDescent="0.25">
      <c r="A567" s="675"/>
      <c r="B567" s="865" t="s">
        <v>1809</v>
      </c>
      <c r="C567" s="865"/>
      <c r="D567" s="865"/>
      <c r="E567" s="865"/>
      <c r="F567" s="865" t="s">
        <v>1810</v>
      </c>
      <c r="G567" s="865"/>
      <c r="H567" s="865"/>
      <c r="I567" s="865"/>
      <c r="J567" s="865" t="s">
        <v>129</v>
      </c>
      <c r="K567" s="865"/>
      <c r="L567" s="865"/>
      <c r="M567" s="865"/>
      <c r="N567" s="865"/>
      <c r="O567" s="865"/>
      <c r="P567" s="865"/>
    </row>
    <row r="568" spans="1:16" ht="95.25" customHeight="1" x14ac:dyDescent="0.25">
      <c r="A568" s="675"/>
      <c r="B568" s="865" t="s">
        <v>1197</v>
      </c>
      <c r="C568" s="865"/>
      <c r="D568" s="865"/>
      <c r="E568" s="865"/>
      <c r="F568" s="865" t="s">
        <v>2577</v>
      </c>
      <c r="G568" s="865"/>
      <c r="H568" s="865"/>
      <c r="I568" s="865"/>
      <c r="J568" s="865" t="s">
        <v>129</v>
      </c>
      <c r="K568" s="865"/>
      <c r="L568" s="865"/>
      <c r="M568" s="865"/>
      <c r="N568" s="865"/>
      <c r="O568" s="865"/>
      <c r="P568" s="865"/>
    </row>
    <row r="569" spans="1:16" ht="149.65" customHeight="1" x14ac:dyDescent="0.25">
      <c r="A569" s="675"/>
      <c r="B569" s="865" t="s">
        <v>329</v>
      </c>
      <c r="C569" s="865"/>
      <c r="D569" s="865"/>
      <c r="E569" s="865"/>
      <c r="F569" s="865" t="s">
        <v>2466</v>
      </c>
      <c r="G569" s="865"/>
      <c r="H569" s="865"/>
      <c r="I569" s="865"/>
      <c r="J569" s="865" t="s">
        <v>129</v>
      </c>
      <c r="K569" s="865"/>
      <c r="L569" s="865"/>
      <c r="M569" s="865"/>
      <c r="N569" s="865"/>
      <c r="O569" s="865"/>
      <c r="P569" s="865"/>
    </row>
    <row r="570" spans="1:16" x14ac:dyDescent="0.25">
      <c r="A570" s="676"/>
      <c r="B570" s="864" t="s">
        <v>330</v>
      </c>
      <c r="C570" s="864"/>
      <c r="D570" s="864"/>
      <c r="E570" s="864"/>
      <c r="F570" s="864" t="s">
        <v>129</v>
      </c>
      <c r="G570" s="864"/>
      <c r="H570" s="864"/>
      <c r="I570" s="864"/>
      <c r="J570" s="864" t="s">
        <v>129</v>
      </c>
      <c r="K570" s="864"/>
      <c r="L570" s="864"/>
      <c r="M570" s="864"/>
      <c r="N570" s="864"/>
      <c r="O570" s="864"/>
      <c r="P570" s="864"/>
    </row>
    <row r="571" spans="1:16" x14ac:dyDescent="0.25">
      <c r="A571" s="675"/>
      <c r="B571" s="865" t="s">
        <v>1028</v>
      </c>
      <c r="C571" s="865"/>
      <c r="D571" s="865"/>
      <c r="E571" s="865"/>
      <c r="F571" s="865" t="s">
        <v>2576</v>
      </c>
      <c r="G571" s="865"/>
      <c r="H571" s="865"/>
      <c r="I571" s="865"/>
      <c r="J571" s="865" t="s">
        <v>129</v>
      </c>
      <c r="K571" s="865"/>
      <c r="L571" s="865"/>
      <c r="M571" s="865"/>
      <c r="N571" s="865"/>
      <c r="O571" s="865"/>
      <c r="P571" s="865"/>
    </row>
    <row r="572" spans="1:16" x14ac:dyDescent="0.25">
      <c r="A572" s="675"/>
      <c r="B572" s="865" t="s">
        <v>1156</v>
      </c>
      <c r="C572" s="865"/>
      <c r="D572" s="865"/>
      <c r="E572" s="865"/>
      <c r="F572" s="865" t="s">
        <v>2575</v>
      </c>
      <c r="G572" s="865"/>
      <c r="H572" s="865"/>
      <c r="I572" s="865"/>
      <c r="J572" s="865" t="s">
        <v>129</v>
      </c>
      <c r="K572" s="865"/>
      <c r="L572" s="865"/>
      <c r="M572" s="865"/>
      <c r="N572" s="865"/>
      <c r="O572" s="865"/>
      <c r="P572" s="865"/>
    </row>
    <row r="573" spans="1:16" ht="54.4" customHeight="1" x14ac:dyDescent="0.25">
      <c r="A573" s="675"/>
      <c r="B573" s="865" t="s">
        <v>1169</v>
      </c>
      <c r="C573" s="865"/>
      <c r="D573" s="865"/>
      <c r="E573" s="865"/>
      <c r="F573" s="865" t="s">
        <v>2574</v>
      </c>
      <c r="G573" s="865"/>
      <c r="H573" s="865"/>
      <c r="I573" s="865"/>
      <c r="J573" s="865" t="s">
        <v>129</v>
      </c>
      <c r="K573" s="865"/>
      <c r="L573" s="865"/>
      <c r="M573" s="865"/>
      <c r="N573" s="865"/>
      <c r="O573" s="865"/>
      <c r="P573" s="865"/>
    </row>
    <row r="574" spans="1:16" ht="27.2" customHeight="1" x14ac:dyDescent="0.25">
      <c r="A574" s="675"/>
      <c r="B574" s="865" t="s">
        <v>1160</v>
      </c>
      <c r="C574" s="865"/>
      <c r="D574" s="865"/>
      <c r="E574" s="865"/>
      <c r="F574" s="865" t="s">
        <v>2572</v>
      </c>
      <c r="G574" s="865"/>
      <c r="H574" s="865"/>
      <c r="I574" s="865"/>
      <c r="J574" s="865" t="s">
        <v>129</v>
      </c>
      <c r="K574" s="865"/>
      <c r="L574" s="865"/>
      <c r="M574" s="865"/>
      <c r="N574" s="865"/>
      <c r="O574" s="865"/>
      <c r="P574" s="865"/>
    </row>
    <row r="575" spans="1:16" ht="27.2" customHeight="1" x14ac:dyDescent="0.25">
      <c r="A575" s="675"/>
      <c r="B575" s="865" t="s">
        <v>1162</v>
      </c>
      <c r="C575" s="865"/>
      <c r="D575" s="865"/>
      <c r="E575" s="865"/>
      <c r="F575" s="865" t="s">
        <v>2573</v>
      </c>
      <c r="G575" s="865"/>
      <c r="H575" s="865"/>
      <c r="I575" s="865"/>
      <c r="J575" s="865" t="s">
        <v>129</v>
      </c>
      <c r="K575" s="865"/>
      <c r="L575" s="865"/>
      <c r="M575" s="865"/>
      <c r="N575" s="865"/>
      <c r="O575" s="865"/>
      <c r="P575" s="865"/>
    </row>
    <row r="576" spans="1:16" ht="27.2" customHeight="1" x14ac:dyDescent="0.25">
      <c r="A576" s="675"/>
      <c r="B576" s="865" t="s">
        <v>1164</v>
      </c>
      <c r="C576" s="865"/>
      <c r="D576" s="865"/>
      <c r="E576" s="865"/>
      <c r="F576" s="865" t="s">
        <v>2572</v>
      </c>
      <c r="G576" s="865"/>
      <c r="H576" s="865"/>
      <c r="I576" s="865"/>
      <c r="J576" s="865" t="s">
        <v>129</v>
      </c>
      <c r="K576" s="865"/>
      <c r="L576" s="865"/>
      <c r="M576" s="865"/>
      <c r="N576" s="865"/>
      <c r="O576" s="865"/>
      <c r="P576" s="865"/>
    </row>
    <row r="577" spans="1:16" x14ac:dyDescent="0.25">
      <c r="A577" s="675"/>
      <c r="B577" s="865" t="s">
        <v>1170</v>
      </c>
      <c r="C577" s="865"/>
      <c r="D577" s="865"/>
      <c r="E577" s="865"/>
      <c r="F577" s="865" t="s">
        <v>2571</v>
      </c>
      <c r="G577" s="865"/>
      <c r="H577" s="865"/>
      <c r="I577" s="865"/>
      <c r="J577" s="865" t="s">
        <v>129</v>
      </c>
      <c r="K577" s="865"/>
      <c r="L577" s="865"/>
      <c r="M577" s="865"/>
      <c r="N577" s="865"/>
      <c r="O577" s="865"/>
      <c r="P577" s="865"/>
    </row>
    <row r="578" spans="1:16" ht="149.65" customHeight="1" x14ac:dyDescent="0.25">
      <c r="A578" s="674" t="s">
        <v>186</v>
      </c>
      <c r="B578" s="781" t="s">
        <v>1198</v>
      </c>
      <c r="C578" s="782"/>
      <c r="D578" s="782"/>
      <c r="E578" s="782"/>
      <c r="F578" s="782" t="s">
        <v>1199</v>
      </c>
      <c r="G578" s="782"/>
      <c r="H578" s="782"/>
      <c r="I578" s="782"/>
      <c r="J578" s="782" t="s">
        <v>2570</v>
      </c>
      <c r="K578" s="782"/>
      <c r="L578" s="782"/>
      <c r="M578" s="866">
        <f>ROUND(52800 * 1 * 1.68 * 0.4 * 0.9 * 1.24947, 0)</f>
        <v>39900</v>
      </c>
      <c r="N578" s="782"/>
      <c r="O578" s="782" t="s">
        <v>1203</v>
      </c>
      <c r="P578" s="782"/>
    </row>
    <row r="579" spans="1:16" x14ac:dyDescent="0.25">
      <c r="A579" s="676"/>
      <c r="B579" s="864" t="s">
        <v>306</v>
      </c>
      <c r="C579" s="864"/>
      <c r="D579" s="864"/>
      <c r="E579" s="864"/>
      <c r="F579" s="864" t="s">
        <v>129</v>
      </c>
      <c r="G579" s="864"/>
      <c r="H579" s="864"/>
      <c r="I579" s="864"/>
      <c r="J579" s="864" t="s">
        <v>129</v>
      </c>
      <c r="K579" s="864"/>
      <c r="L579" s="864"/>
      <c r="M579" s="864"/>
      <c r="N579" s="864"/>
      <c r="O579" s="864"/>
      <c r="P579" s="864"/>
    </row>
    <row r="580" spans="1:16" x14ac:dyDescent="0.25">
      <c r="A580" s="675"/>
      <c r="B580" s="865" t="s">
        <v>325</v>
      </c>
      <c r="C580" s="865"/>
      <c r="D580" s="865"/>
      <c r="E580" s="865"/>
      <c r="F580" s="865" t="s">
        <v>326</v>
      </c>
      <c r="G580" s="865"/>
      <c r="H580" s="865"/>
      <c r="I580" s="865"/>
      <c r="J580" s="865" t="s">
        <v>129</v>
      </c>
      <c r="K580" s="865"/>
      <c r="L580" s="865"/>
      <c r="M580" s="865"/>
      <c r="N580" s="865"/>
      <c r="O580" s="865"/>
      <c r="P580" s="865"/>
    </row>
    <row r="581" spans="1:16" ht="40.9" customHeight="1" x14ac:dyDescent="0.25">
      <c r="A581" s="675"/>
      <c r="B581" s="865" t="s">
        <v>331</v>
      </c>
      <c r="C581" s="865"/>
      <c r="D581" s="865"/>
      <c r="E581" s="865"/>
      <c r="F581" s="865" t="s">
        <v>332</v>
      </c>
      <c r="G581" s="865"/>
      <c r="H581" s="865"/>
      <c r="I581" s="865"/>
      <c r="J581" s="865" t="s">
        <v>129</v>
      </c>
      <c r="K581" s="865"/>
      <c r="L581" s="865"/>
      <c r="M581" s="865"/>
      <c r="N581" s="865"/>
      <c r="O581" s="865"/>
      <c r="P581" s="865"/>
    </row>
    <row r="582" spans="1:16" ht="108.75" customHeight="1" x14ac:dyDescent="0.25">
      <c r="A582" s="675"/>
      <c r="B582" s="865" t="s">
        <v>1809</v>
      </c>
      <c r="C582" s="865"/>
      <c r="D582" s="865"/>
      <c r="E582" s="865"/>
      <c r="F582" s="865" t="s">
        <v>1810</v>
      </c>
      <c r="G582" s="865"/>
      <c r="H582" s="865"/>
      <c r="I582" s="865"/>
      <c r="J582" s="865" t="s">
        <v>129</v>
      </c>
      <c r="K582" s="865"/>
      <c r="L582" s="865"/>
      <c r="M582" s="865"/>
      <c r="N582" s="865"/>
      <c r="O582" s="865"/>
      <c r="P582" s="865"/>
    </row>
    <row r="583" spans="1:16" ht="149.65" customHeight="1" x14ac:dyDescent="0.25">
      <c r="A583" s="675"/>
      <c r="B583" s="865" t="s">
        <v>329</v>
      </c>
      <c r="C583" s="865"/>
      <c r="D583" s="865"/>
      <c r="E583" s="865"/>
      <c r="F583" s="865" t="s">
        <v>340</v>
      </c>
      <c r="G583" s="865"/>
      <c r="H583" s="865"/>
      <c r="I583" s="865"/>
      <c r="J583" s="865" t="s">
        <v>129</v>
      </c>
      <c r="K583" s="865"/>
      <c r="L583" s="865"/>
      <c r="M583" s="865"/>
      <c r="N583" s="865"/>
      <c r="O583" s="865"/>
      <c r="P583" s="865"/>
    </row>
    <row r="584" spans="1:16" x14ac:dyDescent="0.25">
      <c r="A584" s="676"/>
      <c r="B584" s="864" t="s">
        <v>330</v>
      </c>
      <c r="C584" s="864"/>
      <c r="D584" s="864"/>
      <c r="E584" s="864"/>
      <c r="F584" s="864" t="s">
        <v>129</v>
      </c>
      <c r="G584" s="864"/>
      <c r="H584" s="864"/>
      <c r="I584" s="864"/>
      <c r="J584" s="864" t="s">
        <v>129</v>
      </c>
      <c r="K584" s="864"/>
      <c r="L584" s="864"/>
      <c r="M584" s="864"/>
      <c r="N584" s="864"/>
      <c r="O584" s="864"/>
      <c r="P584" s="864"/>
    </row>
    <row r="585" spans="1:16" x14ac:dyDescent="0.25">
      <c r="A585" s="675"/>
      <c r="B585" s="865" t="s">
        <v>1028</v>
      </c>
      <c r="C585" s="865"/>
      <c r="D585" s="865"/>
      <c r="E585" s="865"/>
      <c r="F585" s="865" t="s">
        <v>2569</v>
      </c>
      <c r="G585" s="865"/>
      <c r="H585" s="865"/>
      <c r="I585" s="865"/>
      <c r="J585" s="865" t="s">
        <v>129</v>
      </c>
      <c r="K585" s="865"/>
      <c r="L585" s="865"/>
      <c r="M585" s="865"/>
      <c r="N585" s="865"/>
      <c r="O585" s="865"/>
      <c r="P585" s="865"/>
    </row>
    <row r="586" spans="1:16" x14ac:dyDescent="0.25">
      <c r="A586" s="675"/>
      <c r="B586" s="865" t="s">
        <v>1156</v>
      </c>
      <c r="C586" s="865"/>
      <c r="D586" s="865"/>
      <c r="E586" s="865"/>
      <c r="F586" s="865" t="s">
        <v>2568</v>
      </c>
      <c r="G586" s="865"/>
      <c r="H586" s="865"/>
      <c r="I586" s="865"/>
      <c r="J586" s="865" t="s">
        <v>129</v>
      </c>
      <c r="K586" s="865"/>
      <c r="L586" s="865"/>
      <c r="M586" s="865"/>
      <c r="N586" s="865"/>
      <c r="O586" s="865"/>
      <c r="P586" s="865"/>
    </row>
    <row r="587" spans="1:16" ht="54.4" customHeight="1" x14ac:dyDescent="0.25">
      <c r="A587" s="675"/>
      <c r="B587" s="865" t="s">
        <v>1169</v>
      </c>
      <c r="C587" s="865"/>
      <c r="D587" s="865"/>
      <c r="E587" s="865"/>
      <c r="F587" s="865" t="s">
        <v>2567</v>
      </c>
      <c r="G587" s="865"/>
      <c r="H587" s="865"/>
      <c r="I587" s="865"/>
      <c r="J587" s="865" t="s">
        <v>129</v>
      </c>
      <c r="K587" s="865"/>
      <c r="L587" s="865"/>
      <c r="M587" s="865"/>
      <c r="N587" s="865"/>
      <c r="O587" s="865"/>
      <c r="P587" s="865"/>
    </row>
    <row r="588" spans="1:16" ht="27.2" customHeight="1" x14ac:dyDescent="0.25">
      <c r="A588" s="675"/>
      <c r="B588" s="865" t="s">
        <v>1160</v>
      </c>
      <c r="C588" s="865"/>
      <c r="D588" s="865"/>
      <c r="E588" s="865"/>
      <c r="F588" s="865" t="s">
        <v>2566</v>
      </c>
      <c r="G588" s="865"/>
      <c r="H588" s="865"/>
      <c r="I588" s="865"/>
      <c r="J588" s="865" t="s">
        <v>129</v>
      </c>
      <c r="K588" s="865"/>
      <c r="L588" s="865"/>
      <c r="M588" s="865"/>
      <c r="N588" s="865"/>
      <c r="O588" s="865"/>
      <c r="P588" s="865"/>
    </row>
    <row r="589" spans="1:16" ht="27.2" customHeight="1" x14ac:dyDescent="0.25">
      <c r="A589" s="675"/>
      <c r="B589" s="865" t="s">
        <v>1162</v>
      </c>
      <c r="C589" s="865"/>
      <c r="D589" s="865"/>
      <c r="E589" s="865"/>
      <c r="F589" s="865" t="s">
        <v>2565</v>
      </c>
      <c r="G589" s="865"/>
      <c r="H589" s="865"/>
      <c r="I589" s="865"/>
      <c r="J589" s="865" t="s">
        <v>129</v>
      </c>
      <c r="K589" s="865"/>
      <c r="L589" s="865"/>
      <c r="M589" s="865"/>
      <c r="N589" s="865"/>
      <c r="O589" s="865"/>
      <c r="P589" s="865"/>
    </row>
    <row r="590" spans="1:16" ht="27.2" customHeight="1" x14ac:dyDescent="0.25">
      <c r="A590" s="675"/>
      <c r="B590" s="865" t="s">
        <v>1164</v>
      </c>
      <c r="C590" s="865"/>
      <c r="D590" s="865"/>
      <c r="E590" s="865"/>
      <c r="F590" s="865" t="s">
        <v>2564</v>
      </c>
      <c r="G590" s="865"/>
      <c r="H590" s="865"/>
      <c r="I590" s="865"/>
      <c r="J590" s="865" t="s">
        <v>129</v>
      </c>
      <c r="K590" s="865"/>
      <c r="L590" s="865"/>
      <c r="M590" s="865"/>
      <c r="N590" s="865"/>
      <c r="O590" s="865"/>
      <c r="P590" s="865"/>
    </row>
    <row r="591" spans="1:16" x14ac:dyDescent="0.25">
      <c r="A591" s="675"/>
      <c r="B591" s="865" t="s">
        <v>1170</v>
      </c>
      <c r="C591" s="865"/>
      <c r="D591" s="865"/>
      <c r="E591" s="865"/>
      <c r="F591" s="865" t="s">
        <v>2563</v>
      </c>
      <c r="G591" s="865"/>
      <c r="H591" s="865"/>
      <c r="I591" s="865"/>
      <c r="J591" s="865" t="s">
        <v>129</v>
      </c>
      <c r="K591" s="865"/>
      <c r="L591" s="865"/>
      <c r="M591" s="865"/>
      <c r="N591" s="865"/>
      <c r="O591" s="865"/>
      <c r="P591" s="865"/>
    </row>
    <row r="592" spans="1:16" ht="217.7" customHeight="1" x14ac:dyDescent="0.25">
      <c r="A592" s="674" t="s">
        <v>18</v>
      </c>
      <c r="B592" s="781" t="s">
        <v>1204</v>
      </c>
      <c r="C592" s="782"/>
      <c r="D592" s="782"/>
      <c r="E592" s="782"/>
      <c r="F592" s="782" t="s">
        <v>1205</v>
      </c>
      <c r="G592" s="782"/>
      <c r="H592" s="782"/>
      <c r="I592" s="782"/>
      <c r="J592" s="782" t="s">
        <v>2562</v>
      </c>
      <c r="K592" s="782"/>
      <c r="L592" s="782"/>
      <c r="M592" s="866">
        <f>ROUND((122600 + 641 * 250) * 1 * 1.68 * 0.4 * 0.9 * 1.1 * 1.24, 0)</f>
        <v>233336</v>
      </c>
      <c r="N592" s="782"/>
      <c r="O592" s="782" t="s">
        <v>1206</v>
      </c>
      <c r="P592" s="782"/>
    </row>
    <row r="593" spans="1:16" x14ac:dyDescent="0.25">
      <c r="A593" s="676"/>
      <c r="B593" s="864" t="s">
        <v>306</v>
      </c>
      <c r="C593" s="864"/>
      <c r="D593" s="864"/>
      <c r="E593" s="864"/>
      <c r="F593" s="864" t="s">
        <v>129</v>
      </c>
      <c r="G593" s="864"/>
      <c r="H593" s="864"/>
      <c r="I593" s="864"/>
      <c r="J593" s="864" t="s">
        <v>129</v>
      </c>
      <c r="K593" s="864"/>
      <c r="L593" s="864"/>
      <c r="M593" s="864"/>
      <c r="N593" s="864"/>
      <c r="O593" s="864"/>
      <c r="P593" s="864"/>
    </row>
    <row r="594" spans="1:16" x14ac:dyDescent="0.25">
      <c r="A594" s="675"/>
      <c r="B594" s="865" t="s">
        <v>325</v>
      </c>
      <c r="C594" s="865"/>
      <c r="D594" s="865"/>
      <c r="E594" s="865"/>
      <c r="F594" s="865" t="s">
        <v>326</v>
      </c>
      <c r="G594" s="865"/>
      <c r="H594" s="865"/>
      <c r="I594" s="865"/>
      <c r="J594" s="865" t="s">
        <v>129</v>
      </c>
      <c r="K594" s="865"/>
      <c r="L594" s="865"/>
      <c r="M594" s="865"/>
      <c r="N594" s="865"/>
      <c r="O594" s="865"/>
      <c r="P594" s="865"/>
    </row>
    <row r="595" spans="1:16" ht="40.9" customHeight="1" x14ac:dyDescent="0.25">
      <c r="A595" s="675"/>
      <c r="B595" s="865" t="s">
        <v>331</v>
      </c>
      <c r="C595" s="865"/>
      <c r="D595" s="865"/>
      <c r="E595" s="865"/>
      <c r="F595" s="865" t="s">
        <v>332</v>
      </c>
      <c r="G595" s="865"/>
      <c r="H595" s="865"/>
      <c r="I595" s="865"/>
      <c r="J595" s="865" t="s">
        <v>129</v>
      </c>
      <c r="K595" s="865"/>
      <c r="L595" s="865"/>
      <c r="M595" s="865"/>
      <c r="N595" s="865"/>
      <c r="O595" s="865"/>
      <c r="P595" s="865"/>
    </row>
    <row r="596" spans="1:16" ht="108.75" customHeight="1" x14ac:dyDescent="0.25">
      <c r="A596" s="675"/>
      <c r="B596" s="865" t="s">
        <v>1809</v>
      </c>
      <c r="C596" s="865"/>
      <c r="D596" s="865"/>
      <c r="E596" s="865"/>
      <c r="F596" s="865" t="s">
        <v>1810</v>
      </c>
      <c r="G596" s="865"/>
      <c r="H596" s="865"/>
      <c r="I596" s="865"/>
      <c r="J596" s="865" t="s">
        <v>129</v>
      </c>
      <c r="K596" s="865"/>
      <c r="L596" s="865"/>
      <c r="M596" s="865"/>
      <c r="N596" s="865"/>
      <c r="O596" s="865"/>
      <c r="P596" s="865"/>
    </row>
    <row r="597" spans="1:16" ht="95.25" customHeight="1" x14ac:dyDescent="0.25">
      <c r="A597" s="675"/>
      <c r="B597" s="865" t="s">
        <v>1207</v>
      </c>
      <c r="C597" s="865"/>
      <c r="D597" s="865"/>
      <c r="E597" s="865"/>
      <c r="F597" s="865" t="s">
        <v>2553</v>
      </c>
      <c r="G597" s="865"/>
      <c r="H597" s="865"/>
      <c r="I597" s="865"/>
      <c r="J597" s="865" t="s">
        <v>129</v>
      </c>
      <c r="K597" s="865"/>
      <c r="L597" s="865"/>
      <c r="M597" s="865"/>
      <c r="N597" s="865"/>
      <c r="O597" s="865"/>
      <c r="P597" s="865"/>
    </row>
    <row r="598" spans="1:16" ht="149.65" customHeight="1" x14ac:dyDescent="0.25">
      <c r="A598" s="675"/>
      <c r="B598" s="865" t="s">
        <v>329</v>
      </c>
      <c r="C598" s="865"/>
      <c r="D598" s="865"/>
      <c r="E598" s="865"/>
      <c r="F598" s="865" t="s">
        <v>2466</v>
      </c>
      <c r="G598" s="865"/>
      <c r="H598" s="865"/>
      <c r="I598" s="865"/>
      <c r="J598" s="865" t="s">
        <v>129</v>
      </c>
      <c r="K598" s="865"/>
      <c r="L598" s="865"/>
      <c r="M598" s="865"/>
      <c r="N598" s="865"/>
      <c r="O598" s="865"/>
      <c r="P598" s="865"/>
    </row>
    <row r="599" spans="1:16" x14ac:dyDescent="0.25">
      <c r="A599" s="676"/>
      <c r="B599" s="864" t="s">
        <v>330</v>
      </c>
      <c r="C599" s="864"/>
      <c r="D599" s="864"/>
      <c r="E599" s="864"/>
      <c r="F599" s="864" t="s">
        <v>129</v>
      </c>
      <c r="G599" s="864"/>
      <c r="H599" s="864"/>
      <c r="I599" s="864"/>
      <c r="J599" s="864" t="s">
        <v>129</v>
      </c>
      <c r="K599" s="864"/>
      <c r="L599" s="864"/>
      <c r="M599" s="864"/>
      <c r="N599" s="864"/>
      <c r="O599" s="864"/>
      <c r="P599" s="864"/>
    </row>
    <row r="600" spans="1:16" x14ac:dyDescent="0.25">
      <c r="A600" s="675"/>
      <c r="B600" s="865" t="s">
        <v>1028</v>
      </c>
      <c r="C600" s="865"/>
      <c r="D600" s="865"/>
      <c r="E600" s="865"/>
      <c r="F600" s="865" t="s">
        <v>2561</v>
      </c>
      <c r="G600" s="865"/>
      <c r="H600" s="865"/>
      <c r="I600" s="865"/>
      <c r="J600" s="865" t="s">
        <v>129</v>
      </c>
      <c r="K600" s="865"/>
      <c r="L600" s="865"/>
      <c r="M600" s="865"/>
      <c r="N600" s="865"/>
      <c r="O600" s="865"/>
      <c r="P600" s="865"/>
    </row>
    <row r="601" spans="1:16" x14ac:dyDescent="0.25">
      <c r="A601" s="675"/>
      <c r="B601" s="865" t="s">
        <v>1156</v>
      </c>
      <c r="C601" s="865"/>
      <c r="D601" s="865"/>
      <c r="E601" s="865"/>
      <c r="F601" s="865" t="s">
        <v>2560</v>
      </c>
      <c r="G601" s="865"/>
      <c r="H601" s="865"/>
      <c r="I601" s="865"/>
      <c r="J601" s="865" t="s">
        <v>129</v>
      </c>
      <c r="K601" s="865"/>
      <c r="L601" s="865"/>
      <c r="M601" s="865"/>
      <c r="N601" s="865"/>
      <c r="O601" s="865"/>
      <c r="P601" s="865"/>
    </row>
    <row r="602" spans="1:16" ht="54.4" customHeight="1" x14ac:dyDescent="0.25">
      <c r="A602" s="675"/>
      <c r="B602" s="865" t="s">
        <v>1169</v>
      </c>
      <c r="C602" s="865"/>
      <c r="D602" s="865"/>
      <c r="E602" s="865"/>
      <c r="F602" s="865" t="s">
        <v>2559</v>
      </c>
      <c r="G602" s="865"/>
      <c r="H602" s="865"/>
      <c r="I602" s="865"/>
      <c r="J602" s="865" t="s">
        <v>129</v>
      </c>
      <c r="K602" s="865"/>
      <c r="L602" s="865"/>
      <c r="M602" s="865"/>
      <c r="N602" s="865"/>
      <c r="O602" s="865"/>
      <c r="P602" s="865"/>
    </row>
    <row r="603" spans="1:16" ht="27.2" customHeight="1" x14ac:dyDescent="0.25">
      <c r="A603" s="675"/>
      <c r="B603" s="865" t="s">
        <v>1160</v>
      </c>
      <c r="C603" s="865"/>
      <c r="D603" s="865"/>
      <c r="E603" s="865"/>
      <c r="F603" s="865" t="s">
        <v>2558</v>
      </c>
      <c r="G603" s="865"/>
      <c r="H603" s="865"/>
      <c r="I603" s="865"/>
      <c r="J603" s="865" t="s">
        <v>129</v>
      </c>
      <c r="K603" s="865"/>
      <c r="L603" s="865"/>
      <c r="M603" s="865"/>
      <c r="N603" s="865"/>
      <c r="O603" s="865"/>
      <c r="P603" s="865"/>
    </row>
    <row r="604" spans="1:16" ht="27.2" customHeight="1" x14ac:dyDescent="0.25">
      <c r="A604" s="675"/>
      <c r="B604" s="865" t="s">
        <v>1162</v>
      </c>
      <c r="C604" s="865"/>
      <c r="D604" s="865"/>
      <c r="E604" s="865"/>
      <c r="F604" s="865" t="s">
        <v>2557</v>
      </c>
      <c r="G604" s="865"/>
      <c r="H604" s="865"/>
      <c r="I604" s="865"/>
      <c r="J604" s="865" t="s">
        <v>129</v>
      </c>
      <c r="K604" s="865"/>
      <c r="L604" s="865"/>
      <c r="M604" s="865"/>
      <c r="N604" s="865"/>
      <c r="O604" s="865"/>
      <c r="P604" s="865"/>
    </row>
    <row r="605" spans="1:16" ht="27.2" customHeight="1" x14ac:dyDescent="0.25">
      <c r="A605" s="675"/>
      <c r="B605" s="865" t="s">
        <v>1164</v>
      </c>
      <c r="C605" s="865"/>
      <c r="D605" s="865"/>
      <c r="E605" s="865"/>
      <c r="F605" s="865" t="s">
        <v>2556</v>
      </c>
      <c r="G605" s="865"/>
      <c r="H605" s="865"/>
      <c r="I605" s="865"/>
      <c r="J605" s="865" t="s">
        <v>129</v>
      </c>
      <c r="K605" s="865"/>
      <c r="L605" s="865"/>
      <c r="M605" s="865"/>
      <c r="N605" s="865"/>
      <c r="O605" s="865"/>
      <c r="P605" s="865"/>
    </row>
    <row r="606" spans="1:16" x14ac:dyDescent="0.25">
      <c r="A606" s="675"/>
      <c r="B606" s="865" t="s">
        <v>1170</v>
      </c>
      <c r="C606" s="865"/>
      <c r="D606" s="865"/>
      <c r="E606" s="865"/>
      <c r="F606" s="865" t="s">
        <v>2555</v>
      </c>
      <c r="G606" s="865"/>
      <c r="H606" s="865"/>
      <c r="I606" s="865"/>
      <c r="J606" s="865" t="s">
        <v>129</v>
      </c>
      <c r="K606" s="865"/>
      <c r="L606" s="865"/>
      <c r="M606" s="865"/>
      <c r="N606" s="865"/>
      <c r="O606" s="865"/>
      <c r="P606" s="865"/>
    </row>
    <row r="607" spans="1:16" ht="149.65" customHeight="1" x14ac:dyDescent="0.25">
      <c r="A607" s="674" t="s">
        <v>19</v>
      </c>
      <c r="B607" s="781" t="s">
        <v>1208</v>
      </c>
      <c r="C607" s="782"/>
      <c r="D607" s="782"/>
      <c r="E607" s="782"/>
      <c r="F607" s="782" t="s">
        <v>1209</v>
      </c>
      <c r="G607" s="782"/>
      <c r="H607" s="782"/>
      <c r="I607" s="782"/>
      <c r="J607" s="782" t="s">
        <v>2545</v>
      </c>
      <c r="K607" s="782"/>
      <c r="L607" s="782"/>
      <c r="M607" s="866">
        <f>ROUND(20300 * 1 * 1.68 * 0.4 * 0.9 * 1.24, 0)</f>
        <v>15224</v>
      </c>
      <c r="N607" s="782"/>
      <c r="O607" s="782" t="s">
        <v>1210</v>
      </c>
      <c r="P607" s="782"/>
    </row>
    <row r="608" spans="1:16" x14ac:dyDescent="0.25">
      <c r="A608" s="676"/>
      <c r="B608" s="864" t="s">
        <v>306</v>
      </c>
      <c r="C608" s="864"/>
      <c r="D608" s="864"/>
      <c r="E608" s="864"/>
      <c r="F608" s="864" t="s">
        <v>129</v>
      </c>
      <c r="G608" s="864"/>
      <c r="H608" s="864"/>
      <c r="I608" s="864"/>
      <c r="J608" s="864" t="s">
        <v>129</v>
      </c>
      <c r="K608" s="864"/>
      <c r="L608" s="864"/>
      <c r="M608" s="864"/>
      <c r="N608" s="864"/>
      <c r="O608" s="864"/>
      <c r="P608" s="864"/>
    </row>
    <row r="609" spans="1:16" x14ac:dyDescent="0.25">
      <c r="A609" s="675"/>
      <c r="B609" s="865" t="s">
        <v>325</v>
      </c>
      <c r="C609" s="865"/>
      <c r="D609" s="865"/>
      <c r="E609" s="865"/>
      <c r="F609" s="865" t="s">
        <v>326</v>
      </c>
      <c r="G609" s="865"/>
      <c r="H609" s="865"/>
      <c r="I609" s="865"/>
      <c r="J609" s="865" t="s">
        <v>129</v>
      </c>
      <c r="K609" s="865"/>
      <c r="L609" s="865"/>
      <c r="M609" s="865"/>
      <c r="N609" s="865"/>
      <c r="O609" s="865"/>
      <c r="P609" s="865"/>
    </row>
    <row r="610" spans="1:16" ht="40.9" customHeight="1" x14ac:dyDescent="0.25">
      <c r="A610" s="675"/>
      <c r="B610" s="865" t="s">
        <v>331</v>
      </c>
      <c r="C610" s="865"/>
      <c r="D610" s="865"/>
      <c r="E610" s="865"/>
      <c r="F610" s="865" t="s">
        <v>332</v>
      </c>
      <c r="G610" s="865"/>
      <c r="H610" s="865"/>
      <c r="I610" s="865"/>
      <c r="J610" s="865" t="s">
        <v>129</v>
      </c>
      <c r="K610" s="865"/>
      <c r="L610" s="865"/>
      <c r="M610" s="865"/>
      <c r="N610" s="865"/>
      <c r="O610" s="865"/>
      <c r="P610" s="865"/>
    </row>
    <row r="611" spans="1:16" ht="108.75" customHeight="1" x14ac:dyDescent="0.25">
      <c r="A611" s="675"/>
      <c r="B611" s="865" t="s">
        <v>1809</v>
      </c>
      <c r="C611" s="865"/>
      <c r="D611" s="865"/>
      <c r="E611" s="865"/>
      <c r="F611" s="865" t="s">
        <v>1810</v>
      </c>
      <c r="G611" s="865"/>
      <c r="H611" s="865"/>
      <c r="I611" s="865"/>
      <c r="J611" s="865" t="s">
        <v>129</v>
      </c>
      <c r="K611" s="865"/>
      <c r="L611" s="865"/>
      <c r="M611" s="865"/>
      <c r="N611" s="865"/>
      <c r="O611" s="865"/>
      <c r="P611" s="865"/>
    </row>
    <row r="612" spans="1:16" ht="149.65" customHeight="1" x14ac:dyDescent="0.25">
      <c r="A612" s="675"/>
      <c r="B612" s="865" t="s">
        <v>329</v>
      </c>
      <c r="C612" s="865"/>
      <c r="D612" s="865"/>
      <c r="E612" s="865"/>
      <c r="F612" s="865" t="s">
        <v>340</v>
      </c>
      <c r="G612" s="865"/>
      <c r="H612" s="865"/>
      <c r="I612" s="865"/>
      <c r="J612" s="865" t="s">
        <v>129</v>
      </c>
      <c r="K612" s="865"/>
      <c r="L612" s="865"/>
      <c r="M612" s="865"/>
      <c r="N612" s="865"/>
      <c r="O612" s="865"/>
      <c r="P612" s="865"/>
    </row>
    <row r="613" spans="1:16" x14ac:dyDescent="0.25">
      <c r="A613" s="676"/>
      <c r="B613" s="864" t="s">
        <v>330</v>
      </c>
      <c r="C613" s="864"/>
      <c r="D613" s="864"/>
      <c r="E613" s="864"/>
      <c r="F613" s="864" t="s">
        <v>129</v>
      </c>
      <c r="G613" s="864"/>
      <c r="H613" s="864"/>
      <c r="I613" s="864"/>
      <c r="J613" s="864" t="s">
        <v>129</v>
      </c>
      <c r="K613" s="864"/>
      <c r="L613" s="864"/>
      <c r="M613" s="864"/>
      <c r="N613" s="864"/>
      <c r="O613" s="864"/>
      <c r="P613" s="864"/>
    </row>
    <row r="614" spans="1:16" x14ac:dyDescent="0.25">
      <c r="A614" s="675"/>
      <c r="B614" s="865" t="s">
        <v>1028</v>
      </c>
      <c r="C614" s="865"/>
      <c r="D614" s="865"/>
      <c r="E614" s="865"/>
      <c r="F614" s="865" t="s">
        <v>2544</v>
      </c>
      <c r="G614" s="865"/>
      <c r="H614" s="865"/>
      <c r="I614" s="865"/>
      <c r="J614" s="865" t="s">
        <v>129</v>
      </c>
      <c r="K614" s="865"/>
      <c r="L614" s="865"/>
      <c r="M614" s="865"/>
      <c r="N614" s="865"/>
      <c r="O614" s="865"/>
      <c r="P614" s="865"/>
    </row>
    <row r="615" spans="1:16" x14ac:dyDescent="0.25">
      <c r="A615" s="675"/>
      <c r="B615" s="865" t="s">
        <v>1156</v>
      </c>
      <c r="C615" s="865"/>
      <c r="D615" s="865"/>
      <c r="E615" s="865"/>
      <c r="F615" s="865" t="s">
        <v>2543</v>
      </c>
      <c r="G615" s="865"/>
      <c r="H615" s="865"/>
      <c r="I615" s="865"/>
      <c r="J615" s="865" t="s">
        <v>129</v>
      </c>
      <c r="K615" s="865"/>
      <c r="L615" s="865"/>
      <c r="M615" s="865"/>
      <c r="N615" s="865"/>
      <c r="O615" s="865"/>
      <c r="P615" s="865"/>
    </row>
    <row r="616" spans="1:16" ht="54.4" customHeight="1" x14ac:dyDescent="0.25">
      <c r="A616" s="675"/>
      <c r="B616" s="865" t="s">
        <v>1169</v>
      </c>
      <c r="C616" s="865"/>
      <c r="D616" s="865"/>
      <c r="E616" s="865"/>
      <c r="F616" s="865" t="s">
        <v>2542</v>
      </c>
      <c r="G616" s="865"/>
      <c r="H616" s="865"/>
      <c r="I616" s="865"/>
      <c r="J616" s="865" t="s">
        <v>129</v>
      </c>
      <c r="K616" s="865"/>
      <c r="L616" s="865"/>
      <c r="M616" s="865"/>
      <c r="N616" s="865"/>
      <c r="O616" s="865"/>
      <c r="P616" s="865"/>
    </row>
    <row r="617" spans="1:16" ht="27.2" customHeight="1" x14ac:dyDescent="0.25">
      <c r="A617" s="675"/>
      <c r="B617" s="865" t="s">
        <v>1160</v>
      </c>
      <c r="C617" s="865"/>
      <c r="D617" s="865"/>
      <c r="E617" s="865"/>
      <c r="F617" s="865" t="s">
        <v>2541</v>
      </c>
      <c r="G617" s="865"/>
      <c r="H617" s="865"/>
      <c r="I617" s="865"/>
      <c r="J617" s="865" t="s">
        <v>129</v>
      </c>
      <c r="K617" s="865"/>
      <c r="L617" s="865"/>
      <c r="M617" s="865"/>
      <c r="N617" s="865"/>
      <c r="O617" s="865"/>
      <c r="P617" s="865"/>
    </row>
    <row r="618" spans="1:16" ht="27.2" customHeight="1" x14ac:dyDescent="0.25">
      <c r="A618" s="675"/>
      <c r="B618" s="865" t="s">
        <v>1162</v>
      </c>
      <c r="C618" s="865"/>
      <c r="D618" s="865"/>
      <c r="E618" s="865"/>
      <c r="F618" s="865" t="s">
        <v>2540</v>
      </c>
      <c r="G618" s="865"/>
      <c r="H618" s="865"/>
      <c r="I618" s="865"/>
      <c r="J618" s="865" t="s">
        <v>129</v>
      </c>
      <c r="K618" s="865"/>
      <c r="L618" s="865"/>
      <c r="M618" s="865"/>
      <c r="N618" s="865"/>
      <c r="O618" s="865"/>
      <c r="P618" s="865"/>
    </row>
    <row r="619" spans="1:16" ht="27.2" customHeight="1" x14ac:dyDescent="0.25">
      <c r="A619" s="675"/>
      <c r="B619" s="865" t="s">
        <v>1164</v>
      </c>
      <c r="C619" s="865"/>
      <c r="D619" s="865"/>
      <c r="E619" s="865"/>
      <c r="F619" s="865" t="s">
        <v>2539</v>
      </c>
      <c r="G619" s="865"/>
      <c r="H619" s="865"/>
      <c r="I619" s="865"/>
      <c r="J619" s="865" t="s">
        <v>129</v>
      </c>
      <c r="K619" s="865"/>
      <c r="L619" s="865"/>
      <c r="M619" s="865"/>
      <c r="N619" s="865"/>
      <c r="O619" s="865"/>
      <c r="P619" s="865"/>
    </row>
    <row r="620" spans="1:16" x14ac:dyDescent="0.25">
      <c r="A620" s="675"/>
      <c r="B620" s="865" t="s">
        <v>1170</v>
      </c>
      <c r="C620" s="865"/>
      <c r="D620" s="865"/>
      <c r="E620" s="865"/>
      <c r="F620" s="865" t="s">
        <v>2538</v>
      </c>
      <c r="G620" s="865"/>
      <c r="H620" s="865"/>
      <c r="I620" s="865"/>
      <c r="J620" s="865" t="s">
        <v>129</v>
      </c>
      <c r="K620" s="865"/>
      <c r="L620" s="865"/>
      <c r="M620" s="865"/>
      <c r="N620" s="865"/>
      <c r="O620" s="865"/>
      <c r="P620" s="865"/>
    </row>
    <row r="621" spans="1:16" ht="244.9" customHeight="1" x14ac:dyDescent="0.25">
      <c r="A621" s="674" t="s">
        <v>200</v>
      </c>
      <c r="B621" s="781" t="s">
        <v>1204</v>
      </c>
      <c r="C621" s="782"/>
      <c r="D621" s="782"/>
      <c r="E621" s="782"/>
      <c r="F621" s="782" t="s">
        <v>1211</v>
      </c>
      <c r="G621" s="782"/>
      <c r="H621" s="782"/>
      <c r="I621" s="782"/>
      <c r="J621" s="782" t="s">
        <v>2554</v>
      </c>
      <c r="K621" s="782"/>
      <c r="L621" s="782"/>
      <c r="M621" s="866">
        <f>ROUND((122600 + 641 * 450) * 1 * 1.68 * 0.4 * 0.9 * 1.1 * 1.24, 0)</f>
        <v>339095</v>
      </c>
      <c r="N621" s="782"/>
      <c r="O621" s="782" t="s">
        <v>1212</v>
      </c>
      <c r="P621" s="782"/>
    </row>
    <row r="622" spans="1:16" x14ac:dyDescent="0.25">
      <c r="A622" s="676"/>
      <c r="B622" s="864" t="s">
        <v>306</v>
      </c>
      <c r="C622" s="864"/>
      <c r="D622" s="864"/>
      <c r="E622" s="864"/>
      <c r="F622" s="864" t="s">
        <v>129</v>
      </c>
      <c r="G622" s="864"/>
      <c r="H622" s="864"/>
      <c r="I622" s="864"/>
      <c r="J622" s="864" t="s">
        <v>129</v>
      </c>
      <c r="K622" s="864"/>
      <c r="L622" s="864"/>
      <c r="M622" s="864"/>
      <c r="N622" s="864"/>
      <c r="O622" s="864"/>
      <c r="P622" s="864"/>
    </row>
    <row r="623" spans="1:16" x14ac:dyDescent="0.25">
      <c r="A623" s="675"/>
      <c r="B623" s="865" t="s">
        <v>325</v>
      </c>
      <c r="C623" s="865"/>
      <c r="D623" s="865"/>
      <c r="E623" s="865"/>
      <c r="F623" s="865" t="s">
        <v>326</v>
      </c>
      <c r="G623" s="865"/>
      <c r="H623" s="865"/>
      <c r="I623" s="865"/>
      <c r="J623" s="865" t="s">
        <v>129</v>
      </c>
      <c r="K623" s="865"/>
      <c r="L623" s="865"/>
      <c r="M623" s="865"/>
      <c r="N623" s="865"/>
      <c r="O623" s="865"/>
      <c r="P623" s="865"/>
    </row>
    <row r="624" spans="1:16" ht="40.9" customHeight="1" x14ac:dyDescent="0.25">
      <c r="A624" s="675"/>
      <c r="B624" s="865" t="s">
        <v>331</v>
      </c>
      <c r="C624" s="865"/>
      <c r="D624" s="865"/>
      <c r="E624" s="865"/>
      <c r="F624" s="865" t="s">
        <v>332</v>
      </c>
      <c r="G624" s="865"/>
      <c r="H624" s="865"/>
      <c r="I624" s="865"/>
      <c r="J624" s="865" t="s">
        <v>129</v>
      </c>
      <c r="K624" s="865"/>
      <c r="L624" s="865"/>
      <c r="M624" s="865"/>
      <c r="N624" s="865"/>
      <c r="O624" s="865"/>
      <c r="P624" s="865"/>
    </row>
    <row r="625" spans="1:16" ht="108.75" customHeight="1" x14ac:dyDescent="0.25">
      <c r="A625" s="675"/>
      <c r="B625" s="865" t="s">
        <v>1809</v>
      </c>
      <c r="C625" s="865"/>
      <c r="D625" s="865"/>
      <c r="E625" s="865"/>
      <c r="F625" s="865" t="s">
        <v>1810</v>
      </c>
      <c r="G625" s="865"/>
      <c r="H625" s="865"/>
      <c r="I625" s="865"/>
      <c r="J625" s="865" t="s">
        <v>129</v>
      </c>
      <c r="K625" s="865"/>
      <c r="L625" s="865"/>
      <c r="M625" s="865"/>
      <c r="N625" s="865"/>
      <c r="O625" s="865"/>
      <c r="P625" s="865"/>
    </row>
    <row r="626" spans="1:16" ht="95.25" customHeight="1" x14ac:dyDescent="0.25">
      <c r="A626" s="675"/>
      <c r="B626" s="865" t="s">
        <v>1207</v>
      </c>
      <c r="C626" s="865"/>
      <c r="D626" s="865"/>
      <c r="E626" s="865"/>
      <c r="F626" s="865" t="s">
        <v>2553</v>
      </c>
      <c r="G626" s="865"/>
      <c r="H626" s="865"/>
      <c r="I626" s="865"/>
      <c r="J626" s="865" t="s">
        <v>129</v>
      </c>
      <c r="K626" s="865"/>
      <c r="L626" s="865"/>
      <c r="M626" s="865"/>
      <c r="N626" s="865"/>
      <c r="O626" s="865"/>
      <c r="P626" s="865"/>
    </row>
    <row r="627" spans="1:16" ht="149.65" customHeight="1" x14ac:dyDescent="0.25">
      <c r="A627" s="675"/>
      <c r="B627" s="865" t="s">
        <v>329</v>
      </c>
      <c r="C627" s="865"/>
      <c r="D627" s="865"/>
      <c r="E627" s="865"/>
      <c r="F627" s="865" t="s">
        <v>2466</v>
      </c>
      <c r="G627" s="865"/>
      <c r="H627" s="865"/>
      <c r="I627" s="865"/>
      <c r="J627" s="865" t="s">
        <v>129</v>
      </c>
      <c r="K627" s="865"/>
      <c r="L627" s="865"/>
      <c r="M627" s="865"/>
      <c r="N627" s="865"/>
      <c r="O627" s="865"/>
      <c r="P627" s="865"/>
    </row>
    <row r="628" spans="1:16" x14ac:dyDescent="0.25">
      <c r="A628" s="676"/>
      <c r="B628" s="864" t="s">
        <v>330</v>
      </c>
      <c r="C628" s="864"/>
      <c r="D628" s="864"/>
      <c r="E628" s="864"/>
      <c r="F628" s="864" t="s">
        <v>129</v>
      </c>
      <c r="G628" s="864"/>
      <c r="H628" s="864"/>
      <c r="I628" s="864"/>
      <c r="J628" s="864" t="s">
        <v>129</v>
      </c>
      <c r="K628" s="864"/>
      <c r="L628" s="864"/>
      <c r="M628" s="864"/>
      <c r="N628" s="864"/>
      <c r="O628" s="864"/>
      <c r="P628" s="864"/>
    </row>
    <row r="629" spans="1:16" x14ac:dyDescent="0.25">
      <c r="A629" s="675"/>
      <c r="B629" s="865" t="s">
        <v>1028</v>
      </c>
      <c r="C629" s="865"/>
      <c r="D629" s="865"/>
      <c r="E629" s="865"/>
      <c r="F629" s="865" t="s">
        <v>2552</v>
      </c>
      <c r="G629" s="865"/>
      <c r="H629" s="865"/>
      <c r="I629" s="865"/>
      <c r="J629" s="865" t="s">
        <v>129</v>
      </c>
      <c r="K629" s="865"/>
      <c r="L629" s="865"/>
      <c r="M629" s="865"/>
      <c r="N629" s="865"/>
      <c r="O629" s="865"/>
      <c r="P629" s="865"/>
    </row>
    <row r="630" spans="1:16" x14ac:dyDescent="0.25">
      <c r="A630" s="675"/>
      <c r="B630" s="865" t="s">
        <v>1156</v>
      </c>
      <c r="C630" s="865"/>
      <c r="D630" s="865"/>
      <c r="E630" s="865"/>
      <c r="F630" s="865" t="s">
        <v>2551</v>
      </c>
      <c r="G630" s="865"/>
      <c r="H630" s="865"/>
      <c r="I630" s="865"/>
      <c r="J630" s="865" t="s">
        <v>129</v>
      </c>
      <c r="K630" s="865"/>
      <c r="L630" s="865"/>
      <c r="M630" s="865"/>
      <c r="N630" s="865"/>
      <c r="O630" s="865"/>
      <c r="P630" s="865"/>
    </row>
    <row r="631" spans="1:16" ht="54.4" customHeight="1" x14ac:dyDescent="0.25">
      <c r="A631" s="675"/>
      <c r="B631" s="865" t="s">
        <v>1169</v>
      </c>
      <c r="C631" s="865"/>
      <c r="D631" s="865"/>
      <c r="E631" s="865"/>
      <c r="F631" s="865" t="s">
        <v>2550</v>
      </c>
      <c r="G631" s="865"/>
      <c r="H631" s="865"/>
      <c r="I631" s="865"/>
      <c r="J631" s="865" t="s">
        <v>129</v>
      </c>
      <c r="K631" s="865"/>
      <c r="L631" s="865"/>
      <c r="M631" s="865"/>
      <c r="N631" s="865"/>
      <c r="O631" s="865"/>
      <c r="P631" s="865"/>
    </row>
    <row r="632" spans="1:16" ht="27.2" customHeight="1" x14ac:dyDescent="0.25">
      <c r="A632" s="675"/>
      <c r="B632" s="865" t="s">
        <v>1160</v>
      </c>
      <c r="C632" s="865"/>
      <c r="D632" s="865"/>
      <c r="E632" s="865"/>
      <c r="F632" s="865" t="s">
        <v>2549</v>
      </c>
      <c r="G632" s="865"/>
      <c r="H632" s="865"/>
      <c r="I632" s="865"/>
      <c r="J632" s="865" t="s">
        <v>129</v>
      </c>
      <c r="K632" s="865"/>
      <c r="L632" s="865"/>
      <c r="M632" s="865"/>
      <c r="N632" s="865"/>
      <c r="O632" s="865"/>
      <c r="P632" s="865"/>
    </row>
    <row r="633" spans="1:16" ht="27.2" customHeight="1" x14ac:dyDescent="0.25">
      <c r="A633" s="675"/>
      <c r="B633" s="865" t="s">
        <v>1162</v>
      </c>
      <c r="C633" s="865"/>
      <c r="D633" s="865"/>
      <c r="E633" s="865"/>
      <c r="F633" s="865" t="s">
        <v>2548</v>
      </c>
      <c r="G633" s="865"/>
      <c r="H633" s="865"/>
      <c r="I633" s="865"/>
      <c r="J633" s="865" t="s">
        <v>129</v>
      </c>
      <c r="K633" s="865"/>
      <c r="L633" s="865"/>
      <c r="M633" s="865"/>
      <c r="N633" s="865"/>
      <c r="O633" s="865"/>
      <c r="P633" s="865"/>
    </row>
    <row r="634" spans="1:16" ht="27.2" customHeight="1" x14ac:dyDescent="0.25">
      <c r="A634" s="675"/>
      <c r="B634" s="865" t="s">
        <v>1164</v>
      </c>
      <c r="C634" s="865"/>
      <c r="D634" s="865"/>
      <c r="E634" s="865"/>
      <c r="F634" s="865" t="s">
        <v>2547</v>
      </c>
      <c r="G634" s="865"/>
      <c r="H634" s="865"/>
      <c r="I634" s="865"/>
      <c r="J634" s="865" t="s">
        <v>129</v>
      </c>
      <c r="K634" s="865"/>
      <c r="L634" s="865"/>
      <c r="M634" s="865"/>
      <c r="N634" s="865"/>
      <c r="O634" s="865"/>
      <c r="P634" s="865"/>
    </row>
    <row r="635" spans="1:16" x14ac:dyDescent="0.25">
      <c r="A635" s="675"/>
      <c r="B635" s="865" t="s">
        <v>1170</v>
      </c>
      <c r="C635" s="865"/>
      <c r="D635" s="865"/>
      <c r="E635" s="865"/>
      <c r="F635" s="865" t="s">
        <v>2546</v>
      </c>
      <c r="G635" s="865"/>
      <c r="H635" s="865"/>
      <c r="I635" s="865"/>
      <c r="J635" s="865" t="s">
        <v>129</v>
      </c>
      <c r="K635" s="865"/>
      <c r="L635" s="865"/>
      <c r="M635" s="865"/>
      <c r="N635" s="865"/>
      <c r="O635" s="865"/>
      <c r="P635" s="865"/>
    </row>
    <row r="636" spans="1:16" ht="149.65" customHeight="1" x14ac:dyDescent="0.25">
      <c r="A636" s="674" t="s">
        <v>201</v>
      </c>
      <c r="B636" s="781" t="s">
        <v>1208</v>
      </c>
      <c r="C636" s="782"/>
      <c r="D636" s="782"/>
      <c r="E636" s="782"/>
      <c r="F636" s="782" t="s">
        <v>1209</v>
      </c>
      <c r="G636" s="782"/>
      <c r="H636" s="782"/>
      <c r="I636" s="782"/>
      <c r="J636" s="782" t="s">
        <v>2545</v>
      </c>
      <c r="K636" s="782"/>
      <c r="L636" s="782"/>
      <c r="M636" s="866">
        <f>ROUND(20300 * 1 * 1.68 * 0.4 * 0.9 * 1.24, 0)</f>
        <v>15224</v>
      </c>
      <c r="N636" s="782"/>
      <c r="O636" s="782" t="s">
        <v>1213</v>
      </c>
      <c r="P636" s="782"/>
    </row>
    <row r="637" spans="1:16" x14ac:dyDescent="0.25">
      <c r="A637" s="676"/>
      <c r="B637" s="864" t="s">
        <v>306</v>
      </c>
      <c r="C637" s="864"/>
      <c r="D637" s="864"/>
      <c r="E637" s="864"/>
      <c r="F637" s="864" t="s">
        <v>129</v>
      </c>
      <c r="G637" s="864"/>
      <c r="H637" s="864"/>
      <c r="I637" s="864"/>
      <c r="J637" s="864" t="s">
        <v>129</v>
      </c>
      <c r="K637" s="864"/>
      <c r="L637" s="864"/>
      <c r="M637" s="864"/>
      <c r="N637" s="864"/>
      <c r="O637" s="864"/>
      <c r="P637" s="864"/>
    </row>
    <row r="638" spans="1:16" x14ac:dyDescent="0.25">
      <c r="A638" s="675"/>
      <c r="B638" s="865" t="s">
        <v>325</v>
      </c>
      <c r="C638" s="865"/>
      <c r="D638" s="865"/>
      <c r="E638" s="865"/>
      <c r="F638" s="865" t="s">
        <v>326</v>
      </c>
      <c r="G638" s="865"/>
      <c r="H638" s="865"/>
      <c r="I638" s="865"/>
      <c r="J638" s="865" t="s">
        <v>129</v>
      </c>
      <c r="K638" s="865"/>
      <c r="L638" s="865"/>
      <c r="M638" s="865"/>
      <c r="N638" s="865"/>
      <c r="O638" s="865"/>
      <c r="P638" s="865"/>
    </row>
    <row r="639" spans="1:16" ht="40.9" customHeight="1" x14ac:dyDescent="0.25">
      <c r="A639" s="675"/>
      <c r="B639" s="865" t="s">
        <v>331</v>
      </c>
      <c r="C639" s="865"/>
      <c r="D639" s="865"/>
      <c r="E639" s="865"/>
      <c r="F639" s="865" t="s">
        <v>332</v>
      </c>
      <c r="G639" s="865"/>
      <c r="H639" s="865"/>
      <c r="I639" s="865"/>
      <c r="J639" s="865" t="s">
        <v>129</v>
      </c>
      <c r="K639" s="865"/>
      <c r="L639" s="865"/>
      <c r="M639" s="865"/>
      <c r="N639" s="865"/>
      <c r="O639" s="865"/>
      <c r="P639" s="865"/>
    </row>
    <row r="640" spans="1:16" ht="108.75" customHeight="1" x14ac:dyDescent="0.25">
      <c r="A640" s="675"/>
      <c r="B640" s="865" t="s">
        <v>1809</v>
      </c>
      <c r="C640" s="865"/>
      <c r="D640" s="865"/>
      <c r="E640" s="865"/>
      <c r="F640" s="865" t="s">
        <v>1810</v>
      </c>
      <c r="G640" s="865"/>
      <c r="H640" s="865"/>
      <c r="I640" s="865"/>
      <c r="J640" s="865" t="s">
        <v>129</v>
      </c>
      <c r="K640" s="865"/>
      <c r="L640" s="865"/>
      <c r="M640" s="865"/>
      <c r="N640" s="865"/>
      <c r="O640" s="865"/>
      <c r="P640" s="865"/>
    </row>
    <row r="641" spans="1:16" ht="149.65" customHeight="1" x14ac:dyDescent="0.25">
      <c r="A641" s="675"/>
      <c r="B641" s="865" t="s">
        <v>329</v>
      </c>
      <c r="C641" s="865"/>
      <c r="D641" s="865"/>
      <c r="E641" s="865"/>
      <c r="F641" s="865" t="s">
        <v>340</v>
      </c>
      <c r="G641" s="865"/>
      <c r="H641" s="865"/>
      <c r="I641" s="865"/>
      <c r="J641" s="865" t="s">
        <v>129</v>
      </c>
      <c r="K641" s="865"/>
      <c r="L641" s="865"/>
      <c r="M641" s="865"/>
      <c r="N641" s="865"/>
      <c r="O641" s="865"/>
      <c r="P641" s="865"/>
    </row>
    <row r="642" spans="1:16" x14ac:dyDescent="0.25">
      <c r="A642" s="676"/>
      <c r="B642" s="864" t="s">
        <v>330</v>
      </c>
      <c r="C642" s="864"/>
      <c r="D642" s="864"/>
      <c r="E642" s="864"/>
      <c r="F642" s="864" t="s">
        <v>129</v>
      </c>
      <c r="G642" s="864"/>
      <c r="H642" s="864"/>
      <c r="I642" s="864"/>
      <c r="J642" s="864" t="s">
        <v>129</v>
      </c>
      <c r="K642" s="864"/>
      <c r="L642" s="864"/>
      <c r="M642" s="864"/>
      <c r="N642" s="864"/>
      <c r="O642" s="864"/>
      <c r="P642" s="864"/>
    </row>
    <row r="643" spans="1:16" x14ac:dyDescent="0.25">
      <c r="A643" s="675"/>
      <c r="B643" s="865" t="s">
        <v>1028</v>
      </c>
      <c r="C643" s="865"/>
      <c r="D643" s="865"/>
      <c r="E643" s="865"/>
      <c r="F643" s="865" t="s">
        <v>2544</v>
      </c>
      <c r="G643" s="865"/>
      <c r="H643" s="865"/>
      <c r="I643" s="865"/>
      <c r="J643" s="865" t="s">
        <v>129</v>
      </c>
      <c r="K643" s="865"/>
      <c r="L643" s="865"/>
      <c r="M643" s="865"/>
      <c r="N643" s="865"/>
      <c r="O643" s="865"/>
      <c r="P643" s="865"/>
    </row>
    <row r="644" spans="1:16" x14ac:dyDescent="0.25">
      <c r="A644" s="675"/>
      <c r="B644" s="865" t="s">
        <v>1156</v>
      </c>
      <c r="C644" s="865"/>
      <c r="D644" s="865"/>
      <c r="E644" s="865"/>
      <c r="F644" s="865" t="s">
        <v>2543</v>
      </c>
      <c r="G644" s="865"/>
      <c r="H644" s="865"/>
      <c r="I644" s="865"/>
      <c r="J644" s="865" t="s">
        <v>129</v>
      </c>
      <c r="K644" s="865"/>
      <c r="L644" s="865"/>
      <c r="M644" s="865"/>
      <c r="N644" s="865"/>
      <c r="O644" s="865"/>
      <c r="P644" s="865"/>
    </row>
    <row r="645" spans="1:16" ht="54.4" customHeight="1" x14ac:dyDescent="0.25">
      <c r="A645" s="675"/>
      <c r="B645" s="865" t="s">
        <v>1169</v>
      </c>
      <c r="C645" s="865"/>
      <c r="D645" s="865"/>
      <c r="E645" s="865"/>
      <c r="F645" s="865" t="s">
        <v>2542</v>
      </c>
      <c r="G645" s="865"/>
      <c r="H645" s="865"/>
      <c r="I645" s="865"/>
      <c r="J645" s="865" t="s">
        <v>129</v>
      </c>
      <c r="K645" s="865"/>
      <c r="L645" s="865"/>
      <c r="M645" s="865"/>
      <c r="N645" s="865"/>
      <c r="O645" s="865"/>
      <c r="P645" s="865"/>
    </row>
    <row r="646" spans="1:16" ht="27.2" customHeight="1" x14ac:dyDescent="0.25">
      <c r="A646" s="675"/>
      <c r="B646" s="865" t="s">
        <v>1160</v>
      </c>
      <c r="C646" s="865"/>
      <c r="D646" s="865"/>
      <c r="E646" s="865"/>
      <c r="F646" s="865" t="s">
        <v>2541</v>
      </c>
      <c r="G646" s="865"/>
      <c r="H646" s="865"/>
      <c r="I646" s="865"/>
      <c r="J646" s="865" t="s">
        <v>129</v>
      </c>
      <c r="K646" s="865"/>
      <c r="L646" s="865"/>
      <c r="M646" s="865"/>
      <c r="N646" s="865"/>
      <c r="O646" s="865"/>
      <c r="P646" s="865"/>
    </row>
    <row r="647" spans="1:16" ht="27.2" customHeight="1" x14ac:dyDescent="0.25">
      <c r="A647" s="675"/>
      <c r="B647" s="865" t="s">
        <v>1162</v>
      </c>
      <c r="C647" s="865"/>
      <c r="D647" s="865"/>
      <c r="E647" s="865"/>
      <c r="F647" s="865" t="s">
        <v>2540</v>
      </c>
      <c r="G647" s="865"/>
      <c r="H647" s="865"/>
      <c r="I647" s="865"/>
      <c r="J647" s="865" t="s">
        <v>129</v>
      </c>
      <c r="K647" s="865"/>
      <c r="L647" s="865"/>
      <c r="M647" s="865"/>
      <c r="N647" s="865"/>
      <c r="O647" s="865"/>
      <c r="P647" s="865"/>
    </row>
    <row r="648" spans="1:16" ht="27.2" customHeight="1" x14ac:dyDescent="0.25">
      <c r="A648" s="675"/>
      <c r="B648" s="865" t="s">
        <v>1164</v>
      </c>
      <c r="C648" s="865"/>
      <c r="D648" s="865"/>
      <c r="E648" s="865"/>
      <c r="F648" s="865" t="s">
        <v>2539</v>
      </c>
      <c r="G648" s="865"/>
      <c r="H648" s="865"/>
      <c r="I648" s="865"/>
      <c r="J648" s="865" t="s">
        <v>129</v>
      </c>
      <c r="K648" s="865"/>
      <c r="L648" s="865"/>
      <c r="M648" s="865"/>
      <c r="N648" s="865"/>
      <c r="O648" s="865"/>
      <c r="P648" s="865"/>
    </row>
    <row r="649" spans="1:16" x14ac:dyDescent="0.25">
      <c r="A649" s="675"/>
      <c r="B649" s="865" t="s">
        <v>1170</v>
      </c>
      <c r="C649" s="865"/>
      <c r="D649" s="865"/>
      <c r="E649" s="865"/>
      <c r="F649" s="865" t="s">
        <v>2538</v>
      </c>
      <c r="G649" s="865"/>
      <c r="H649" s="865"/>
      <c r="I649" s="865"/>
      <c r="J649" s="865" t="s">
        <v>129</v>
      </c>
      <c r="K649" s="865"/>
      <c r="L649" s="865"/>
      <c r="M649" s="865"/>
      <c r="N649" s="865"/>
      <c r="O649" s="865"/>
      <c r="P649" s="865"/>
    </row>
    <row r="650" spans="1:16" ht="163.15" customHeight="1" x14ac:dyDescent="0.25">
      <c r="A650" s="674" t="s">
        <v>202</v>
      </c>
      <c r="B650" s="781" t="s">
        <v>1214</v>
      </c>
      <c r="C650" s="782"/>
      <c r="D650" s="782"/>
      <c r="E650" s="782"/>
      <c r="F650" s="782" t="s">
        <v>1215</v>
      </c>
      <c r="G650" s="782"/>
      <c r="H650" s="782"/>
      <c r="I650" s="782"/>
      <c r="J650" s="782" t="s">
        <v>2537</v>
      </c>
      <c r="K650" s="782"/>
      <c r="L650" s="782"/>
      <c r="M650" s="866">
        <f>ROUND((103700 + 62 * (0.4 * 5000 + 0.6 * 5300)) * 1 * 1.68 * 0.4 * 0.9 * 1.25895, 0)</f>
        <v>323494</v>
      </c>
      <c r="N650" s="782"/>
      <c r="O650" s="782" t="s">
        <v>129</v>
      </c>
      <c r="P650" s="782"/>
    </row>
    <row r="651" spans="1:16" x14ac:dyDescent="0.25">
      <c r="A651" s="676"/>
      <c r="B651" s="864" t="s">
        <v>306</v>
      </c>
      <c r="C651" s="864"/>
      <c r="D651" s="864"/>
      <c r="E651" s="864"/>
      <c r="F651" s="864" t="s">
        <v>129</v>
      </c>
      <c r="G651" s="864"/>
      <c r="H651" s="864"/>
      <c r="I651" s="864"/>
      <c r="J651" s="864" t="s">
        <v>129</v>
      </c>
      <c r="K651" s="864"/>
      <c r="L651" s="864"/>
      <c r="M651" s="864"/>
      <c r="N651" s="864"/>
      <c r="O651" s="864"/>
      <c r="P651" s="864"/>
    </row>
    <row r="652" spans="1:16" x14ac:dyDescent="0.25">
      <c r="A652" s="675"/>
      <c r="B652" s="865" t="s">
        <v>325</v>
      </c>
      <c r="C652" s="865"/>
      <c r="D652" s="865"/>
      <c r="E652" s="865"/>
      <c r="F652" s="865" t="s">
        <v>326</v>
      </c>
      <c r="G652" s="865"/>
      <c r="H652" s="865"/>
      <c r="I652" s="865"/>
      <c r="J652" s="865" t="s">
        <v>129</v>
      </c>
      <c r="K652" s="865"/>
      <c r="L652" s="865"/>
      <c r="M652" s="865"/>
      <c r="N652" s="865"/>
      <c r="O652" s="865"/>
      <c r="P652" s="865"/>
    </row>
    <row r="653" spans="1:16" ht="40.9" customHeight="1" x14ac:dyDescent="0.25">
      <c r="A653" s="675"/>
      <c r="B653" s="865" t="s">
        <v>331</v>
      </c>
      <c r="C653" s="865"/>
      <c r="D653" s="865"/>
      <c r="E653" s="865"/>
      <c r="F653" s="865" t="s">
        <v>332</v>
      </c>
      <c r="G653" s="865"/>
      <c r="H653" s="865"/>
      <c r="I653" s="865"/>
      <c r="J653" s="865" t="s">
        <v>129</v>
      </c>
      <c r="K653" s="865"/>
      <c r="L653" s="865"/>
      <c r="M653" s="865"/>
      <c r="N653" s="865"/>
      <c r="O653" s="865"/>
      <c r="P653" s="865"/>
    </row>
    <row r="654" spans="1:16" ht="108.75" customHeight="1" x14ac:dyDescent="0.25">
      <c r="A654" s="675"/>
      <c r="B654" s="865" t="s">
        <v>1809</v>
      </c>
      <c r="C654" s="865"/>
      <c r="D654" s="865"/>
      <c r="E654" s="865"/>
      <c r="F654" s="865" t="s">
        <v>1810</v>
      </c>
      <c r="G654" s="865"/>
      <c r="H654" s="865"/>
      <c r="I654" s="865"/>
      <c r="J654" s="865" t="s">
        <v>129</v>
      </c>
      <c r="K654" s="865"/>
      <c r="L654" s="865"/>
      <c r="M654" s="865"/>
      <c r="N654" s="865"/>
      <c r="O654" s="865"/>
      <c r="P654" s="865"/>
    </row>
    <row r="655" spans="1:16" ht="149.65" customHeight="1" x14ac:dyDescent="0.25">
      <c r="A655" s="675"/>
      <c r="B655" s="865" t="s">
        <v>329</v>
      </c>
      <c r="C655" s="865"/>
      <c r="D655" s="865"/>
      <c r="E655" s="865"/>
      <c r="F655" s="865" t="s">
        <v>340</v>
      </c>
      <c r="G655" s="865"/>
      <c r="H655" s="865"/>
      <c r="I655" s="865"/>
      <c r="J655" s="865" t="s">
        <v>129</v>
      </c>
      <c r="K655" s="865"/>
      <c r="L655" s="865"/>
      <c r="M655" s="865"/>
      <c r="N655" s="865"/>
      <c r="O655" s="865"/>
      <c r="P655" s="865"/>
    </row>
    <row r="656" spans="1:16" x14ac:dyDescent="0.25">
      <c r="A656" s="676"/>
      <c r="B656" s="864" t="s">
        <v>330</v>
      </c>
      <c r="C656" s="864"/>
      <c r="D656" s="864"/>
      <c r="E656" s="864"/>
      <c r="F656" s="864" t="s">
        <v>129</v>
      </c>
      <c r="G656" s="864"/>
      <c r="H656" s="864"/>
      <c r="I656" s="864"/>
      <c r="J656" s="864" t="s">
        <v>129</v>
      </c>
      <c r="K656" s="864"/>
      <c r="L656" s="864"/>
      <c r="M656" s="864"/>
      <c r="N656" s="864"/>
      <c r="O656" s="864"/>
      <c r="P656" s="864"/>
    </row>
    <row r="657" spans="1:16" x14ac:dyDescent="0.25">
      <c r="A657" s="675"/>
      <c r="B657" s="865" t="s">
        <v>1028</v>
      </c>
      <c r="C657" s="865"/>
      <c r="D657" s="865"/>
      <c r="E657" s="865"/>
      <c r="F657" s="865" t="s">
        <v>2536</v>
      </c>
      <c r="G657" s="865"/>
      <c r="H657" s="865"/>
      <c r="I657" s="865"/>
      <c r="J657" s="865" t="s">
        <v>129</v>
      </c>
      <c r="K657" s="865"/>
      <c r="L657" s="865"/>
      <c r="M657" s="865"/>
      <c r="N657" s="865"/>
      <c r="O657" s="865"/>
      <c r="P657" s="865"/>
    </row>
    <row r="658" spans="1:16" x14ac:dyDescent="0.25">
      <c r="A658" s="675"/>
      <c r="B658" s="865" t="s">
        <v>1156</v>
      </c>
      <c r="C658" s="865"/>
      <c r="D658" s="865"/>
      <c r="E658" s="865"/>
      <c r="F658" s="865" t="s">
        <v>2535</v>
      </c>
      <c r="G658" s="865"/>
      <c r="H658" s="865"/>
      <c r="I658" s="865"/>
      <c r="J658" s="865" t="s">
        <v>129</v>
      </c>
      <c r="K658" s="865"/>
      <c r="L658" s="865"/>
      <c r="M658" s="865"/>
      <c r="N658" s="865"/>
      <c r="O658" s="865"/>
      <c r="P658" s="865"/>
    </row>
    <row r="659" spans="1:16" ht="54.4" customHeight="1" x14ac:dyDescent="0.25">
      <c r="A659" s="675"/>
      <c r="B659" s="865" t="s">
        <v>1169</v>
      </c>
      <c r="C659" s="865"/>
      <c r="D659" s="865"/>
      <c r="E659" s="865"/>
      <c r="F659" s="865" t="s">
        <v>2534</v>
      </c>
      <c r="G659" s="865"/>
      <c r="H659" s="865"/>
      <c r="I659" s="865"/>
      <c r="J659" s="865" t="s">
        <v>129</v>
      </c>
      <c r="K659" s="865"/>
      <c r="L659" s="865"/>
      <c r="M659" s="865"/>
      <c r="N659" s="865"/>
      <c r="O659" s="865"/>
      <c r="P659" s="865"/>
    </row>
    <row r="660" spans="1:16" ht="27.2" customHeight="1" x14ac:dyDescent="0.25">
      <c r="A660" s="675"/>
      <c r="B660" s="865" t="s">
        <v>1054</v>
      </c>
      <c r="C660" s="865"/>
      <c r="D660" s="865"/>
      <c r="E660" s="865"/>
      <c r="F660" s="865" t="s">
        <v>2533</v>
      </c>
      <c r="G660" s="865"/>
      <c r="H660" s="865"/>
      <c r="I660" s="865"/>
      <c r="J660" s="865" t="s">
        <v>129</v>
      </c>
      <c r="K660" s="865"/>
      <c r="L660" s="865"/>
      <c r="M660" s="865"/>
      <c r="N660" s="865"/>
      <c r="O660" s="865"/>
      <c r="P660" s="865"/>
    </row>
    <row r="661" spans="1:16" ht="27.2" customHeight="1" x14ac:dyDescent="0.25">
      <c r="A661" s="675"/>
      <c r="B661" s="865" t="s">
        <v>1055</v>
      </c>
      <c r="C661" s="865"/>
      <c r="D661" s="865"/>
      <c r="E661" s="865"/>
      <c r="F661" s="865" t="s">
        <v>2532</v>
      </c>
      <c r="G661" s="865"/>
      <c r="H661" s="865"/>
      <c r="I661" s="865"/>
      <c r="J661" s="865" t="s">
        <v>129</v>
      </c>
      <c r="K661" s="865"/>
      <c r="L661" s="865"/>
      <c r="M661" s="865"/>
      <c r="N661" s="865"/>
      <c r="O661" s="865"/>
      <c r="P661" s="865"/>
    </row>
    <row r="662" spans="1:16" x14ac:dyDescent="0.25">
      <c r="A662" s="675"/>
      <c r="B662" s="865" t="s">
        <v>1192</v>
      </c>
      <c r="C662" s="865"/>
      <c r="D662" s="865"/>
      <c r="E662" s="865"/>
      <c r="F662" s="865" t="s">
        <v>2531</v>
      </c>
      <c r="G662" s="865"/>
      <c r="H662" s="865"/>
      <c r="I662" s="865"/>
      <c r="J662" s="865" t="s">
        <v>129</v>
      </c>
      <c r="K662" s="865"/>
      <c r="L662" s="865"/>
      <c r="M662" s="865"/>
      <c r="N662" s="865"/>
      <c r="O662" s="865"/>
      <c r="P662" s="865"/>
    </row>
    <row r="663" spans="1:16" ht="135.94999999999999" customHeight="1" x14ac:dyDescent="0.25">
      <c r="A663" s="674" t="s">
        <v>204</v>
      </c>
      <c r="B663" s="781" t="s">
        <v>354</v>
      </c>
      <c r="C663" s="782"/>
      <c r="D663" s="782"/>
      <c r="E663" s="782"/>
      <c r="F663" s="782" t="s">
        <v>1216</v>
      </c>
      <c r="G663" s="782"/>
      <c r="H663" s="782"/>
      <c r="I663" s="782"/>
      <c r="J663" s="782" t="s">
        <v>2530</v>
      </c>
      <c r="K663" s="782"/>
      <c r="L663" s="782"/>
      <c r="M663" s="866">
        <f>ROUND((13400 + 399 * 150) * 1 * 1.68 * 0.4 * 0.9 * 1.24947, 0)</f>
        <v>55354</v>
      </c>
      <c r="N663" s="782"/>
      <c r="O663" s="782" t="s">
        <v>129</v>
      </c>
      <c r="P663" s="782"/>
    </row>
    <row r="664" spans="1:16" x14ac:dyDescent="0.25">
      <c r="A664" s="676"/>
      <c r="B664" s="864" t="s">
        <v>306</v>
      </c>
      <c r="C664" s="864"/>
      <c r="D664" s="864"/>
      <c r="E664" s="864"/>
      <c r="F664" s="864" t="s">
        <v>129</v>
      </c>
      <c r="G664" s="864"/>
      <c r="H664" s="864"/>
      <c r="I664" s="864"/>
      <c r="J664" s="864" t="s">
        <v>129</v>
      </c>
      <c r="K664" s="864"/>
      <c r="L664" s="864"/>
      <c r="M664" s="864"/>
      <c r="N664" s="864"/>
      <c r="O664" s="864"/>
      <c r="P664" s="864"/>
    </row>
    <row r="665" spans="1:16" x14ac:dyDescent="0.25">
      <c r="A665" s="675"/>
      <c r="B665" s="865" t="s">
        <v>325</v>
      </c>
      <c r="C665" s="865"/>
      <c r="D665" s="865"/>
      <c r="E665" s="865"/>
      <c r="F665" s="865" t="s">
        <v>326</v>
      </c>
      <c r="G665" s="865"/>
      <c r="H665" s="865"/>
      <c r="I665" s="865"/>
      <c r="J665" s="865" t="s">
        <v>129</v>
      </c>
      <c r="K665" s="865"/>
      <c r="L665" s="865"/>
      <c r="M665" s="865"/>
      <c r="N665" s="865"/>
      <c r="O665" s="865"/>
      <c r="P665" s="865"/>
    </row>
    <row r="666" spans="1:16" ht="40.9" customHeight="1" x14ac:dyDescent="0.25">
      <c r="A666" s="675"/>
      <c r="B666" s="865" t="s">
        <v>331</v>
      </c>
      <c r="C666" s="865"/>
      <c r="D666" s="865"/>
      <c r="E666" s="865"/>
      <c r="F666" s="865" t="s">
        <v>332</v>
      </c>
      <c r="G666" s="865"/>
      <c r="H666" s="865"/>
      <c r="I666" s="865"/>
      <c r="J666" s="865" t="s">
        <v>129</v>
      </c>
      <c r="K666" s="865"/>
      <c r="L666" s="865"/>
      <c r="M666" s="865"/>
      <c r="N666" s="865"/>
      <c r="O666" s="865"/>
      <c r="P666" s="865"/>
    </row>
    <row r="667" spans="1:16" ht="108.75" customHeight="1" x14ac:dyDescent="0.25">
      <c r="A667" s="675"/>
      <c r="B667" s="865" t="s">
        <v>1809</v>
      </c>
      <c r="C667" s="865"/>
      <c r="D667" s="865"/>
      <c r="E667" s="865"/>
      <c r="F667" s="865" t="s">
        <v>1810</v>
      </c>
      <c r="G667" s="865"/>
      <c r="H667" s="865"/>
      <c r="I667" s="865"/>
      <c r="J667" s="865" t="s">
        <v>129</v>
      </c>
      <c r="K667" s="865"/>
      <c r="L667" s="865"/>
      <c r="M667" s="865"/>
      <c r="N667" s="865"/>
      <c r="O667" s="865"/>
      <c r="P667" s="865"/>
    </row>
    <row r="668" spans="1:16" ht="149.65" customHeight="1" x14ac:dyDescent="0.25">
      <c r="A668" s="675"/>
      <c r="B668" s="865" t="s">
        <v>329</v>
      </c>
      <c r="C668" s="865"/>
      <c r="D668" s="865"/>
      <c r="E668" s="865"/>
      <c r="F668" s="865" t="s">
        <v>340</v>
      </c>
      <c r="G668" s="865"/>
      <c r="H668" s="865"/>
      <c r="I668" s="865"/>
      <c r="J668" s="865" t="s">
        <v>129</v>
      </c>
      <c r="K668" s="865"/>
      <c r="L668" s="865"/>
      <c r="M668" s="865"/>
      <c r="N668" s="865"/>
      <c r="O668" s="865"/>
      <c r="P668" s="865"/>
    </row>
    <row r="669" spans="1:16" x14ac:dyDescent="0.25">
      <c r="A669" s="676"/>
      <c r="B669" s="864" t="s">
        <v>330</v>
      </c>
      <c r="C669" s="864"/>
      <c r="D669" s="864"/>
      <c r="E669" s="864"/>
      <c r="F669" s="864" t="s">
        <v>129</v>
      </c>
      <c r="G669" s="864"/>
      <c r="H669" s="864"/>
      <c r="I669" s="864"/>
      <c r="J669" s="864" t="s">
        <v>129</v>
      </c>
      <c r="K669" s="864"/>
      <c r="L669" s="864"/>
      <c r="M669" s="864"/>
      <c r="N669" s="864"/>
      <c r="O669" s="864"/>
      <c r="P669" s="864"/>
    </row>
    <row r="670" spans="1:16" x14ac:dyDescent="0.25">
      <c r="A670" s="675"/>
      <c r="B670" s="865" t="s">
        <v>1028</v>
      </c>
      <c r="C670" s="865"/>
      <c r="D670" s="865"/>
      <c r="E670" s="865"/>
      <c r="F670" s="865" t="s">
        <v>2529</v>
      </c>
      <c r="G670" s="865"/>
      <c r="H670" s="865"/>
      <c r="I670" s="865"/>
      <c r="J670" s="865" t="s">
        <v>129</v>
      </c>
      <c r="K670" s="865"/>
      <c r="L670" s="865"/>
      <c r="M670" s="865"/>
      <c r="N670" s="865"/>
      <c r="O670" s="865"/>
      <c r="P670" s="865"/>
    </row>
    <row r="671" spans="1:16" x14ac:dyDescent="0.25">
      <c r="A671" s="675"/>
      <c r="B671" s="865" t="s">
        <v>1156</v>
      </c>
      <c r="C671" s="865"/>
      <c r="D671" s="865"/>
      <c r="E671" s="865"/>
      <c r="F671" s="865" t="s">
        <v>2528</v>
      </c>
      <c r="G671" s="865"/>
      <c r="H671" s="865"/>
      <c r="I671" s="865"/>
      <c r="J671" s="865" t="s">
        <v>129</v>
      </c>
      <c r="K671" s="865"/>
      <c r="L671" s="865"/>
      <c r="M671" s="865"/>
      <c r="N671" s="865"/>
      <c r="O671" s="865"/>
      <c r="P671" s="865"/>
    </row>
    <row r="672" spans="1:16" ht="54.4" customHeight="1" x14ac:dyDescent="0.25">
      <c r="A672" s="675"/>
      <c r="B672" s="865" t="s">
        <v>1169</v>
      </c>
      <c r="C672" s="865"/>
      <c r="D672" s="865"/>
      <c r="E672" s="865"/>
      <c r="F672" s="865" t="s">
        <v>2527</v>
      </c>
      <c r="G672" s="865"/>
      <c r="H672" s="865"/>
      <c r="I672" s="865"/>
      <c r="J672" s="865" t="s">
        <v>129</v>
      </c>
      <c r="K672" s="865"/>
      <c r="L672" s="865"/>
      <c r="M672" s="865"/>
      <c r="N672" s="865"/>
      <c r="O672" s="865"/>
      <c r="P672" s="865"/>
    </row>
    <row r="673" spans="1:16" ht="27.2" customHeight="1" x14ac:dyDescent="0.25">
      <c r="A673" s="675"/>
      <c r="B673" s="865" t="s">
        <v>1160</v>
      </c>
      <c r="C673" s="865"/>
      <c r="D673" s="865"/>
      <c r="E673" s="865"/>
      <c r="F673" s="865" t="s">
        <v>2526</v>
      </c>
      <c r="G673" s="865"/>
      <c r="H673" s="865"/>
      <c r="I673" s="865"/>
      <c r="J673" s="865" t="s">
        <v>129</v>
      </c>
      <c r="K673" s="865"/>
      <c r="L673" s="865"/>
      <c r="M673" s="865"/>
      <c r="N673" s="865"/>
      <c r="O673" s="865"/>
      <c r="P673" s="865"/>
    </row>
    <row r="674" spans="1:16" ht="27.2" customHeight="1" x14ac:dyDescent="0.25">
      <c r="A674" s="675"/>
      <c r="B674" s="865" t="s">
        <v>1162</v>
      </c>
      <c r="C674" s="865"/>
      <c r="D674" s="865"/>
      <c r="E674" s="865"/>
      <c r="F674" s="865" t="s">
        <v>2525</v>
      </c>
      <c r="G674" s="865"/>
      <c r="H674" s="865"/>
      <c r="I674" s="865"/>
      <c r="J674" s="865" t="s">
        <v>129</v>
      </c>
      <c r="K674" s="865"/>
      <c r="L674" s="865"/>
      <c r="M674" s="865"/>
      <c r="N674" s="865"/>
      <c r="O674" s="865"/>
      <c r="P674" s="865"/>
    </row>
    <row r="675" spans="1:16" ht="27.2" customHeight="1" x14ac:dyDescent="0.25">
      <c r="A675" s="675"/>
      <c r="B675" s="865" t="s">
        <v>1164</v>
      </c>
      <c r="C675" s="865"/>
      <c r="D675" s="865"/>
      <c r="E675" s="865"/>
      <c r="F675" s="865" t="s">
        <v>2524</v>
      </c>
      <c r="G675" s="865"/>
      <c r="H675" s="865"/>
      <c r="I675" s="865"/>
      <c r="J675" s="865" t="s">
        <v>129</v>
      </c>
      <c r="K675" s="865"/>
      <c r="L675" s="865"/>
      <c r="M675" s="865"/>
      <c r="N675" s="865"/>
      <c r="O675" s="865"/>
      <c r="P675" s="865"/>
    </row>
    <row r="676" spans="1:16" x14ac:dyDescent="0.25">
      <c r="A676" s="675"/>
      <c r="B676" s="865" t="s">
        <v>1170</v>
      </c>
      <c r="C676" s="865"/>
      <c r="D676" s="865"/>
      <c r="E676" s="865"/>
      <c r="F676" s="865" t="s">
        <v>2523</v>
      </c>
      <c r="G676" s="865"/>
      <c r="H676" s="865"/>
      <c r="I676" s="865"/>
      <c r="J676" s="865" t="s">
        <v>129</v>
      </c>
      <c r="K676" s="865"/>
      <c r="L676" s="865"/>
      <c r="M676" s="865"/>
      <c r="N676" s="865"/>
      <c r="O676" s="865"/>
      <c r="P676" s="865"/>
    </row>
    <row r="677" spans="1:16" ht="149.65" customHeight="1" x14ac:dyDescent="0.25">
      <c r="A677" s="674" t="s">
        <v>205</v>
      </c>
      <c r="B677" s="781" t="s">
        <v>1217</v>
      </c>
      <c r="C677" s="782"/>
      <c r="D677" s="782"/>
      <c r="E677" s="782"/>
      <c r="F677" s="782" t="s">
        <v>1218</v>
      </c>
      <c r="G677" s="782"/>
      <c r="H677" s="782"/>
      <c r="I677" s="782"/>
      <c r="J677" s="782" t="s">
        <v>1219</v>
      </c>
      <c r="K677" s="782"/>
      <c r="L677" s="782"/>
      <c r="M677" s="866">
        <f>ROUND((72300 + 24 * 2814) * 1 * 1.68 * 0.4 * 1.21671, 0)</f>
        <v>114334</v>
      </c>
      <c r="N677" s="782"/>
      <c r="O677" s="782" t="s">
        <v>129</v>
      </c>
      <c r="P677" s="782"/>
    </row>
    <row r="678" spans="1:16" x14ac:dyDescent="0.25">
      <c r="A678" s="676"/>
      <c r="B678" s="864" t="s">
        <v>306</v>
      </c>
      <c r="C678" s="864"/>
      <c r="D678" s="864"/>
      <c r="E678" s="864"/>
      <c r="F678" s="864" t="s">
        <v>129</v>
      </c>
      <c r="G678" s="864"/>
      <c r="H678" s="864"/>
      <c r="I678" s="864"/>
      <c r="J678" s="864" t="s">
        <v>129</v>
      </c>
      <c r="K678" s="864"/>
      <c r="L678" s="864"/>
      <c r="M678" s="864"/>
      <c r="N678" s="864"/>
      <c r="O678" s="864"/>
      <c r="P678" s="864"/>
    </row>
    <row r="679" spans="1:16" x14ac:dyDescent="0.25">
      <c r="A679" s="675"/>
      <c r="B679" s="865" t="s">
        <v>325</v>
      </c>
      <c r="C679" s="865"/>
      <c r="D679" s="865"/>
      <c r="E679" s="865"/>
      <c r="F679" s="865" t="s">
        <v>326</v>
      </c>
      <c r="G679" s="865"/>
      <c r="H679" s="865"/>
      <c r="I679" s="865"/>
      <c r="J679" s="865" t="s">
        <v>129</v>
      </c>
      <c r="K679" s="865"/>
      <c r="L679" s="865"/>
      <c r="M679" s="865"/>
      <c r="N679" s="865"/>
      <c r="O679" s="865"/>
      <c r="P679" s="865"/>
    </row>
    <row r="680" spans="1:16" ht="40.9" customHeight="1" x14ac:dyDescent="0.25">
      <c r="A680" s="675"/>
      <c r="B680" s="865" t="s">
        <v>331</v>
      </c>
      <c r="C680" s="865"/>
      <c r="D680" s="865"/>
      <c r="E680" s="865"/>
      <c r="F680" s="865" t="s">
        <v>332</v>
      </c>
      <c r="G680" s="865"/>
      <c r="H680" s="865"/>
      <c r="I680" s="865"/>
      <c r="J680" s="865" t="s">
        <v>129</v>
      </c>
      <c r="K680" s="865"/>
      <c r="L680" s="865"/>
      <c r="M680" s="865"/>
      <c r="N680" s="865"/>
      <c r="O680" s="865"/>
      <c r="P680" s="865"/>
    </row>
    <row r="681" spans="1:16" ht="149.65" customHeight="1" x14ac:dyDescent="0.25">
      <c r="A681" s="675"/>
      <c r="B681" s="865" t="s">
        <v>329</v>
      </c>
      <c r="C681" s="865"/>
      <c r="D681" s="865"/>
      <c r="E681" s="865"/>
      <c r="F681" s="865" t="s">
        <v>1220</v>
      </c>
      <c r="G681" s="865"/>
      <c r="H681" s="865"/>
      <c r="I681" s="865"/>
      <c r="J681" s="865" t="s">
        <v>129</v>
      </c>
      <c r="K681" s="865"/>
      <c r="L681" s="865"/>
      <c r="M681" s="865"/>
      <c r="N681" s="865"/>
      <c r="O681" s="865"/>
      <c r="P681" s="865"/>
    </row>
    <row r="682" spans="1:16" x14ac:dyDescent="0.25">
      <c r="A682" s="676"/>
      <c r="B682" s="864" t="s">
        <v>330</v>
      </c>
      <c r="C682" s="864"/>
      <c r="D682" s="864"/>
      <c r="E682" s="864"/>
      <c r="F682" s="864" t="s">
        <v>129</v>
      </c>
      <c r="G682" s="864"/>
      <c r="H682" s="864"/>
      <c r="I682" s="864"/>
      <c r="J682" s="864" t="s">
        <v>129</v>
      </c>
      <c r="K682" s="864"/>
      <c r="L682" s="864"/>
      <c r="M682" s="864"/>
      <c r="N682" s="864"/>
      <c r="O682" s="864"/>
      <c r="P682" s="864"/>
    </row>
    <row r="683" spans="1:16" x14ac:dyDescent="0.25">
      <c r="A683" s="675"/>
      <c r="B683" s="865" t="s">
        <v>1028</v>
      </c>
      <c r="C683" s="865"/>
      <c r="D683" s="865"/>
      <c r="E683" s="865"/>
      <c r="F683" s="865" t="s">
        <v>1221</v>
      </c>
      <c r="G683" s="865"/>
      <c r="H683" s="865"/>
      <c r="I683" s="865"/>
      <c r="J683" s="865" t="s">
        <v>129</v>
      </c>
      <c r="K683" s="865"/>
      <c r="L683" s="865"/>
      <c r="M683" s="865"/>
      <c r="N683" s="865"/>
      <c r="O683" s="865"/>
      <c r="P683" s="865"/>
    </row>
    <row r="684" spans="1:16" ht="27.2" customHeight="1" x14ac:dyDescent="0.25">
      <c r="A684" s="675"/>
      <c r="B684" s="865" t="s">
        <v>1222</v>
      </c>
      <c r="C684" s="865"/>
      <c r="D684" s="865"/>
      <c r="E684" s="865"/>
      <c r="F684" s="865" t="s">
        <v>1223</v>
      </c>
      <c r="G684" s="865"/>
      <c r="H684" s="865"/>
      <c r="I684" s="865"/>
      <c r="J684" s="865" t="s">
        <v>129</v>
      </c>
      <c r="K684" s="865"/>
      <c r="L684" s="865"/>
      <c r="M684" s="865"/>
      <c r="N684" s="865"/>
      <c r="O684" s="865"/>
      <c r="P684" s="865"/>
    </row>
    <row r="685" spans="1:16" x14ac:dyDescent="0.25">
      <c r="A685" s="675"/>
      <c r="B685" s="865" t="s">
        <v>1224</v>
      </c>
      <c r="C685" s="865"/>
      <c r="D685" s="865"/>
      <c r="E685" s="865"/>
      <c r="F685" s="865" t="s">
        <v>1225</v>
      </c>
      <c r="G685" s="865"/>
      <c r="H685" s="865"/>
      <c r="I685" s="865"/>
      <c r="J685" s="865" t="s">
        <v>129</v>
      </c>
      <c r="K685" s="865"/>
      <c r="L685" s="865"/>
      <c r="M685" s="865"/>
      <c r="N685" s="865"/>
      <c r="O685" s="865"/>
      <c r="P685" s="865"/>
    </row>
    <row r="686" spans="1:16" ht="81.599999999999994" customHeight="1" x14ac:dyDescent="0.25">
      <c r="A686" s="675"/>
      <c r="B686" s="865" t="s">
        <v>1226</v>
      </c>
      <c r="C686" s="865"/>
      <c r="D686" s="865"/>
      <c r="E686" s="865"/>
      <c r="F686" s="865" t="s">
        <v>1227</v>
      </c>
      <c r="G686" s="865"/>
      <c r="H686" s="865"/>
      <c r="I686" s="865"/>
      <c r="J686" s="865" t="s">
        <v>129</v>
      </c>
      <c r="K686" s="865"/>
      <c r="L686" s="865"/>
      <c r="M686" s="865"/>
      <c r="N686" s="865"/>
      <c r="O686" s="865"/>
      <c r="P686" s="865"/>
    </row>
    <row r="687" spans="1:16" ht="27.2" customHeight="1" x14ac:dyDescent="0.25">
      <c r="A687" s="675"/>
      <c r="B687" s="865" t="s">
        <v>1228</v>
      </c>
      <c r="C687" s="865"/>
      <c r="D687" s="865"/>
      <c r="E687" s="865"/>
      <c r="F687" s="865" t="s">
        <v>1229</v>
      </c>
      <c r="G687" s="865"/>
      <c r="H687" s="865"/>
      <c r="I687" s="865"/>
      <c r="J687" s="865" t="s">
        <v>129</v>
      </c>
      <c r="K687" s="865"/>
      <c r="L687" s="865"/>
      <c r="M687" s="865"/>
      <c r="N687" s="865"/>
      <c r="O687" s="865"/>
      <c r="P687" s="865"/>
    </row>
    <row r="688" spans="1:16" ht="27.2" customHeight="1" x14ac:dyDescent="0.25">
      <c r="A688" s="675"/>
      <c r="B688" s="865" t="s">
        <v>1230</v>
      </c>
      <c r="C688" s="865"/>
      <c r="D688" s="865"/>
      <c r="E688" s="865"/>
      <c r="F688" s="865" t="s">
        <v>1231</v>
      </c>
      <c r="G688" s="865"/>
      <c r="H688" s="865"/>
      <c r="I688" s="865"/>
      <c r="J688" s="865" t="s">
        <v>129</v>
      </c>
      <c r="K688" s="865"/>
      <c r="L688" s="865"/>
      <c r="M688" s="865"/>
      <c r="N688" s="865"/>
      <c r="O688" s="865"/>
      <c r="P688" s="865"/>
    </row>
    <row r="689" spans="1:16" ht="27.2" customHeight="1" x14ac:dyDescent="0.25">
      <c r="A689" s="675"/>
      <c r="B689" s="865" t="s">
        <v>1104</v>
      </c>
      <c r="C689" s="865"/>
      <c r="D689" s="865"/>
      <c r="E689" s="865"/>
      <c r="F689" s="865" t="s">
        <v>1232</v>
      </c>
      <c r="G689" s="865"/>
      <c r="H689" s="865"/>
      <c r="I689" s="865"/>
      <c r="J689" s="865" t="s">
        <v>129</v>
      </c>
      <c r="K689" s="865"/>
      <c r="L689" s="865"/>
      <c r="M689" s="865"/>
      <c r="N689" s="865"/>
      <c r="O689" s="865"/>
      <c r="P689" s="865"/>
    </row>
    <row r="690" spans="1:16" x14ac:dyDescent="0.25">
      <c r="A690" s="675"/>
      <c r="B690" s="865" t="s">
        <v>1192</v>
      </c>
      <c r="C690" s="865"/>
      <c r="D690" s="865"/>
      <c r="E690" s="865"/>
      <c r="F690" s="865" t="s">
        <v>1233</v>
      </c>
      <c r="G690" s="865"/>
      <c r="H690" s="865"/>
      <c r="I690" s="865"/>
      <c r="J690" s="865" t="s">
        <v>129</v>
      </c>
      <c r="K690" s="865"/>
      <c r="L690" s="865"/>
      <c r="M690" s="865"/>
      <c r="N690" s="865"/>
      <c r="O690" s="865"/>
      <c r="P690" s="865"/>
    </row>
    <row r="691" spans="1:16" ht="149.65" customHeight="1" x14ac:dyDescent="0.25">
      <c r="A691" s="674" t="s">
        <v>206</v>
      </c>
      <c r="B691" s="781" t="s">
        <v>1234</v>
      </c>
      <c r="C691" s="782"/>
      <c r="D691" s="782"/>
      <c r="E691" s="782"/>
      <c r="F691" s="782" t="s">
        <v>1235</v>
      </c>
      <c r="G691" s="782"/>
      <c r="H691" s="782"/>
      <c r="I691" s="782"/>
      <c r="J691" s="782" t="s">
        <v>1236</v>
      </c>
      <c r="K691" s="782"/>
      <c r="L691" s="782"/>
      <c r="M691" s="866">
        <f>ROUND((33300 + 100 * 540) * 1 * 1.68 * 0.4 * 1.22696, 0)</f>
        <v>71980</v>
      </c>
      <c r="N691" s="782"/>
      <c r="O691" s="782" t="s">
        <v>129</v>
      </c>
      <c r="P691" s="782"/>
    </row>
    <row r="692" spans="1:16" x14ac:dyDescent="0.25">
      <c r="A692" s="676"/>
      <c r="B692" s="864" t="s">
        <v>306</v>
      </c>
      <c r="C692" s="864"/>
      <c r="D692" s="864"/>
      <c r="E692" s="864"/>
      <c r="F692" s="864" t="s">
        <v>129</v>
      </c>
      <c r="G692" s="864"/>
      <c r="H692" s="864"/>
      <c r="I692" s="864"/>
      <c r="J692" s="864" t="s">
        <v>129</v>
      </c>
      <c r="K692" s="864"/>
      <c r="L692" s="864"/>
      <c r="M692" s="864"/>
      <c r="N692" s="864"/>
      <c r="O692" s="864"/>
      <c r="P692" s="864"/>
    </row>
    <row r="693" spans="1:16" x14ac:dyDescent="0.25">
      <c r="A693" s="675"/>
      <c r="B693" s="865" t="s">
        <v>325</v>
      </c>
      <c r="C693" s="865"/>
      <c r="D693" s="865"/>
      <c r="E693" s="865"/>
      <c r="F693" s="865" t="s">
        <v>326</v>
      </c>
      <c r="G693" s="865"/>
      <c r="H693" s="865"/>
      <c r="I693" s="865"/>
      <c r="J693" s="865" t="s">
        <v>129</v>
      </c>
      <c r="K693" s="865"/>
      <c r="L693" s="865"/>
      <c r="M693" s="865"/>
      <c r="N693" s="865"/>
      <c r="O693" s="865"/>
      <c r="P693" s="865"/>
    </row>
    <row r="694" spans="1:16" ht="40.9" customHeight="1" x14ac:dyDescent="0.25">
      <c r="A694" s="675"/>
      <c r="B694" s="865" t="s">
        <v>331</v>
      </c>
      <c r="C694" s="865"/>
      <c r="D694" s="865"/>
      <c r="E694" s="865"/>
      <c r="F694" s="865" t="s">
        <v>332</v>
      </c>
      <c r="G694" s="865"/>
      <c r="H694" s="865"/>
      <c r="I694" s="865"/>
      <c r="J694" s="865" t="s">
        <v>129</v>
      </c>
      <c r="K694" s="865"/>
      <c r="L694" s="865"/>
      <c r="M694" s="865"/>
      <c r="N694" s="865"/>
      <c r="O694" s="865"/>
      <c r="P694" s="865"/>
    </row>
    <row r="695" spans="1:16" ht="149.65" customHeight="1" x14ac:dyDescent="0.25">
      <c r="A695" s="675"/>
      <c r="B695" s="865" t="s">
        <v>329</v>
      </c>
      <c r="C695" s="865"/>
      <c r="D695" s="865"/>
      <c r="E695" s="865"/>
      <c r="F695" s="865" t="s">
        <v>345</v>
      </c>
      <c r="G695" s="865"/>
      <c r="H695" s="865"/>
      <c r="I695" s="865"/>
      <c r="J695" s="865" t="s">
        <v>129</v>
      </c>
      <c r="K695" s="865"/>
      <c r="L695" s="865"/>
      <c r="M695" s="865"/>
      <c r="N695" s="865"/>
      <c r="O695" s="865"/>
      <c r="P695" s="865"/>
    </row>
    <row r="696" spans="1:16" x14ac:dyDescent="0.25">
      <c r="A696" s="676"/>
      <c r="B696" s="864" t="s">
        <v>330</v>
      </c>
      <c r="C696" s="864"/>
      <c r="D696" s="864"/>
      <c r="E696" s="864"/>
      <c r="F696" s="864" t="s">
        <v>129</v>
      </c>
      <c r="G696" s="864"/>
      <c r="H696" s="864"/>
      <c r="I696" s="864"/>
      <c r="J696" s="864" t="s">
        <v>129</v>
      </c>
      <c r="K696" s="864"/>
      <c r="L696" s="864"/>
      <c r="M696" s="864"/>
      <c r="N696" s="864"/>
      <c r="O696" s="864"/>
      <c r="P696" s="864"/>
    </row>
    <row r="697" spans="1:16" x14ac:dyDescent="0.25">
      <c r="A697" s="675"/>
      <c r="B697" s="865" t="s">
        <v>1028</v>
      </c>
      <c r="C697" s="865"/>
      <c r="D697" s="865"/>
      <c r="E697" s="865"/>
      <c r="F697" s="865" t="s">
        <v>1237</v>
      </c>
      <c r="G697" s="865"/>
      <c r="H697" s="865"/>
      <c r="I697" s="865"/>
      <c r="J697" s="865" t="s">
        <v>129</v>
      </c>
      <c r="K697" s="865"/>
      <c r="L697" s="865"/>
      <c r="M697" s="865"/>
      <c r="N697" s="865"/>
      <c r="O697" s="865"/>
      <c r="P697" s="865"/>
    </row>
    <row r="698" spans="1:16" ht="27.2" customHeight="1" x14ac:dyDescent="0.25">
      <c r="A698" s="675"/>
      <c r="B698" s="865" t="s">
        <v>1029</v>
      </c>
      <c r="C698" s="865"/>
      <c r="D698" s="865"/>
      <c r="E698" s="865"/>
      <c r="F698" s="865" t="s">
        <v>1238</v>
      </c>
      <c r="G698" s="865"/>
      <c r="H698" s="865"/>
      <c r="I698" s="865"/>
      <c r="J698" s="865" t="s">
        <v>129</v>
      </c>
      <c r="K698" s="865"/>
      <c r="L698" s="865"/>
      <c r="M698" s="865"/>
      <c r="N698" s="865"/>
      <c r="O698" s="865"/>
      <c r="P698" s="865"/>
    </row>
    <row r="699" spans="1:16" ht="27.2" customHeight="1" x14ac:dyDescent="0.25">
      <c r="A699" s="675"/>
      <c r="B699" s="865" t="s">
        <v>1188</v>
      </c>
      <c r="C699" s="865"/>
      <c r="D699" s="865"/>
      <c r="E699" s="865"/>
      <c r="F699" s="865" t="s">
        <v>1239</v>
      </c>
      <c r="G699" s="865"/>
      <c r="H699" s="865"/>
      <c r="I699" s="865"/>
      <c r="J699" s="865" t="s">
        <v>129</v>
      </c>
      <c r="K699" s="865"/>
      <c r="L699" s="865"/>
      <c r="M699" s="865"/>
      <c r="N699" s="865"/>
      <c r="O699" s="865"/>
      <c r="P699" s="865"/>
    </row>
    <row r="700" spans="1:16" x14ac:dyDescent="0.25">
      <c r="A700" s="675"/>
      <c r="B700" s="865" t="s">
        <v>1031</v>
      </c>
      <c r="C700" s="865"/>
      <c r="D700" s="865"/>
      <c r="E700" s="865"/>
      <c r="F700" s="865" t="s">
        <v>1240</v>
      </c>
      <c r="G700" s="865"/>
      <c r="H700" s="865"/>
      <c r="I700" s="865"/>
      <c r="J700" s="865" t="s">
        <v>129</v>
      </c>
      <c r="K700" s="865"/>
      <c r="L700" s="865"/>
      <c r="M700" s="865"/>
      <c r="N700" s="865"/>
      <c r="O700" s="865"/>
      <c r="P700" s="865"/>
    </row>
    <row r="701" spans="1:16" ht="81.599999999999994" customHeight="1" x14ac:dyDescent="0.25">
      <c r="A701" s="675"/>
      <c r="B701" s="865" t="s">
        <v>1085</v>
      </c>
      <c r="C701" s="865"/>
      <c r="D701" s="865"/>
      <c r="E701" s="865"/>
      <c r="F701" s="865" t="s">
        <v>1241</v>
      </c>
      <c r="G701" s="865"/>
      <c r="H701" s="865"/>
      <c r="I701" s="865"/>
      <c r="J701" s="865" t="s">
        <v>129</v>
      </c>
      <c r="K701" s="865"/>
      <c r="L701" s="865"/>
      <c r="M701" s="865"/>
      <c r="N701" s="865"/>
      <c r="O701" s="865"/>
      <c r="P701" s="865"/>
    </row>
    <row r="702" spans="1:16" ht="27.2" customHeight="1" x14ac:dyDescent="0.25">
      <c r="A702" s="675"/>
      <c r="B702" s="865" t="s">
        <v>1033</v>
      </c>
      <c r="C702" s="865"/>
      <c r="D702" s="865"/>
      <c r="E702" s="865"/>
      <c r="F702" s="865" t="s">
        <v>1242</v>
      </c>
      <c r="G702" s="865"/>
      <c r="H702" s="865"/>
      <c r="I702" s="865"/>
      <c r="J702" s="865" t="s">
        <v>129</v>
      </c>
      <c r="K702" s="865"/>
      <c r="L702" s="865"/>
      <c r="M702" s="865"/>
      <c r="N702" s="865"/>
      <c r="O702" s="865"/>
      <c r="P702" s="865"/>
    </row>
    <row r="703" spans="1:16" ht="27.2" customHeight="1" x14ac:dyDescent="0.25">
      <c r="A703" s="675"/>
      <c r="B703" s="865" t="s">
        <v>1243</v>
      </c>
      <c r="C703" s="865"/>
      <c r="D703" s="865"/>
      <c r="E703" s="865"/>
      <c r="F703" s="865" t="s">
        <v>1244</v>
      </c>
      <c r="G703" s="865"/>
      <c r="H703" s="865"/>
      <c r="I703" s="865"/>
      <c r="J703" s="865" t="s">
        <v>129</v>
      </c>
      <c r="K703" s="865"/>
      <c r="L703" s="865"/>
      <c r="M703" s="865"/>
      <c r="N703" s="865"/>
      <c r="O703" s="865"/>
      <c r="P703" s="865"/>
    </row>
    <row r="704" spans="1:16" ht="27.2" customHeight="1" x14ac:dyDescent="0.25">
      <c r="A704" s="675"/>
      <c r="B704" s="865" t="s">
        <v>1038</v>
      </c>
      <c r="C704" s="865"/>
      <c r="D704" s="865"/>
      <c r="E704" s="865"/>
      <c r="F704" s="865" t="s">
        <v>1245</v>
      </c>
      <c r="G704" s="865"/>
      <c r="H704" s="865"/>
      <c r="I704" s="865"/>
      <c r="J704" s="865" t="s">
        <v>129</v>
      </c>
      <c r="K704" s="865"/>
      <c r="L704" s="865"/>
      <c r="M704" s="865"/>
      <c r="N704" s="865"/>
      <c r="O704" s="865"/>
      <c r="P704" s="865"/>
    </row>
    <row r="705" spans="1:16" x14ac:dyDescent="0.25">
      <c r="A705" s="675"/>
      <c r="B705" s="865" t="s">
        <v>1170</v>
      </c>
      <c r="C705" s="865"/>
      <c r="D705" s="865"/>
      <c r="E705" s="865"/>
      <c r="F705" s="865" t="s">
        <v>1246</v>
      </c>
      <c r="G705" s="865"/>
      <c r="H705" s="865"/>
      <c r="I705" s="865"/>
      <c r="J705" s="865" t="s">
        <v>129</v>
      </c>
      <c r="K705" s="865"/>
      <c r="L705" s="865"/>
      <c r="M705" s="865"/>
      <c r="N705" s="865"/>
      <c r="O705" s="865"/>
      <c r="P705" s="865"/>
    </row>
    <row r="706" spans="1:16" ht="149.65" customHeight="1" x14ac:dyDescent="0.25">
      <c r="A706" s="674" t="s">
        <v>208</v>
      </c>
      <c r="B706" s="781" t="s">
        <v>344</v>
      </c>
      <c r="C706" s="782"/>
      <c r="D706" s="782"/>
      <c r="E706" s="782"/>
      <c r="F706" s="782" t="s">
        <v>1855</v>
      </c>
      <c r="G706" s="782"/>
      <c r="H706" s="782"/>
      <c r="I706" s="782"/>
      <c r="J706" s="782" t="s">
        <v>1856</v>
      </c>
      <c r="K706" s="782"/>
      <c r="L706" s="782"/>
      <c r="M706" s="866">
        <f>ROUND((110100 + 7105 * 31) * 1 * 1.68 * 0.4 * 1.22277, 0)</f>
        <v>271453</v>
      </c>
      <c r="N706" s="782"/>
      <c r="O706" s="782" t="s">
        <v>129</v>
      </c>
      <c r="P706" s="782"/>
    </row>
    <row r="707" spans="1:16" x14ac:dyDescent="0.25">
      <c r="A707" s="676"/>
      <c r="B707" s="864" t="s">
        <v>306</v>
      </c>
      <c r="C707" s="864"/>
      <c r="D707" s="864"/>
      <c r="E707" s="864"/>
      <c r="F707" s="864" t="s">
        <v>129</v>
      </c>
      <c r="G707" s="864"/>
      <c r="H707" s="864"/>
      <c r="I707" s="864"/>
      <c r="J707" s="864" t="s">
        <v>129</v>
      </c>
      <c r="K707" s="864"/>
      <c r="L707" s="864"/>
      <c r="M707" s="864"/>
      <c r="N707" s="864"/>
      <c r="O707" s="864"/>
      <c r="P707" s="864"/>
    </row>
    <row r="708" spans="1:16" x14ac:dyDescent="0.25">
      <c r="A708" s="675"/>
      <c r="B708" s="865" t="s">
        <v>325</v>
      </c>
      <c r="C708" s="865"/>
      <c r="D708" s="865"/>
      <c r="E708" s="865"/>
      <c r="F708" s="865" t="s">
        <v>326</v>
      </c>
      <c r="G708" s="865"/>
      <c r="H708" s="865"/>
      <c r="I708" s="865"/>
      <c r="J708" s="865" t="s">
        <v>129</v>
      </c>
      <c r="K708" s="865"/>
      <c r="L708" s="865"/>
      <c r="M708" s="865"/>
      <c r="N708" s="865"/>
      <c r="O708" s="865"/>
      <c r="P708" s="865"/>
    </row>
    <row r="709" spans="1:16" ht="40.9" customHeight="1" x14ac:dyDescent="0.25">
      <c r="A709" s="675"/>
      <c r="B709" s="865" t="s">
        <v>331</v>
      </c>
      <c r="C709" s="865"/>
      <c r="D709" s="865"/>
      <c r="E709" s="865"/>
      <c r="F709" s="865" t="s">
        <v>332</v>
      </c>
      <c r="G709" s="865"/>
      <c r="H709" s="865"/>
      <c r="I709" s="865"/>
      <c r="J709" s="865" t="s">
        <v>129</v>
      </c>
      <c r="K709" s="865"/>
      <c r="L709" s="865"/>
      <c r="M709" s="865"/>
      <c r="N709" s="865"/>
      <c r="O709" s="865"/>
      <c r="P709" s="865"/>
    </row>
    <row r="710" spans="1:16" ht="149.65" customHeight="1" x14ac:dyDescent="0.25">
      <c r="A710" s="675"/>
      <c r="B710" s="865" t="s">
        <v>329</v>
      </c>
      <c r="C710" s="865"/>
      <c r="D710" s="865"/>
      <c r="E710" s="865"/>
      <c r="F710" s="865" t="s">
        <v>345</v>
      </c>
      <c r="G710" s="865"/>
      <c r="H710" s="865"/>
      <c r="I710" s="865"/>
      <c r="J710" s="865" t="s">
        <v>129</v>
      </c>
      <c r="K710" s="865"/>
      <c r="L710" s="865"/>
      <c r="M710" s="865"/>
      <c r="N710" s="865"/>
      <c r="O710" s="865"/>
      <c r="P710" s="865"/>
    </row>
    <row r="711" spans="1:16" x14ac:dyDescent="0.25">
      <c r="A711" s="676"/>
      <c r="B711" s="864" t="s">
        <v>330</v>
      </c>
      <c r="C711" s="864"/>
      <c r="D711" s="864"/>
      <c r="E711" s="864"/>
      <c r="F711" s="864" t="s">
        <v>129</v>
      </c>
      <c r="G711" s="864"/>
      <c r="H711" s="864"/>
      <c r="I711" s="864"/>
      <c r="J711" s="864" t="s">
        <v>129</v>
      </c>
      <c r="K711" s="864"/>
      <c r="L711" s="864"/>
      <c r="M711" s="864"/>
      <c r="N711" s="864"/>
      <c r="O711" s="864"/>
      <c r="P711" s="864"/>
    </row>
    <row r="712" spans="1:16" x14ac:dyDescent="0.25">
      <c r="A712" s="675"/>
      <c r="B712" s="865" t="s">
        <v>1028</v>
      </c>
      <c r="C712" s="865"/>
      <c r="D712" s="865"/>
      <c r="E712" s="865"/>
      <c r="F712" s="865" t="s">
        <v>1857</v>
      </c>
      <c r="G712" s="865"/>
      <c r="H712" s="865"/>
      <c r="I712" s="865"/>
      <c r="J712" s="865" t="s">
        <v>129</v>
      </c>
      <c r="K712" s="865"/>
      <c r="L712" s="865"/>
      <c r="M712" s="865"/>
      <c r="N712" s="865"/>
      <c r="O712" s="865"/>
      <c r="P712" s="865"/>
    </row>
    <row r="713" spans="1:16" ht="27.2" customHeight="1" x14ac:dyDescent="0.25">
      <c r="A713" s="675"/>
      <c r="B713" s="865" t="s">
        <v>1082</v>
      </c>
      <c r="C713" s="865"/>
      <c r="D713" s="865"/>
      <c r="E713" s="865"/>
      <c r="F713" s="865" t="s">
        <v>1858</v>
      </c>
      <c r="G713" s="865"/>
      <c r="H713" s="865"/>
      <c r="I713" s="865"/>
      <c r="J713" s="865" t="s">
        <v>129</v>
      </c>
      <c r="K713" s="865"/>
      <c r="L713" s="865"/>
      <c r="M713" s="865"/>
      <c r="N713" s="865"/>
      <c r="O713" s="865"/>
      <c r="P713" s="865"/>
    </row>
    <row r="714" spans="1:16" ht="27.2" customHeight="1" x14ac:dyDescent="0.25">
      <c r="A714" s="675"/>
      <c r="B714" s="865" t="s">
        <v>1188</v>
      </c>
      <c r="C714" s="865"/>
      <c r="D714" s="865"/>
      <c r="E714" s="865"/>
      <c r="F714" s="865" t="s">
        <v>1859</v>
      </c>
      <c r="G714" s="865"/>
      <c r="H714" s="865"/>
      <c r="I714" s="865"/>
      <c r="J714" s="865" t="s">
        <v>129</v>
      </c>
      <c r="K714" s="865"/>
      <c r="L714" s="865"/>
      <c r="M714" s="865"/>
      <c r="N714" s="865"/>
      <c r="O714" s="865"/>
      <c r="P714" s="865"/>
    </row>
    <row r="715" spans="1:16" x14ac:dyDescent="0.25">
      <c r="A715" s="675"/>
      <c r="B715" s="865" t="s">
        <v>1031</v>
      </c>
      <c r="C715" s="865"/>
      <c r="D715" s="865"/>
      <c r="E715" s="865"/>
      <c r="F715" s="865" t="s">
        <v>1860</v>
      </c>
      <c r="G715" s="865"/>
      <c r="H715" s="865"/>
      <c r="I715" s="865"/>
      <c r="J715" s="865" t="s">
        <v>129</v>
      </c>
      <c r="K715" s="865"/>
      <c r="L715" s="865"/>
      <c r="M715" s="865"/>
      <c r="N715" s="865"/>
      <c r="O715" s="865"/>
      <c r="P715" s="865"/>
    </row>
    <row r="716" spans="1:16" ht="81.599999999999994" customHeight="1" x14ac:dyDescent="0.25">
      <c r="A716" s="675"/>
      <c r="B716" s="865" t="s">
        <v>1085</v>
      </c>
      <c r="C716" s="865"/>
      <c r="D716" s="865"/>
      <c r="E716" s="865"/>
      <c r="F716" s="865" t="s">
        <v>1861</v>
      </c>
      <c r="G716" s="865"/>
      <c r="H716" s="865"/>
      <c r="I716" s="865"/>
      <c r="J716" s="865" t="s">
        <v>129</v>
      </c>
      <c r="K716" s="865"/>
      <c r="L716" s="865"/>
      <c r="M716" s="865"/>
      <c r="N716" s="865"/>
      <c r="O716" s="865"/>
      <c r="P716" s="865"/>
    </row>
    <row r="717" spans="1:16" ht="27.2" customHeight="1" x14ac:dyDescent="0.25">
      <c r="A717" s="675"/>
      <c r="B717" s="865" t="s">
        <v>1033</v>
      </c>
      <c r="C717" s="865"/>
      <c r="D717" s="865"/>
      <c r="E717" s="865"/>
      <c r="F717" s="865" t="s">
        <v>1862</v>
      </c>
      <c r="G717" s="865"/>
      <c r="H717" s="865"/>
      <c r="I717" s="865"/>
      <c r="J717" s="865" t="s">
        <v>129</v>
      </c>
      <c r="K717" s="865"/>
      <c r="L717" s="865"/>
      <c r="M717" s="865"/>
      <c r="N717" s="865"/>
      <c r="O717" s="865"/>
      <c r="P717" s="865"/>
    </row>
    <row r="718" spans="1:16" ht="27.2" customHeight="1" x14ac:dyDescent="0.25">
      <c r="A718" s="675"/>
      <c r="B718" s="865" t="s">
        <v>1243</v>
      </c>
      <c r="C718" s="865"/>
      <c r="D718" s="865"/>
      <c r="E718" s="865"/>
      <c r="F718" s="865" t="s">
        <v>1863</v>
      </c>
      <c r="G718" s="865"/>
      <c r="H718" s="865"/>
      <c r="I718" s="865"/>
      <c r="J718" s="865" t="s">
        <v>129</v>
      </c>
      <c r="K718" s="865"/>
      <c r="L718" s="865"/>
      <c r="M718" s="865"/>
      <c r="N718" s="865"/>
      <c r="O718" s="865"/>
      <c r="P718" s="865"/>
    </row>
    <row r="719" spans="1:16" ht="27.2" customHeight="1" x14ac:dyDescent="0.25">
      <c r="A719" s="675"/>
      <c r="B719" s="865" t="s">
        <v>1038</v>
      </c>
      <c r="C719" s="865"/>
      <c r="D719" s="865"/>
      <c r="E719" s="865"/>
      <c r="F719" s="865" t="s">
        <v>1864</v>
      </c>
      <c r="G719" s="865"/>
      <c r="H719" s="865"/>
      <c r="I719" s="865"/>
      <c r="J719" s="865" t="s">
        <v>129</v>
      </c>
      <c r="K719" s="865"/>
      <c r="L719" s="865"/>
      <c r="M719" s="865"/>
      <c r="N719" s="865"/>
      <c r="O719" s="865"/>
      <c r="P719" s="865"/>
    </row>
    <row r="720" spans="1:16" x14ac:dyDescent="0.25">
      <c r="A720" s="675"/>
      <c r="B720" s="865" t="s">
        <v>1170</v>
      </c>
      <c r="C720" s="865"/>
      <c r="D720" s="865"/>
      <c r="E720" s="865"/>
      <c r="F720" s="865" t="s">
        <v>1865</v>
      </c>
      <c r="G720" s="865"/>
      <c r="H720" s="865"/>
      <c r="I720" s="865"/>
      <c r="J720" s="865" t="s">
        <v>129</v>
      </c>
      <c r="K720" s="865"/>
      <c r="L720" s="865"/>
      <c r="M720" s="865"/>
      <c r="N720" s="865"/>
      <c r="O720" s="865"/>
      <c r="P720" s="865"/>
    </row>
    <row r="721" spans="1:16" ht="149.65" customHeight="1" x14ac:dyDescent="0.25">
      <c r="A721" s="674" t="s">
        <v>210</v>
      </c>
      <c r="B721" s="781" t="s">
        <v>1866</v>
      </c>
      <c r="C721" s="782"/>
      <c r="D721" s="782"/>
      <c r="E721" s="782"/>
      <c r="F721" s="782" t="s">
        <v>1867</v>
      </c>
      <c r="G721" s="782"/>
      <c r="H721" s="782"/>
      <c r="I721" s="782"/>
      <c r="J721" s="782" t="s">
        <v>1868</v>
      </c>
      <c r="K721" s="782"/>
      <c r="L721" s="782"/>
      <c r="M721" s="866">
        <f>ROUND((109200 + 5153 * 28) * 1 * 1.68 * 0.4 * 1.21468, 0)</f>
        <v>206910</v>
      </c>
      <c r="N721" s="782"/>
      <c r="O721" s="782" t="s">
        <v>129</v>
      </c>
      <c r="P721" s="782"/>
    </row>
    <row r="722" spans="1:16" x14ac:dyDescent="0.25">
      <c r="A722" s="676"/>
      <c r="B722" s="864" t="s">
        <v>306</v>
      </c>
      <c r="C722" s="864"/>
      <c r="D722" s="864"/>
      <c r="E722" s="864"/>
      <c r="F722" s="864" t="s">
        <v>129</v>
      </c>
      <c r="G722" s="864"/>
      <c r="H722" s="864"/>
      <c r="I722" s="864"/>
      <c r="J722" s="864" t="s">
        <v>129</v>
      </c>
      <c r="K722" s="864"/>
      <c r="L722" s="864"/>
      <c r="M722" s="864"/>
      <c r="N722" s="864"/>
      <c r="O722" s="864"/>
      <c r="P722" s="864"/>
    </row>
    <row r="723" spans="1:16" x14ac:dyDescent="0.25">
      <c r="A723" s="675"/>
      <c r="B723" s="865" t="s">
        <v>325</v>
      </c>
      <c r="C723" s="865"/>
      <c r="D723" s="865"/>
      <c r="E723" s="865"/>
      <c r="F723" s="865" t="s">
        <v>326</v>
      </c>
      <c r="G723" s="865"/>
      <c r="H723" s="865"/>
      <c r="I723" s="865"/>
      <c r="J723" s="865" t="s">
        <v>129</v>
      </c>
      <c r="K723" s="865"/>
      <c r="L723" s="865"/>
      <c r="M723" s="865"/>
      <c r="N723" s="865"/>
      <c r="O723" s="865"/>
      <c r="P723" s="865"/>
    </row>
    <row r="724" spans="1:16" ht="40.9" customHeight="1" x14ac:dyDescent="0.25">
      <c r="A724" s="675"/>
      <c r="B724" s="865" t="s">
        <v>331</v>
      </c>
      <c r="C724" s="865"/>
      <c r="D724" s="865"/>
      <c r="E724" s="865"/>
      <c r="F724" s="865" t="s">
        <v>332</v>
      </c>
      <c r="G724" s="865"/>
      <c r="H724" s="865"/>
      <c r="I724" s="865"/>
      <c r="J724" s="865" t="s">
        <v>129</v>
      </c>
      <c r="K724" s="865"/>
      <c r="L724" s="865"/>
      <c r="M724" s="865"/>
      <c r="N724" s="865"/>
      <c r="O724" s="865"/>
      <c r="P724" s="865"/>
    </row>
    <row r="725" spans="1:16" ht="149.65" customHeight="1" x14ac:dyDescent="0.25">
      <c r="A725" s="675"/>
      <c r="B725" s="865" t="s">
        <v>329</v>
      </c>
      <c r="C725" s="865"/>
      <c r="D725" s="865"/>
      <c r="E725" s="865"/>
      <c r="F725" s="865" t="s">
        <v>1220</v>
      </c>
      <c r="G725" s="865"/>
      <c r="H725" s="865"/>
      <c r="I725" s="865"/>
      <c r="J725" s="865" t="s">
        <v>129</v>
      </c>
      <c r="K725" s="865"/>
      <c r="L725" s="865"/>
      <c r="M725" s="865"/>
      <c r="N725" s="865"/>
      <c r="O725" s="865"/>
      <c r="P725" s="865"/>
    </row>
    <row r="726" spans="1:16" x14ac:dyDescent="0.25">
      <c r="A726" s="676"/>
      <c r="B726" s="864" t="s">
        <v>330</v>
      </c>
      <c r="C726" s="864"/>
      <c r="D726" s="864"/>
      <c r="E726" s="864"/>
      <c r="F726" s="864" t="s">
        <v>129</v>
      </c>
      <c r="G726" s="864"/>
      <c r="H726" s="864"/>
      <c r="I726" s="864"/>
      <c r="J726" s="864" t="s">
        <v>129</v>
      </c>
      <c r="K726" s="864"/>
      <c r="L726" s="864"/>
      <c r="M726" s="864"/>
      <c r="N726" s="864"/>
      <c r="O726" s="864"/>
      <c r="P726" s="864"/>
    </row>
    <row r="727" spans="1:16" x14ac:dyDescent="0.25">
      <c r="A727" s="675"/>
      <c r="B727" s="865" t="s">
        <v>1028</v>
      </c>
      <c r="C727" s="865"/>
      <c r="D727" s="865"/>
      <c r="E727" s="865"/>
      <c r="F727" s="865" t="s">
        <v>1869</v>
      </c>
      <c r="G727" s="865"/>
      <c r="H727" s="865"/>
      <c r="I727" s="865"/>
      <c r="J727" s="865" t="s">
        <v>129</v>
      </c>
      <c r="K727" s="865"/>
      <c r="L727" s="865"/>
      <c r="M727" s="865"/>
      <c r="N727" s="865"/>
      <c r="O727" s="865"/>
      <c r="P727" s="865"/>
    </row>
    <row r="728" spans="1:16" ht="27.2" customHeight="1" x14ac:dyDescent="0.25">
      <c r="A728" s="675"/>
      <c r="B728" s="865" t="s">
        <v>1222</v>
      </c>
      <c r="C728" s="865"/>
      <c r="D728" s="865"/>
      <c r="E728" s="865"/>
      <c r="F728" s="865" t="s">
        <v>1870</v>
      </c>
      <c r="G728" s="865"/>
      <c r="H728" s="865"/>
      <c r="I728" s="865"/>
      <c r="J728" s="865" t="s">
        <v>129</v>
      </c>
      <c r="K728" s="865"/>
      <c r="L728" s="865"/>
      <c r="M728" s="865"/>
      <c r="N728" s="865"/>
      <c r="O728" s="865"/>
      <c r="P728" s="865"/>
    </row>
    <row r="729" spans="1:16" x14ac:dyDescent="0.25">
      <c r="A729" s="675"/>
      <c r="B729" s="865" t="s">
        <v>1224</v>
      </c>
      <c r="C729" s="865"/>
      <c r="D729" s="865"/>
      <c r="E729" s="865"/>
      <c r="F729" s="865" t="s">
        <v>1871</v>
      </c>
      <c r="G729" s="865"/>
      <c r="H729" s="865"/>
      <c r="I729" s="865"/>
      <c r="J729" s="865" t="s">
        <v>129</v>
      </c>
      <c r="K729" s="865"/>
      <c r="L729" s="865"/>
      <c r="M729" s="865"/>
      <c r="N729" s="865"/>
      <c r="O729" s="865"/>
      <c r="P729" s="865"/>
    </row>
    <row r="730" spans="1:16" ht="81.599999999999994" customHeight="1" x14ac:dyDescent="0.25">
      <c r="A730" s="675"/>
      <c r="B730" s="865" t="s">
        <v>1226</v>
      </c>
      <c r="C730" s="865"/>
      <c r="D730" s="865"/>
      <c r="E730" s="865"/>
      <c r="F730" s="865" t="s">
        <v>1872</v>
      </c>
      <c r="G730" s="865"/>
      <c r="H730" s="865"/>
      <c r="I730" s="865"/>
      <c r="J730" s="865" t="s">
        <v>129</v>
      </c>
      <c r="K730" s="865"/>
      <c r="L730" s="865"/>
      <c r="M730" s="865"/>
      <c r="N730" s="865"/>
      <c r="O730" s="865"/>
      <c r="P730" s="865"/>
    </row>
    <row r="731" spans="1:16" ht="27.2" customHeight="1" x14ac:dyDescent="0.25">
      <c r="A731" s="675"/>
      <c r="B731" s="865" t="s">
        <v>1228</v>
      </c>
      <c r="C731" s="865"/>
      <c r="D731" s="865"/>
      <c r="E731" s="865"/>
      <c r="F731" s="865" t="s">
        <v>1873</v>
      </c>
      <c r="G731" s="865"/>
      <c r="H731" s="865"/>
      <c r="I731" s="865"/>
      <c r="J731" s="865" t="s">
        <v>129</v>
      </c>
      <c r="K731" s="865"/>
      <c r="L731" s="865"/>
      <c r="M731" s="865"/>
      <c r="N731" s="865"/>
      <c r="O731" s="865"/>
      <c r="P731" s="865"/>
    </row>
    <row r="732" spans="1:16" ht="27.2" customHeight="1" x14ac:dyDescent="0.25">
      <c r="A732" s="675"/>
      <c r="B732" s="865" t="s">
        <v>1230</v>
      </c>
      <c r="C732" s="865"/>
      <c r="D732" s="865"/>
      <c r="E732" s="865"/>
      <c r="F732" s="865" t="s">
        <v>1873</v>
      </c>
      <c r="G732" s="865"/>
      <c r="H732" s="865"/>
      <c r="I732" s="865"/>
      <c r="J732" s="865" t="s">
        <v>129</v>
      </c>
      <c r="K732" s="865"/>
      <c r="L732" s="865"/>
      <c r="M732" s="865"/>
      <c r="N732" s="865"/>
      <c r="O732" s="865"/>
      <c r="P732" s="865"/>
    </row>
    <row r="733" spans="1:16" ht="27.2" customHeight="1" x14ac:dyDescent="0.25">
      <c r="A733" s="675"/>
      <c r="B733" s="865" t="s">
        <v>1104</v>
      </c>
      <c r="C733" s="865"/>
      <c r="D733" s="865"/>
      <c r="E733" s="865"/>
      <c r="F733" s="865" t="s">
        <v>1874</v>
      </c>
      <c r="G733" s="865"/>
      <c r="H733" s="865"/>
      <c r="I733" s="865"/>
      <c r="J733" s="865" t="s">
        <v>129</v>
      </c>
      <c r="K733" s="865"/>
      <c r="L733" s="865"/>
      <c r="M733" s="865"/>
      <c r="N733" s="865"/>
      <c r="O733" s="865"/>
      <c r="P733" s="865"/>
    </row>
    <row r="734" spans="1:16" x14ac:dyDescent="0.25">
      <c r="A734" s="675"/>
      <c r="B734" s="865" t="s">
        <v>1192</v>
      </c>
      <c r="C734" s="865"/>
      <c r="D734" s="865"/>
      <c r="E734" s="865"/>
      <c r="F734" s="865" t="s">
        <v>1875</v>
      </c>
      <c r="G734" s="865"/>
      <c r="H734" s="865"/>
      <c r="I734" s="865"/>
      <c r="J734" s="865" t="s">
        <v>129</v>
      </c>
      <c r="K734" s="865"/>
      <c r="L734" s="865"/>
      <c r="M734" s="865"/>
      <c r="N734" s="865"/>
      <c r="O734" s="865"/>
      <c r="P734" s="865"/>
    </row>
    <row r="735" spans="1:16" ht="163.15" customHeight="1" x14ac:dyDescent="0.25">
      <c r="A735" s="674" t="s">
        <v>211</v>
      </c>
      <c r="B735" s="781" t="s">
        <v>346</v>
      </c>
      <c r="C735" s="782"/>
      <c r="D735" s="782"/>
      <c r="E735" s="782"/>
      <c r="F735" s="782" t="s">
        <v>1247</v>
      </c>
      <c r="G735" s="782"/>
      <c r="H735" s="782"/>
      <c r="I735" s="782"/>
      <c r="J735" s="782" t="s">
        <v>499</v>
      </c>
      <c r="K735" s="782"/>
      <c r="L735" s="782"/>
      <c r="M735" s="866">
        <f>ROUND(140400 * 1 * 1.68 * 0.4 * 1.15829, 0)</f>
        <v>109283</v>
      </c>
      <c r="N735" s="782"/>
      <c r="O735" s="782" t="s">
        <v>129</v>
      </c>
      <c r="P735" s="782"/>
    </row>
    <row r="736" spans="1:16" x14ac:dyDescent="0.25">
      <c r="A736" s="676"/>
      <c r="B736" s="864" t="s">
        <v>306</v>
      </c>
      <c r="C736" s="864"/>
      <c r="D736" s="864"/>
      <c r="E736" s="864"/>
      <c r="F736" s="864" t="s">
        <v>129</v>
      </c>
      <c r="G736" s="864"/>
      <c r="H736" s="864"/>
      <c r="I736" s="864"/>
      <c r="J736" s="864" t="s">
        <v>129</v>
      </c>
      <c r="K736" s="864"/>
      <c r="L736" s="864"/>
      <c r="M736" s="864"/>
      <c r="N736" s="864"/>
      <c r="O736" s="864"/>
      <c r="P736" s="864"/>
    </row>
    <row r="737" spans="1:16" x14ac:dyDescent="0.25">
      <c r="A737" s="675"/>
      <c r="B737" s="865" t="s">
        <v>325</v>
      </c>
      <c r="C737" s="865"/>
      <c r="D737" s="865"/>
      <c r="E737" s="865"/>
      <c r="F737" s="865" t="s">
        <v>326</v>
      </c>
      <c r="G737" s="865"/>
      <c r="H737" s="865"/>
      <c r="I737" s="865"/>
      <c r="J737" s="865" t="s">
        <v>129</v>
      </c>
      <c r="K737" s="865"/>
      <c r="L737" s="865"/>
      <c r="M737" s="865"/>
      <c r="N737" s="865"/>
      <c r="O737" s="865"/>
      <c r="P737" s="865"/>
    </row>
    <row r="738" spans="1:16" ht="40.9" customHeight="1" x14ac:dyDescent="0.25">
      <c r="A738" s="675"/>
      <c r="B738" s="865" t="s">
        <v>331</v>
      </c>
      <c r="C738" s="865"/>
      <c r="D738" s="865"/>
      <c r="E738" s="865"/>
      <c r="F738" s="865" t="s">
        <v>332</v>
      </c>
      <c r="G738" s="865"/>
      <c r="H738" s="865"/>
      <c r="I738" s="865"/>
      <c r="J738" s="865" t="s">
        <v>129</v>
      </c>
      <c r="K738" s="865"/>
      <c r="L738" s="865"/>
      <c r="M738" s="865"/>
      <c r="N738" s="865"/>
      <c r="O738" s="865"/>
      <c r="P738" s="865"/>
    </row>
    <row r="739" spans="1:16" ht="149.65" customHeight="1" x14ac:dyDescent="0.25">
      <c r="A739" s="675"/>
      <c r="B739" s="865" t="s">
        <v>329</v>
      </c>
      <c r="C739" s="865"/>
      <c r="D739" s="865"/>
      <c r="E739" s="865"/>
      <c r="F739" s="865" t="s">
        <v>347</v>
      </c>
      <c r="G739" s="865"/>
      <c r="H739" s="865"/>
      <c r="I739" s="865"/>
      <c r="J739" s="865" t="s">
        <v>129</v>
      </c>
      <c r="K739" s="865"/>
      <c r="L739" s="865"/>
      <c r="M739" s="865"/>
      <c r="N739" s="865"/>
      <c r="O739" s="865"/>
      <c r="P739" s="865"/>
    </row>
    <row r="740" spans="1:16" x14ac:dyDescent="0.25">
      <c r="A740" s="676"/>
      <c r="B740" s="864" t="s">
        <v>330</v>
      </c>
      <c r="C740" s="864"/>
      <c r="D740" s="864"/>
      <c r="E740" s="864"/>
      <c r="F740" s="864" t="s">
        <v>129</v>
      </c>
      <c r="G740" s="864"/>
      <c r="H740" s="864"/>
      <c r="I740" s="864"/>
      <c r="J740" s="864" t="s">
        <v>129</v>
      </c>
      <c r="K740" s="864"/>
      <c r="L740" s="864"/>
      <c r="M740" s="864"/>
      <c r="N740" s="864"/>
      <c r="O740" s="864"/>
      <c r="P740" s="864"/>
    </row>
    <row r="741" spans="1:16" x14ac:dyDescent="0.25">
      <c r="A741" s="675"/>
      <c r="B741" s="865" t="s">
        <v>1028</v>
      </c>
      <c r="C741" s="865"/>
      <c r="D741" s="865"/>
      <c r="E741" s="865"/>
      <c r="F741" s="865" t="s">
        <v>348</v>
      </c>
      <c r="G741" s="865"/>
      <c r="H741" s="865"/>
      <c r="I741" s="865"/>
      <c r="J741" s="865" t="s">
        <v>129</v>
      </c>
      <c r="K741" s="865"/>
      <c r="L741" s="865"/>
      <c r="M741" s="865"/>
      <c r="N741" s="865"/>
      <c r="O741" s="865"/>
      <c r="P741" s="865"/>
    </row>
    <row r="742" spans="1:16" ht="27.2" customHeight="1" x14ac:dyDescent="0.25">
      <c r="A742" s="675"/>
      <c r="B742" s="865" t="s">
        <v>1222</v>
      </c>
      <c r="C742" s="865"/>
      <c r="D742" s="865"/>
      <c r="E742" s="865"/>
      <c r="F742" s="865" t="s">
        <v>349</v>
      </c>
      <c r="G742" s="865"/>
      <c r="H742" s="865"/>
      <c r="I742" s="865"/>
      <c r="J742" s="865" t="s">
        <v>129</v>
      </c>
      <c r="K742" s="865"/>
      <c r="L742" s="865"/>
      <c r="M742" s="865"/>
      <c r="N742" s="865"/>
      <c r="O742" s="865"/>
      <c r="P742" s="865"/>
    </row>
    <row r="743" spans="1:16" x14ac:dyDescent="0.25">
      <c r="A743" s="675"/>
      <c r="B743" s="865" t="s">
        <v>1224</v>
      </c>
      <c r="C743" s="865"/>
      <c r="D743" s="865"/>
      <c r="E743" s="865"/>
      <c r="F743" s="865" t="s">
        <v>350</v>
      </c>
      <c r="G743" s="865"/>
      <c r="H743" s="865"/>
      <c r="I743" s="865"/>
      <c r="J743" s="865" t="s">
        <v>129</v>
      </c>
      <c r="K743" s="865"/>
      <c r="L743" s="865"/>
      <c r="M743" s="865"/>
      <c r="N743" s="865"/>
      <c r="O743" s="865"/>
      <c r="P743" s="865"/>
    </row>
    <row r="744" spans="1:16" ht="81.599999999999994" customHeight="1" x14ac:dyDescent="0.25">
      <c r="A744" s="675"/>
      <c r="B744" s="865" t="s">
        <v>1226</v>
      </c>
      <c r="C744" s="865"/>
      <c r="D744" s="865"/>
      <c r="E744" s="865"/>
      <c r="F744" s="865" t="s">
        <v>351</v>
      </c>
      <c r="G744" s="865"/>
      <c r="H744" s="865"/>
      <c r="I744" s="865"/>
      <c r="J744" s="865" t="s">
        <v>129</v>
      </c>
      <c r="K744" s="865"/>
      <c r="L744" s="865"/>
      <c r="M744" s="865"/>
      <c r="N744" s="865"/>
      <c r="O744" s="865"/>
      <c r="P744" s="865"/>
    </row>
    <row r="745" spans="1:16" ht="27.2" customHeight="1" x14ac:dyDescent="0.25">
      <c r="A745" s="675"/>
      <c r="B745" s="865" t="s">
        <v>1228</v>
      </c>
      <c r="C745" s="865"/>
      <c r="D745" s="865"/>
      <c r="E745" s="865"/>
      <c r="F745" s="865" t="s">
        <v>352</v>
      </c>
      <c r="G745" s="865"/>
      <c r="H745" s="865"/>
      <c r="I745" s="865"/>
      <c r="J745" s="865" t="s">
        <v>129</v>
      </c>
      <c r="K745" s="865"/>
      <c r="L745" s="865"/>
      <c r="M745" s="865"/>
      <c r="N745" s="865"/>
      <c r="O745" s="865"/>
      <c r="P745" s="865"/>
    </row>
    <row r="746" spans="1:16" ht="27.2" customHeight="1" x14ac:dyDescent="0.25">
      <c r="A746" s="675"/>
      <c r="B746" s="865" t="s">
        <v>1104</v>
      </c>
      <c r="C746" s="865"/>
      <c r="D746" s="865"/>
      <c r="E746" s="865"/>
      <c r="F746" s="865" t="s">
        <v>353</v>
      </c>
      <c r="G746" s="865"/>
      <c r="H746" s="865"/>
      <c r="I746" s="865"/>
      <c r="J746" s="865" t="s">
        <v>129</v>
      </c>
      <c r="K746" s="865"/>
      <c r="L746" s="865"/>
      <c r="M746" s="865"/>
      <c r="N746" s="865"/>
      <c r="O746" s="865"/>
      <c r="P746" s="865"/>
    </row>
    <row r="747" spans="1:16" x14ac:dyDescent="0.25">
      <c r="A747" s="675"/>
      <c r="B747" s="865" t="s">
        <v>1192</v>
      </c>
      <c r="C747" s="865"/>
      <c r="D747" s="865"/>
      <c r="E747" s="865"/>
      <c r="F747" s="865" t="s">
        <v>500</v>
      </c>
      <c r="G747" s="865"/>
      <c r="H747" s="865"/>
      <c r="I747" s="865"/>
      <c r="J747" s="865" t="s">
        <v>129</v>
      </c>
      <c r="K747" s="865"/>
      <c r="L747" s="865"/>
      <c r="M747" s="865"/>
      <c r="N747" s="865"/>
      <c r="O747" s="865"/>
      <c r="P747" s="865"/>
    </row>
    <row r="748" spans="1:16" ht="163.15" customHeight="1" x14ac:dyDescent="0.25">
      <c r="A748" s="674" t="s">
        <v>212</v>
      </c>
      <c r="B748" s="781" t="s">
        <v>1248</v>
      </c>
      <c r="C748" s="782"/>
      <c r="D748" s="782"/>
      <c r="E748" s="782"/>
      <c r="F748" s="782" t="s">
        <v>1249</v>
      </c>
      <c r="G748" s="782"/>
      <c r="H748" s="782"/>
      <c r="I748" s="782"/>
      <c r="J748" s="782" t="s">
        <v>1876</v>
      </c>
      <c r="K748" s="782"/>
      <c r="L748" s="782"/>
      <c r="M748" s="866">
        <f>ROUND(21100 * 1 * 1.68 * 0.4 * 1.5 * 1.19286, 0)</f>
        <v>25371</v>
      </c>
      <c r="N748" s="782"/>
      <c r="O748" s="782" t="s">
        <v>129</v>
      </c>
      <c r="P748" s="782"/>
    </row>
    <row r="749" spans="1:16" x14ac:dyDescent="0.25">
      <c r="A749" s="676"/>
      <c r="B749" s="864" t="s">
        <v>306</v>
      </c>
      <c r="C749" s="864"/>
      <c r="D749" s="864"/>
      <c r="E749" s="864"/>
      <c r="F749" s="864" t="s">
        <v>129</v>
      </c>
      <c r="G749" s="864"/>
      <c r="H749" s="864"/>
      <c r="I749" s="864"/>
      <c r="J749" s="864" t="s">
        <v>129</v>
      </c>
      <c r="K749" s="864"/>
      <c r="L749" s="864"/>
      <c r="M749" s="864"/>
      <c r="N749" s="864"/>
      <c r="O749" s="864"/>
      <c r="P749" s="864"/>
    </row>
    <row r="750" spans="1:16" x14ac:dyDescent="0.25">
      <c r="A750" s="675"/>
      <c r="B750" s="865" t="s">
        <v>325</v>
      </c>
      <c r="C750" s="865"/>
      <c r="D750" s="865"/>
      <c r="E750" s="865"/>
      <c r="F750" s="865" t="s">
        <v>326</v>
      </c>
      <c r="G750" s="865"/>
      <c r="H750" s="865"/>
      <c r="I750" s="865"/>
      <c r="J750" s="865" t="s">
        <v>129</v>
      </c>
      <c r="K750" s="865"/>
      <c r="L750" s="865"/>
      <c r="M750" s="865"/>
      <c r="N750" s="865"/>
      <c r="O750" s="865"/>
      <c r="P750" s="865"/>
    </row>
    <row r="751" spans="1:16" ht="40.9" customHeight="1" x14ac:dyDescent="0.25">
      <c r="A751" s="675"/>
      <c r="B751" s="865" t="s">
        <v>331</v>
      </c>
      <c r="C751" s="865"/>
      <c r="D751" s="865"/>
      <c r="E751" s="865"/>
      <c r="F751" s="865" t="s">
        <v>332</v>
      </c>
      <c r="G751" s="865"/>
      <c r="H751" s="865"/>
      <c r="I751" s="865"/>
      <c r="J751" s="865" t="s">
        <v>129</v>
      </c>
      <c r="K751" s="865"/>
      <c r="L751" s="865"/>
      <c r="M751" s="865"/>
      <c r="N751" s="865"/>
      <c r="O751" s="865"/>
      <c r="P751" s="865"/>
    </row>
    <row r="752" spans="1:16" ht="95.25" customHeight="1" x14ac:dyDescent="0.25">
      <c r="A752" s="675"/>
      <c r="B752" s="865" t="s">
        <v>1251</v>
      </c>
      <c r="C752" s="865"/>
      <c r="D752" s="865"/>
      <c r="E752" s="865"/>
      <c r="F752" s="865" t="s">
        <v>1877</v>
      </c>
      <c r="G752" s="865"/>
      <c r="H752" s="865"/>
      <c r="I752" s="865"/>
      <c r="J752" s="865" t="s">
        <v>129</v>
      </c>
      <c r="K752" s="865"/>
      <c r="L752" s="865"/>
      <c r="M752" s="865"/>
      <c r="N752" s="865"/>
      <c r="O752" s="865"/>
      <c r="P752" s="865"/>
    </row>
    <row r="753" spans="1:16" ht="149.65" customHeight="1" x14ac:dyDescent="0.25">
      <c r="A753" s="675"/>
      <c r="B753" s="865" t="s">
        <v>329</v>
      </c>
      <c r="C753" s="865"/>
      <c r="D753" s="865"/>
      <c r="E753" s="865"/>
      <c r="F753" s="865" t="s">
        <v>1253</v>
      </c>
      <c r="G753" s="865"/>
      <c r="H753" s="865"/>
      <c r="I753" s="865"/>
      <c r="J753" s="865" t="s">
        <v>129</v>
      </c>
      <c r="K753" s="865"/>
      <c r="L753" s="865"/>
      <c r="M753" s="865"/>
      <c r="N753" s="865"/>
      <c r="O753" s="865"/>
      <c r="P753" s="865"/>
    </row>
    <row r="754" spans="1:16" x14ac:dyDescent="0.25">
      <c r="A754" s="676"/>
      <c r="B754" s="864" t="s">
        <v>330</v>
      </c>
      <c r="C754" s="864"/>
      <c r="D754" s="864"/>
      <c r="E754" s="864"/>
      <c r="F754" s="864" t="s">
        <v>129</v>
      </c>
      <c r="G754" s="864"/>
      <c r="H754" s="864"/>
      <c r="I754" s="864"/>
      <c r="J754" s="864" t="s">
        <v>129</v>
      </c>
      <c r="K754" s="864"/>
      <c r="L754" s="864"/>
      <c r="M754" s="864"/>
      <c r="N754" s="864"/>
      <c r="O754" s="864"/>
      <c r="P754" s="864"/>
    </row>
    <row r="755" spans="1:16" x14ac:dyDescent="0.25">
      <c r="A755" s="675"/>
      <c r="B755" s="865" t="s">
        <v>1028</v>
      </c>
      <c r="C755" s="865"/>
      <c r="D755" s="865"/>
      <c r="E755" s="865"/>
      <c r="F755" s="865" t="s">
        <v>1878</v>
      </c>
      <c r="G755" s="865"/>
      <c r="H755" s="865"/>
      <c r="I755" s="865"/>
      <c r="J755" s="865" t="s">
        <v>129</v>
      </c>
      <c r="K755" s="865"/>
      <c r="L755" s="865"/>
      <c r="M755" s="865"/>
      <c r="N755" s="865"/>
      <c r="O755" s="865"/>
      <c r="P755" s="865"/>
    </row>
    <row r="756" spans="1:16" ht="27.2" customHeight="1" x14ac:dyDescent="0.25">
      <c r="A756" s="675"/>
      <c r="B756" s="865" t="s">
        <v>1222</v>
      </c>
      <c r="C756" s="865"/>
      <c r="D756" s="865"/>
      <c r="E756" s="865"/>
      <c r="F756" s="865" t="s">
        <v>1879</v>
      </c>
      <c r="G756" s="865"/>
      <c r="H756" s="865"/>
      <c r="I756" s="865"/>
      <c r="J756" s="865" t="s">
        <v>129</v>
      </c>
      <c r="K756" s="865"/>
      <c r="L756" s="865"/>
      <c r="M756" s="865"/>
      <c r="N756" s="865"/>
      <c r="O756" s="865"/>
      <c r="P756" s="865"/>
    </row>
    <row r="757" spans="1:16" x14ac:dyDescent="0.25">
      <c r="A757" s="675"/>
      <c r="B757" s="865" t="s">
        <v>1224</v>
      </c>
      <c r="C757" s="865"/>
      <c r="D757" s="865"/>
      <c r="E757" s="865"/>
      <c r="F757" s="865" t="s">
        <v>1880</v>
      </c>
      <c r="G757" s="865"/>
      <c r="H757" s="865"/>
      <c r="I757" s="865"/>
      <c r="J757" s="865" t="s">
        <v>129</v>
      </c>
      <c r="K757" s="865"/>
      <c r="L757" s="865"/>
      <c r="M757" s="865"/>
      <c r="N757" s="865"/>
      <c r="O757" s="865"/>
      <c r="P757" s="865"/>
    </row>
    <row r="758" spans="1:16" ht="81.599999999999994" customHeight="1" x14ac:dyDescent="0.25">
      <c r="A758" s="675"/>
      <c r="B758" s="865" t="s">
        <v>1226</v>
      </c>
      <c r="C758" s="865"/>
      <c r="D758" s="865"/>
      <c r="E758" s="865"/>
      <c r="F758" s="865" t="s">
        <v>1881</v>
      </c>
      <c r="G758" s="865"/>
      <c r="H758" s="865"/>
      <c r="I758" s="865"/>
      <c r="J758" s="865" t="s">
        <v>129</v>
      </c>
      <c r="K758" s="865"/>
      <c r="L758" s="865"/>
      <c r="M758" s="865"/>
      <c r="N758" s="865"/>
      <c r="O758" s="865"/>
      <c r="P758" s="865"/>
    </row>
    <row r="759" spans="1:16" ht="27.2" customHeight="1" x14ac:dyDescent="0.25">
      <c r="A759" s="675"/>
      <c r="B759" s="865" t="s">
        <v>1228</v>
      </c>
      <c r="C759" s="865"/>
      <c r="D759" s="865"/>
      <c r="E759" s="865"/>
      <c r="F759" s="865" t="s">
        <v>1882</v>
      </c>
      <c r="G759" s="865"/>
      <c r="H759" s="865"/>
      <c r="I759" s="865"/>
      <c r="J759" s="865" t="s">
        <v>129</v>
      </c>
      <c r="K759" s="865"/>
      <c r="L759" s="865"/>
      <c r="M759" s="865"/>
      <c r="N759" s="865"/>
      <c r="O759" s="865"/>
      <c r="P759" s="865"/>
    </row>
    <row r="760" spans="1:16" ht="27.2" customHeight="1" x14ac:dyDescent="0.25">
      <c r="A760" s="675"/>
      <c r="B760" s="865" t="s">
        <v>1104</v>
      </c>
      <c r="C760" s="865"/>
      <c r="D760" s="865"/>
      <c r="E760" s="865"/>
      <c r="F760" s="865" t="s">
        <v>1883</v>
      </c>
      <c r="G760" s="865"/>
      <c r="H760" s="865"/>
      <c r="I760" s="865"/>
      <c r="J760" s="865" t="s">
        <v>129</v>
      </c>
      <c r="K760" s="865"/>
      <c r="L760" s="865"/>
      <c r="M760" s="865"/>
      <c r="N760" s="865"/>
      <c r="O760" s="865"/>
      <c r="P760" s="865"/>
    </row>
    <row r="761" spans="1:16" x14ac:dyDescent="0.25">
      <c r="A761" s="675"/>
      <c r="B761" s="865" t="s">
        <v>1192</v>
      </c>
      <c r="C761" s="865"/>
      <c r="D761" s="865"/>
      <c r="E761" s="865"/>
      <c r="F761" s="865" t="s">
        <v>1884</v>
      </c>
      <c r="G761" s="865"/>
      <c r="H761" s="865"/>
      <c r="I761" s="865"/>
      <c r="J761" s="865" t="s">
        <v>129</v>
      </c>
      <c r="K761" s="865"/>
      <c r="L761" s="865"/>
      <c r="M761" s="865"/>
      <c r="N761" s="865"/>
      <c r="O761" s="865"/>
      <c r="P761" s="865"/>
    </row>
    <row r="762" spans="1:16" ht="176.85" customHeight="1" x14ac:dyDescent="0.25">
      <c r="A762" s="674" t="s">
        <v>213</v>
      </c>
      <c r="B762" s="781" t="s">
        <v>1885</v>
      </c>
      <c r="C762" s="782"/>
      <c r="D762" s="782"/>
      <c r="E762" s="782"/>
      <c r="F762" s="782" t="s">
        <v>1886</v>
      </c>
      <c r="G762" s="782"/>
      <c r="H762" s="782"/>
      <c r="I762" s="782"/>
      <c r="J762" s="782" t="s">
        <v>2522</v>
      </c>
      <c r="K762" s="782"/>
      <c r="L762" s="782"/>
      <c r="M762" s="866">
        <f>ROUND(390936 + 50263 + 223392 + 513801 + 1563742 + 1452046, 0)</f>
        <v>4194180</v>
      </c>
      <c r="N762" s="782"/>
      <c r="O762" s="782" t="s">
        <v>129</v>
      </c>
      <c r="P762" s="782"/>
    </row>
    <row r="763" spans="1:16" x14ac:dyDescent="0.25">
      <c r="A763" s="676"/>
      <c r="B763" s="864" t="s">
        <v>1887</v>
      </c>
      <c r="C763" s="864"/>
      <c r="D763" s="864"/>
      <c r="E763" s="864"/>
      <c r="F763" s="864" t="s">
        <v>129</v>
      </c>
      <c r="G763" s="864"/>
      <c r="H763" s="864"/>
      <c r="I763" s="864"/>
      <c r="J763" s="864" t="s">
        <v>129</v>
      </c>
      <c r="K763" s="864"/>
      <c r="L763" s="864"/>
      <c r="M763" s="864"/>
      <c r="N763" s="864"/>
      <c r="O763" s="864"/>
      <c r="P763" s="864"/>
    </row>
    <row r="764" spans="1:16" ht="40.9" customHeight="1" x14ac:dyDescent="0.25">
      <c r="A764" s="675"/>
      <c r="B764" s="865" t="s">
        <v>1888</v>
      </c>
      <c r="C764" s="865"/>
      <c r="D764" s="865"/>
      <c r="E764" s="865"/>
      <c r="F764" s="865" t="s">
        <v>1889</v>
      </c>
      <c r="G764" s="865"/>
      <c r="H764" s="865"/>
      <c r="I764" s="865"/>
      <c r="J764" s="865" t="s">
        <v>129</v>
      </c>
      <c r="K764" s="865"/>
      <c r="L764" s="865"/>
      <c r="M764" s="865"/>
      <c r="N764" s="865"/>
      <c r="O764" s="865"/>
      <c r="P764" s="865"/>
    </row>
    <row r="765" spans="1:16" ht="40.9" customHeight="1" x14ac:dyDescent="0.25">
      <c r="A765" s="675"/>
      <c r="B765" s="865" t="s">
        <v>1890</v>
      </c>
      <c r="C765" s="865"/>
      <c r="D765" s="865"/>
      <c r="E765" s="865"/>
      <c r="F765" s="865" t="s">
        <v>1891</v>
      </c>
      <c r="G765" s="865"/>
      <c r="H765" s="865"/>
      <c r="I765" s="865"/>
      <c r="J765" s="865" t="s">
        <v>129</v>
      </c>
      <c r="K765" s="865"/>
      <c r="L765" s="865"/>
      <c r="M765" s="865"/>
      <c r="N765" s="865"/>
      <c r="O765" s="865"/>
      <c r="P765" s="865"/>
    </row>
    <row r="766" spans="1:16" ht="27.2" customHeight="1" x14ac:dyDescent="0.25">
      <c r="A766" s="675"/>
      <c r="B766" s="865" t="s">
        <v>1892</v>
      </c>
      <c r="C766" s="865"/>
      <c r="D766" s="865"/>
      <c r="E766" s="865"/>
      <c r="F766" s="865" t="s">
        <v>1893</v>
      </c>
      <c r="G766" s="865"/>
      <c r="H766" s="865"/>
      <c r="I766" s="865"/>
      <c r="J766" s="865" t="s">
        <v>129</v>
      </c>
      <c r="K766" s="865"/>
      <c r="L766" s="865"/>
      <c r="M766" s="865"/>
      <c r="N766" s="865"/>
      <c r="O766" s="865"/>
      <c r="P766" s="865"/>
    </row>
    <row r="767" spans="1:16" ht="40.9" customHeight="1" x14ac:dyDescent="0.25">
      <c r="A767" s="675"/>
      <c r="B767" s="865" t="s">
        <v>1894</v>
      </c>
      <c r="C767" s="865"/>
      <c r="D767" s="865"/>
      <c r="E767" s="865"/>
      <c r="F767" s="865" t="s">
        <v>1895</v>
      </c>
      <c r="G767" s="865"/>
      <c r="H767" s="865"/>
      <c r="I767" s="865"/>
      <c r="J767" s="865" t="s">
        <v>129</v>
      </c>
      <c r="K767" s="865"/>
      <c r="L767" s="865"/>
      <c r="M767" s="865"/>
      <c r="N767" s="865"/>
      <c r="O767" s="865"/>
      <c r="P767" s="865"/>
    </row>
    <row r="768" spans="1:16" ht="81.599999999999994" customHeight="1" x14ac:dyDescent="0.25">
      <c r="A768" s="675"/>
      <c r="B768" s="865" t="s">
        <v>1896</v>
      </c>
      <c r="C768" s="865"/>
      <c r="D768" s="865"/>
      <c r="E768" s="865"/>
      <c r="F768" s="865" t="s">
        <v>1897</v>
      </c>
      <c r="G768" s="865"/>
      <c r="H768" s="865"/>
      <c r="I768" s="865"/>
      <c r="J768" s="865" t="s">
        <v>129</v>
      </c>
      <c r="K768" s="865"/>
      <c r="L768" s="865"/>
      <c r="M768" s="865"/>
      <c r="N768" s="865"/>
      <c r="O768" s="865"/>
      <c r="P768" s="865"/>
    </row>
    <row r="769" spans="1:16" ht="68.099999999999994" customHeight="1" x14ac:dyDescent="0.25">
      <c r="A769" s="675"/>
      <c r="B769" s="865" t="s">
        <v>1898</v>
      </c>
      <c r="C769" s="865"/>
      <c r="D769" s="865"/>
      <c r="E769" s="865"/>
      <c r="F769" s="865" t="s">
        <v>1899</v>
      </c>
      <c r="G769" s="865"/>
      <c r="H769" s="865"/>
      <c r="I769" s="865"/>
      <c r="J769" s="865" t="s">
        <v>129</v>
      </c>
      <c r="K769" s="865"/>
      <c r="L769" s="865"/>
      <c r="M769" s="865"/>
      <c r="N769" s="865"/>
      <c r="O769" s="865"/>
      <c r="P769" s="865"/>
    </row>
    <row r="770" spans="1:16" ht="68.099999999999994" customHeight="1" x14ac:dyDescent="0.25">
      <c r="A770" s="675"/>
      <c r="B770" s="865" t="s">
        <v>1900</v>
      </c>
      <c r="C770" s="865"/>
      <c r="D770" s="865"/>
      <c r="E770" s="865"/>
      <c r="F770" s="865" t="s">
        <v>1901</v>
      </c>
      <c r="G770" s="865"/>
      <c r="H770" s="865"/>
      <c r="I770" s="865"/>
      <c r="J770" s="865" t="s">
        <v>129</v>
      </c>
      <c r="K770" s="865"/>
      <c r="L770" s="865"/>
      <c r="M770" s="865"/>
      <c r="N770" s="865"/>
      <c r="O770" s="865"/>
      <c r="P770" s="865"/>
    </row>
    <row r="771" spans="1:16" x14ac:dyDescent="0.25">
      <c r="A771" s="676"/>
      <c r="B771" s="864" t="s">
        <v>306</v>
      </c>
      <c r="C771" s="864"/>
      <c r="D771" s="864"/>
      <c r="E771" s="864"/>
      <c r="F771" s="864" t="s">
        <v>129</v>
      </c>
      <c r="G771" s="864"/>
      <c r="H771" s="864"/>
      <c r="I771" s="864"/>
      <c r="J771" s="864" t="s">
        <v>129</v>
      </c>
      <c r="K771" s="864"/>
      <c r="L771" s="864"/>
      <c r="M771" s="864"/>
      <c r="N771" s="864"/>
      <c r="O771" s="864"/>
      <c r="P771" s="864"/>
    </row>
    <row r="772" spans="1:16" ht="40.9" customHeight="1" x14ac:dyDescent="0.25">
      <c r="A772" s="675"/>
      <c r="B772" s="865" t="s">
        <v>331</v>
      </c>
      <c r="C772" s="865"/>
      <c r="D772" s="865"/>
      <c r="E772" s="865"/>
      <c r="F772" s="865" t="s">
        <v>332</v>
      </c>
      <c r="G772" s="865"/>
      <c r="H772" s="865"/>
      <c r="I772" s="865"/>
      <c r="J772" s="865" t="s">
        <v>129</v>
      </c>
      <c r="K772" s="865"/>
      <c r="L772" s="865"/>
      <c r="M772" s="865"/>
      <c r="N772" s="865"/>
      <c r="O772" s="865"/>
      <c r="P772" s="865"/>
    </row>
    <row r="773" spans="1:16" ht="54.4" customHeight="1" x14ac:dyDescent="0.25">
      <c r="A773" s="675"/>
      <c r="B773" s="865" t="s">
        <v>2521</v>
      </c>
      <c r="C773" s="865"/>
      <c r="D773" s="865"/>
      <c r="E773" s="865"/>
      <c r="F773" s="865" t="s">
        <v>2520</v>
      </c>
      <c r="G773" s="865"/>
      <c r="H773" s="865"/>
      <c r="I773" s="865"/>
      <c r="J773" s="865" t="s">
        <v>129</v>
      </c>
      <c r="K773" s="865"/>
      <c r="L773" s="865"/>
      <c r="M773" s="865"/>
      <c r="N773" s="865"/>
      <c r="O773" s="865"/>
      <c r="P773" s="865"/>
    </row>
    <row r="774" spans="1:16" x14ac:dyDescent="0.25">
      <c r="A774" s="676"/>
      <c r="B774" s="864" t="s">
        <v>1902</v>
      </c>
      <c r="C774" s="864"/>
      <c r="D774" s="864"/>
      <c r="E774" s="864"/>
      <c r="F774" s="864" t="s">
        <v>129</v>
      </c>
      <c r="G774" s="864"/>
      <c r="H774" s="864"/>
      <c r="I774" s="864"/>
      <c r="J774" s="864" t="s">
        <v>129</v>
      </c>
      <c r="K774" s="864"/>
      <c r="L774" s="864"/>
      <c r="M774" s="864"/>
      <c r="N774" s="864"/>
      <c r="O774" s="864"/>
      <c r="P774" s="864"/>
    </row>
    <row r="775" spans="1:16" ht="68.099999999999994" customHeight="1" x14ac:dyDescent="0.25">
      <c r="A775" s="675"/>
      <c r="B775" s="865" t="s">
        <v>129</v>
      </c>
      <c r="C775" s="865"/>
      <c r="D775" s="865"/>
      <c r="E775" s="865"/>
      <c r="F775" s="865" t="s">
        <v>1903</v>
      </c>
      <c r="G775" s="865"/>
      <c r="H775" s="865"/>
      <c r="I775" s="865"/>
      <c r="J775" s="865" t="s">
        <v>2519</v>
      </c>
      <c r="K775" s="865"/>
      <c r="L775" s="865"/>
      <c r="M775" s="865"/>
      <c r="N775" s="865"/>
      <c r="O775" s="865"/>
      <c r="P775" s="865"/>
    </row>
    <row r="776" spans="1:16" ht="27.2" customHeight="1" x14ac:dyDescent="0.25">
      <c r="A776" s="675"/>
      <c r="B776" s="865" t="s">
        <v>1904</v>
      </c>
      <c r="C776" s="865"/>
      <c r="D776" s="865"/>
      <c r="E776" s="865"/>
      <c r="F776" s="865" t="s">
        <v>1905</v>
      </c>
      <c r="G776" s="865"/>
      <c r="H776" s="865"/>
      <c r="I776" s="865"/>
      <c r="J776" s="865" t="s">
        <v>129</v>
      </c>
      <c r="K776" s="865"/>
      <c r="L776" s="865"/>
      <c r="M776" s="865"/>
      <c r="N776" s="865"/>
      <c r="O776" s="865"/>
      <c r="P776" s="865"/>
    </row>
    <row r="777" spans="1:16" ht="27.2" customHeight="1" x14ac:dyDescent="0.25">
      <c r="A777" s="675"/>
      <c r="B777" s="865" t="s">
        <v>1906</v>
      </c>
      <c r="C777" s="865"/>
      <c r="D777" s="865"/>
      <c r="E777" s="865"/>
      <c r="F777" s="865" t="s">
        <v>1907</v>
      </c>
      <c r="G777" s="865"/>
      <c r="H777" s="865"/>
      <c r="I777" s="865"/>
      <c r="J777" s="865" t="s">
        <v>129</v>
      </c>
      <c r="K777" s="865"/>
      <c r="L777" s="865"/>
      <c r="M777" s="865"/>
      <c r="N777" s="865"/>
      <c r="O777" s="865"/>
      <c r="P777" s="865"/>
    </row>
    <row r="778" spans="1:16" ht="27.2" customHeight="1" x14ac:dyDescent="0.25">
      <c r="A778" s="675"/>
      <c r="B778" s="865" t="s">
        <v>1908</v>
      </c>
      <c r="C778" s="865"/>
      <c r="D778" s="865"/>
      <c r="E778" s="865"/>
      <c r="F778" s="865" t="s">
        <v>1905</v>
      </c>
      <c r="G778" s="865"/>
      <c r="H778" s="865"/>
      <c r="I778" s="865"/>
      <c r="J778" s="865" t="s">
        <v>129</v>
      </c>
      <c r="K778" s="865"/>
      <c r="L778" s="865"/>
      <c r="M778" s="865"/>
      <c r="N778" s="865"/>
      <c r="O778" s="865"/>
      <c r="P778" s="865"/>
    </row>
    <row r="779" spans="1:16" ht="54.4" customHeight="1" x14ac:dyDescent="0.25">
      <c r="A779" s="675"/>
      <c r="B779" s="865" t="s">
        <v>1909</v>
      </c>
      <c r="C779" s="865"/>
      <c r="D779" s="865"/>
      <c r="E779" s="865"/>
      <c r="F779" s="865" t="s">
        <v>1910</v>
      </c>
      <c r="G779" s="865"/>
      <c r="H779" s="865"/>
      <c r="I779" s="865"/>
      <c r="J779" s="865" t="s">
        <v>129</v>
      </c>
      <c r="K779" s="865"/>
      <c r="L779" s="865"/>
      <c r="M779" s="865"/>
      <c r="N779" s="865"/>
      <c r="O779" s="865"/>
      <c r="P779" s="865"/>
    </row>
    <row r="780" spans="1:16" x14ac:dyDescent="0.25">
      <c r="A780" s="675"/>
      <c r="B780" s="865" t="s">
        <v>1911</v>
      </c>
      <c r="C780" s="865"/>
      <c r="D780" s="865"/>
      <c r="E780" s="865"/>
      <c r="F780" s="865" t="s">
        <v>1912</v>
      </c>
      <c r="G780" s="865"/>
      <c r="H780" s="865"/>
      <c r="I780" s="865"/>
      <c r="J780" s="865" t="s">
        <v>129</v>
      </c>
      <c r="K780" s="865"/>
      <c r="L780" s="865"/>
      <c r="M780" s="865"/>
      <c r="N780" s="865"/>
      <c r="O780" s="865"/>
      <c r="P780" s="865"/>
    </row>
    <row r="781" spans="1:16" ht="27.2" customHeight="1" x14ac:dyDescent="0.25">
      <c r="A781" s="675"/>
      <c r="B781" s="865" t="s">
        <v>1913</v>
      </c>
      <c r="C781" s="865"/>
      <c r="D781" s="865"/>
      <c r="E781" s="865"/>
      <c r="F781" s="865" t="s">
        <v>1914</v>
      </c>
      <c r="G781" s="865"/>
      <c r="H781" s="865"/>
      <c r="I781" s="865"/>
      <c r="J781" s="865" t="s">
        <v>129</v>
      </c>
      <c r="K781" s="865"/>
      <c r="L781" s="865"/>
      <c r="M781" s="865"/>
      <c r="N781" s="865"/>
      <c r="O781" s="865"/>
      <c r="P781" s="865"/>
    </row>
    <row r="782" spans="1:16" ht="68.099999999999994" customHeight="1" x14ac:dyDescent="0.25">
      <c r="A782" s="675"/>
      <c r="B782" s="865" t="s">
        <v>129</v>
      </c>
      <c r="C782" s="865"/>
      <c r="D782" s="865"/>
      <c r="E782" s="865"/>
      <c r="F782" s="865" t="s">
        <v>1915</v>
      </c>
      <c r="G782" s="865"/>
      <c r="H782" s="865"/>
      <c r="I782" s="865"/>
      <c r="J782" s="865" t="s">
        <v>2518</v>
      </c>
      <c r="K782" s="865"/>
      <c r="L782" s="865"/>
      <c r="M782" s="865"/>
      <c r="N782" s="865"/>
      <c r="O782" s="865"/>
      <c r="P782" s="865"/>
    </row>
    <row r="783" spans="1:16" ht="27.2" customHeight="1" x14ac:dyDescent="0.25">
      <c r="A783" s="675"/>
      <c r="B783" s="865" t="s">
        <v>1916</v>
      </c>
      <c r="C783" s="865"/>
      <c r="D783" s="865"/>
      <c r="E783" s="865"/>
      <c r="F783" s="865" t="s">
        <v>1917</v>
      </c>
      <c r="G783" s="865"/>
      <c r="H783" s="865"/>
      <c r="I783" s="865"/>
      <c r="J783" s="865" t="s">
        <v>129</v>
      </c>
      <c r="K783" s="865"/>
      <c r="L783" s="865"/>
      <c r="M783" s="865"/>
      <c r="N783" s="865"/>
      <c r="O783" s="865"/>
      <c r="P783" s="865"/>
    </row>
    <row r="784" spans="1:16" ht="68.099999999999994" customHeight="1" x14ac:dyDescent="0.25">
      <c r="A784" s="675"/>
      <c r="B784" s="865" t="s">
        <v>129</v>
      </c>
      <c r="C784" s="865"/>
      <c r="D784" s="865"/>
      <c r="E784" s="865"/>
      <c r="F784" s="865" t="s">
        <v>1918</v>
      </c>
      <c r="G784" s="865"/>
      <c r="H784" s="865"/>
      <c r="I784" s="865"/>
      <c r="J784" s="865" t="s">
        <v>2517</v>
      </c>
      <c r="K784" s="865"/>
      <c r="L784" s="865"/>
      <c r="M784" s="865"/>
      <c r="N784" s="865"/>
      <c r="O784" s="865"/>
      <c r="P784" s="865"/>
    </row>
    <row r="785" spans="1:16" ht="40.9" customHeight="1" x14ac:dyDescent="0.25">
      <c r="A785" s="675"/>
      <c r="B785" s="865" t="s">
        <v>1919</v>
      </c>
      <c r="C785" s="865"/>
      <c r="D785" s="865"/>
      <c r="E785" s="865"/>
      <c r="F785" s="865" t="s">
        <v>1907</v>
      </c>
      <c r="G785" s="865"/>
      <c r="H785" s="865"/>
      <c r="I785" s="865"/>
      <c r="J785" s="865" t="s">
        <v>129</v>
      </c>
      <c r="K785" s="865"/>
      <c r="L785" s="865"/>
      <c r="M785" s="865"/>
      <c r="N785" s="865"/>
      <c r="O785" s="865"/>
      <c r="P785" s="865"/>
    </row>
    <row r="786" spans="1:16" ht="27.2" customHeight="1" x14ac:dyDescent="0.25">
      <c r="A786" s="675"/>
      <c r="B786" s="865" t="s">
        <v>1920</v>
      </c>
      <c r="C786" s="865"/>
      <c r="D786" s="865"/>
      <c r="E786" s="865"/>
      <c r="F786" s="865" t="s">
        <v>1905</v>
      </c>
      <c r="G786" s="865"/>
      <c r="H786" s="865"/>
      <c r="I786" s="865"/>
      <c r="J786" s="865" t="s">
        <v>129</v>
      </c>
      <c r="K786" s="865"/>
      <c r="L786" s="865"/>
      <c r="M786" s="865"/>
      <c r="N786" s="865"/>
      <c r="O786" s="865"/>
      <c r="P786" s="865"/>
    </row>
    <row r="787" spans="1:16" ht="27.2" customHeight="1" x14ac:dyDescent="0.25">
      <c r="A787" s="675"/>
      <c r="B787" s="865" t="s">
        <v>1921</v>
      </c>
      <c r="C787" s="865"/>
      <c r="D787" s="865"/>
      <c r="E787" s="865"/>
      <c r="F787" s="865" t="s">
        <v>1912</v>
      </c>
      <c r="G787" s="865"/>
      <c r="H787" s="865"/>
      <c r="I787" s="865"/>
      <c r="J787" s="865" t="s">
        <v>129</v>
      </c>
      <c r="K787" s="865"/>
      <c r="L787" s="865"/>
      <c r="M787" s="865"/>
      <c r="N787" s="865"/>
      <c r="O787" s="865"/>
      <c r="P787" s="865"/>
    </row>
    <row r="788" spans="1:16" ht="27.2" customHeight="1" x14ac:dyDescent="0.25">
      <c r="A788" s="675"/>
      <c r="B788" s="865" t="s">
        <v>1922</v>
      </c>
      <c r="C788" s="865"/>
      <c r="D788" s="865"/>
      <c r="E788" s="865"/>
      <c r="F788" s="865" t="s">
        <v>1912</v>
      </c>
      <c r="G788" s="865"/>
      <c r="H788" s="865"/>
      <c r="I788" s="865"/>
      <c r="J788" s="865" t="s">
        <v>129</v>
      </c>
      <c r="K788" s="865"/>
      <c r="L788" s="865"/>
      <c r="M788" s="865"/>
      <c r="N788" s="865"/>
      <c r="O788" s="865"/>
      <c r="P788" s="865"/>
    </row>
    <row r="789" spans="1:16" x14ac:dyDescent="0.25">
      <c r="A789" s="675"/>
      <c r="B789" s="865" t="s">
        <v>1923</v>
      </c>
      <c r="C789" s="865"/>
      <c r="D789" s="865"/>
      <c r="E789" s="865"/>
      <c r="F789" s="865" t="s">
        <v>1912</v>
      </c>
      <c r="G789" s="865"/>
      <c r="H789" s="865"/>
      <c r="I789" s="865"/>
      <c r="J789" s="865" t="s">
        <v>129</v>
      </c>
      <c r="K789" s="865"/>
      <c r="L789" s="865"/>
      <c r="M789" s="865"/>
      <c r="N789" s="865"/>
      <c r="O789" s="865"/>
      <c r="P789" s="865"/>
    </row>
    <row r="790" spans="1:16" x14ac:dyDescent="0.25">
      <c r="A790" s="675"/>
      <c r="B790" s="865" t="s">
        <v>1924</v>
      </c>
      <c r="C790" s="865"/>
      <c r="D790" s="865"/>
      <c r="E790" s="865"/>
      <c r="F790" s="865" t="s">
        <v>1914</v>
      </c>
      <c r="G790" s="865"/>
      <c r="H790" s="865"/>
      <c r="I790" s="865"/>
      <c r="J790" s="865" t="s">
        <v>129</v>
      </c>
      <c r="K790" s="865"/>
      <c r="L790" s="865"/>
      <c r="M790" s="865"/>
      <c r="N790" s="865"/>
      <c r="O790" s="865"/>
      <c r="P790" s="865"/>
    </row>
    <row r="791" spans="1:16" ht="68.099999999999994" customHeight="1" x14ac:dyDescent="0.25">
      <c r="A791" s="675"/>
      <c r="B791" s="865" t="s">
        <v>129</v>
      </c>
      <c r="C791" s="865"/>
      <c r="D791" s="865"/>
      <c r="E791" s="865"/>
      <c r="F791" s="865" t="s">
        <v>1925</v>
      </c>
      <c r="G791" s="865"/>
      <c r="H791" s="865"/>
      <c r="I791" s="865"/>
      <c r="J791" s="865" t="s">
        <v>2516</v>
      </c>
      <c r="K791" s="865"/>
      <c r="L791" s="865"/>
      <c r="M791" s="865"/>
      <c r="N791" s="865"/>
      <c r="O791" s="865"/>
      <c r="P791" s="865"/>
    </row>
    <row r="792" spans="1:16" ht="27.2" customHeight="1" x14ac:dyDescent="0.25">
      <c r="A792" s="675"/>
      <c r="B792" s="865" t="s">
        <v>1926</v>
      </c>
      <c r="C792" s="865"/>
      <c r="D792" s="865"/>
      <c r="E792" s="865"/>
      <c r="F792" s="865" t="s">
        <v>1912</v>
      </c>
      <c r="G792" s="865"/>
      <c r="H792" s="865"/>
      <c r="I792" s="865"/>
      <c r="J792" s="865" t="s">
        <v>129</v>
      </c>
      <c r="K792" s="865"/>
      <c r="L792" s="865"/>
      <c r="M792" s="865"/>
      <c r="N792" s="865"/>
      <c r="O792" s="865"/>
      <c r="P792" s="865"/>
    </row>
    <row r="793" spans="1:16" ht="27.2" customHeight="1" x14ac:dyDescent="0.25">
      <c r="A793" s="675"/>
      <c r="B793" s="865" t="s">
        <v>1927</v>
      </c>
      <c r="C793" s="865"/>
      <c r="D793" s="865"/>
      <c r="E793" s="865"/>
      <c r="F793" s="865" t="s">
        <v>1912</v>
      </c>
      <c r="G793" s="865"/>
      <c r="H793" s="865"/>
      <c r="I793" s="865"/>
      <c r="J793" s="865" t="s">
        <v>129</v>
      </c>
      <c r="K793" s="865"/>
      <c r="L793" s="865"/>
      <c r="M793" s="865"/>
      <c r="N793" s="865"/>
      <c r="O793" s="865"/>
      <c r="P793" s="865"/>
    </row>
    <row r="794" spans="1:16" x14ac:dyDescent="0.25">
      <c r="A794" s="675"/>
      <c r="B794" s="865" t="s">
        <v>1928</v>
      </c>
      <c r="C794" s="865"/>
      <c r="D794" s="865"/>
      <c r="E794" s="865"/>
      <c r="F794" s="865" t="s">
        <v>1910</v>
      </c>
      <c r="G794" s="865"/>
      <c r="H794" s="865"/>
      <c r="I794" s="865"/>
      <c r="J794" s="865" t="s">
        <v>129</v>
      </c>
      <c r="K794" s="865"/>
      <c r="L794" s="865"/>
      <c r="M794" s="865"/>
      <c r="N794" s="865"/>
      <c r="O794" s="865"/>
      <c r="P794" s="865"/>
    </row>
    <row r="795" spans="1:16" ht="40.9" customHeight="1" x14ac:dyDescent="0.25">
      <c r="A795" s="675"/>
      <c r="B795" s="865" t="s">
        <v>1929</v>
      </c>
      <c r="C795" s="865"/>
      <c r="D795" s="865"/>
      <c r="E795" s="865"/>
      <c r="F795" s="865" t="s">
        <v>1914</v>
      </c>
      <c r="G795" s="865"/>
      <c r="H795" s="865"/>
      <c r="I795" s="865"/>
      <c r="J795" s="865" t="s">
        <v>129</v>
      </c>
      <c r="K795" s="865"/>
      <c r="L795" s="865"/>
      <c r="M795" s="865"/>
      <c r="N795" s="865"/>
      <c r="O795" s="865"/>
      <c r="P795" s="865"/>
    </row>
    <row r="796" spans="1:16" x14ac:dyDescent="0.25">
      <c r="A796" s="675"/>
      <c r="B796" s="865" t="s">
        <v>1930</v>
      </c>
      <c r="C796" s="865"/>
      <c r="D796" s="865"/>
      <c r="E796" s="865"/>
      <c r="F796" s="865" t="s">
        <v>1907</v>
      </c>
      <c r="G796" s="865"/>
      <c r="H796" s="865"/>
      <c r="I796" s="865"/>
      <c r="J796" s="865" t="s">
        <v>129</v>
      </c>
      <c r="K796" s="865"/>
      <c r="L796" s="865"/>
      <c r="M796" s="865"/>
      <c r="N796" s="865"/>
      <c r="O796" s="865"/>
      <c r="P796" s="865"/>
    </row>
    <row r="797" spans="1:16" ht="68.099999999999994" customHeight="1" x14ac:dyDescent="0.25">
      <c r="A797" s="675"/>
      <c r="B797" s="865" t="s">
        <v>1931</v>
      </c>
      <c r="C797" s="865"/>
      <c r="D797" s="865"/>
      <c r="E797" s="865"/>
      <c r="F797" s="865" t="s">
        <v>1914</v>
      </c>
      <c r="G797" s="865"/>
      <c r="H797" s="865"/>
      <c r="I797" s="865"/>
      <c r="J797" s="865" t="s">
        <v>129</v>
      </c>
      <c r="K797" s="865"/>
      <c r="L797" s="865"/>
      <c r="M797" s="865"/>
      <c r="N797" s="865"/>
      <c r="O797" s="865"/>
      <c r="P797" s="865"/>
    </row>
    <row r="798" spans="1:16" ht="27.2" customHeight="1" x14ac:dyDescent="0.25">
      <c r="A798" s="675"/>
      <c r="B798" s="865" t="s">
        <v>1932</v>
      </c>
      <c r="C798" s="865"/>
      <c r="D798" s="865"/>
      <c r="E798" s="865"/>
      <c r="F798" s="865" t="s">
        <v>1905</v>
      </c>
      <c r="G798" s="865"/>
      <c r="H798" s="865"/>
      <c r="I798" s="865"/>
      <c r="J798" s="865" t="s">
        <v>129</v>
      </c>
      <c r="K798" s="865"/>
      <c r="L798" s="865"/>
      <c r="M798" s="865"/>
      <c r="N798" s="865"/>
      <c r="O798" s="865"/>
      <c r="P798" s="865"/>
    </row>
    <row r="799" spans="1:16" ht="68.099999999999994" customHeight="1" x14ac:dyDescent="0.25">
      <c r="A799" s="675"/>
      <c r="B799" s="865" t="s">
        <v>129</v>
      </c>
      <c r="C799" s="865"/>
      <c r="D799" s="865"/>
      <c r="E799" s="865"/>
      <c r="F799" s="865" t="s">
        <v>1933</v>
      </c>
      <c r="G799" s="865"/>
      <c r="H799" s="865"/>
      <c r="I799" s="865"/>
      <c r="J799" s="865" t="s">
        <v>2515</v>
      </c>
      <c r="K799" s="865"/>
      <c r="L799" s="865"/>
      <c r="M799" s="865"/>
      <c r="N799" s="865"/>
      <c r="O799" s="865"/>
      <c r="P799" s="865"/>
    </row>
    <row r="800" spans="1:16" ht="27.2" customHeight="1" x14ac:dyDescent="0.25">
      <c r="A800" s="675"/>
      <c r="B800" s="865" t="s">
        <v>1934</v>
      </c>
      <c r="C800" s="865"/>
      <c r="D800" s="865"/>
      <c r="E800" s="865"/>
      <c r="F800" s="865" t="s">
        <v>1917</v>
      </c>
      <c r="G800" s="865"/>
      <c r="H800" s="865"/>
      <c r="I800" s="865"/>
      <c r="J800" s="865" t="s">
        <v>129</v>
      </c>
      <c r="K800" s="865"/>
      <c r="L800" s="865"/>
      <c r="M800" s="865"/>
      <c r="N800" s="865"/>
      <c r="O800" s="865"/>
      <c r="P800" s="865"/>
    </row>
    <row r="801" spans="1:16" ht="68.099999999999994" customHeight="1" x14ac:dyDescent="0.25">
      <c r="A801" s="675"/>
      <c r="B801" s="865" t="s">
        <v>129</v>
      </c>
      <c r="C801" s="865"/>
      <c r="D801" s="865"/>
      <c r="E801" s="865"/>
      <c r="F801" s="865" t="s">
        <v>1935</v>
      </c>
      <c r="G801" s="865"/>
      <c r="H801" s="865"/>
      <c r="I801" s="865"/>
      <c r="J801" s="865" t="s">
        <v>2514</v>
      </c>
      <c r="K801" s="865"/>
      <c r="L801" s="865"/>
      <c r="M801" s="865"/>
      <c r="N801" s="865"/>
      <c r="O801" s="865"/>
      <c r="P801" s="865"/>
    </row>
    <row r="802" spans="1:16" ht="27.2" customHeight="1" x14ac:dyDescent="0.25">
      <c r="A802" s="675"/>
      <c r="B802" s="865" t="s">
        <v>1936</v>
      </c>
      <c r="C802" s="865"/>
      <c r="D802" s="865"/>
      <c r="E802" s="865"/>
      <c r="F802" s="865" t="s">
        <v>1917</v>
      </c>
      <c r="G802" s="865"/>
      <c r="H802" s="865"/>
      <c r="I802" s="865"/>
      <c r="J802" s="865" t="s">
        <v>129</v>
      </c>
      <c r="K802" s="865"/>
      <c r="L802" s="865"/>
      <c r="M802" s="865"/>
      <c r="N802" s="865"/>
      <c r="O802" s="865"/>
      <c r="P802" s="865"/>
    </row>
    <row r="803" spans="1:16" ht="149.65" customHeight="1" x14ac:dyDescent="0.25">
      <c r="A803" s="674" t="s">
        <v>215</v>
      </c>
      <c r="B803" s="781" t="s">
        <v>1261</v>
      </c>
      <c r="C803" s="782"/>
      <c r="D803" s="782"/>
      <c r="E803" s="782"/>
      <c r="F803" s="782" t="s">
        <v>1262</v>
      </c>
      <c r="G803" s="782"/>
      <c r="H803" s="782"/>
      <c r="I803" s="782"/>
      <c r="J803" s="782" t="s">
        <v>1263</v>
      </c>
      <c r="K803" s="782"/>
      <c r="L803" s="782"/>
      <c r="M803" s="866">
        <f>ROUND((35900 + 281 * 390) * 1 * 1.15 * 0.4 * 1.23721, 0)</f>
        <v>82801</v>
      </c>
      <c r="N803" s="782"/>
      <c r="O803" s="782" t="s">
        <v>1264</v>
      </c>
      <c r="P803" s="782"/>
    </row>
    <row r="804" spans="1:16" x14ac:dyDescent="0.25">
      <c r="A804" s="676"/>
      <c r="B804" s="864" t="s">
        <v>306</v>
      </c>
      <c r="C804" s="864"/>
      <c r="D804" s="864"/>
      <c r="E804" s="864"/>
      <c r="F804" s="864" t="s">
        <v>129</v>
      </c>
      <c r="G804" s="864"/>
      <c r="H804" s="864"/>
      <c r="I804" s="864"/>
      <c r="J804" s="864" t="s">
        <v>129</v>
      </c>
      <c r="K804" s="864"/>
      <c r="L804" s="864"/>
      <c r="M804" s="864"/>
      <c r="N804" s="864"/>
      <c r="O804" s="864"/>
      <c r="P804" s="864"/>
    </row>
    <row r="805" spans="1:16" x14ac:dyDescent="0.25">
      <c r="A805" s="675"/>
      <c r="B805" s="865" t="s">
        <v>325</v>
      </c>
      <c r="C805" s="865"/>
      <c r="D805" s="865"/>
      <c r="E805" s="865"/>
      <c r="F805" s="865" t="s">
        <v>326</v>
      </c>
      <c r="G805" s="865"/>
      <c r="H805" s="865"/>
      <c r="I805" s="865"/>
      <c r="J805" s="865" t="s">
        <v>129</v>
      </c>
      <c r="K805" s="865"/>
      <c r="L805" s="865"/>
      <c r="M805" s="865"/>
      <c r="N805" s="865"/>
      <c r="O805" s="865"/>
      <c r="P805" s="865"/>
    </row>
    <row r="806" spans="1:16" ht="40.9" customHeight="1" x14ac:dyDescent="0.25">
      <c r="A806" s="675"/>
      <c r="B806" s="865" t="s">
        <v>1265</v>
      </c>
      <c r="C806" s="865"/>
      <c r="D806" s="865"/>
      <c r="E806" s="865"/>
      <c r="F806" s="865" t="s">
        <v>1266</v>
      </c>
      <c r="G806" s="865"/>
      <c r="H806" s="865"/>
      <c r="I806" s="865"/>
      <c r="J806" s="865" t="s">
        <v>129</v>
      </c>
      <c r="K806" s="865"/>
      <c r="L806" s="865"/>
      <c r="M806" s="865"/>
      <c r="N806" s="865"/>
      <c r="O806" s="865"/>
      <c r="P806" s="865"/>
    </row>
    <row r="807" spans="1:16" ht="149.65" customHeight="1" x14ac:dyDescent="0.25">
      <c r="A807" s="675"/>
      <c r="B807" s="865" t="s">
        <v>329</v>
      </c>
      <c r="C807" s="865"/>
      <c r="D807" s="865"/>
      <c r="E807" s="865"/>
      <c r="F807" s="865" t="s">
        <v>347</v>
      </c>
      <c r="G807" s="865"/>
      <c r="H807" s="865"/>
      <c r="I807" s="865"/>
      <c r="J807" s="865" t="s">
        <v>129</v>
      </c>
      <c r="K807" s="865"/>
      <c r="L807" s="865"/>
      <c r="M807" s="865"/>
      <c r="N807" s="865"/>
      <c r="O807" s="865"/>
      <c r="P807" s="865"/>
    </row>
    <row r="808" spans="1:16" x14ac:dyDescent="0.25">
      <c r="A808" s="676"/>
      <c r="B808" s="864" t="s">
        <v>330</v>
      </c>
      <c r="C808" s="864"/>
      <c r="D808" s="864"/>
      <c r="E808" s="864"/>
      <c r="F808" s="864" t="s">
        <v>129</v>
      </c>
      <c r="G808" s="864"/>
      <c r="H808" s="864"/>
      <c r="I808" s="864"/>
      <c r="J808" s="864" t="s">
        <v>129</v>
      </c>
      <c r="K808" s="864"/>
      <c r="L808" s="864"/>
      <c r="M808" s="864"/>
      <c r="N808" s="864"/>
      <c r="O808" s="864"/>
      <c r="P808" s="864"/>
    </row>
    <row r="809" spans="1:16" x14ac:dyDescent="0.25">
      <c r="A809" s="675"/>
      <c r="B809" s="865" t="s">
        <v>1028</v>
      </c>
      <c r="C809" s="865"/>
      <c r="D809" s="865"/>
      <c r="E809" s="865"/>
      <c r="F809" s="865" t="s">
        <v>1267</v>
      </c>
      <c r="G809" s="865"/>
      <c r="H809" s="865"/>
      <c r="I809" s="865"/>
      <c r="J809" s="865" t="s">
        <v>129</v>
      </c>
      <c r="K809" s="865"/>
      <c r="L809" s="865"/>
      <c r="M809" s="865"/>
      <c r="N809" s="865"/>
      <c r="O809" s="865"/>
      <c r="P809" s="865"/>
    </row>
    <row r="810" spans="1:16" ht="40.9" customHeight="1" x14ac:dyDescent="0.25">
      <c r="A810" s="675"/>
      <c r="B810" s="865" t="s">
        <v>1268</v>
      </c>
      <c r="C810" s="865"/>
      <c r="D810" s="865"/>
      <c r="E810" s="865"/>
      <c r="F810" s="865" t="s">
        <v>1269</v>
      </c>
      <c r="G810" s="865"/>
      <c r="H810" s="865"/>
      <c r="I810" s="865"/>
      <c r="J810" s="865" t="s">
        <v>129</v>
      </c>
      <c r="K810" s="865"/>
      <c r="L810" s="865"/>
      <c r="M810" s="865"/>
      <c r="N810" s="865"/>
      <c r="O810" s="865"/>
      <c r="P810" s="865"/>
    </row>
    <row r="811" spans="1:16" x14ac:dyDescent="0.25">
      <c r="A811" s="675"/>
      <c r="B811" s="865" t="s">
        <v>1224</v>
      </c>
      <c r="C811" s="865"/>
      <c r="D811" s="865"/>
      <c r="E811" s="865"/>
      <c r="F811" s="865" t="s">
        <v>1270</v>
      </c>
      <c r="G811" s="865"/>
      <c r="H811" s="865"/>
      <c r="I811" s="865"/>
      <c r="J811" s="865" t="s">
        <v>129</v>
      </c>
      <c r="K811" s="865"/>
      <c r="L811" s="865"/>
      <c r="M811" s="865"/>
      <c r="N811" s="865"/>
      <c r="O811" s="865"/>
      <c r="P811" s="865"/>
    </row>
    <row r="812" spans="1:16" ht="81.599999999999994" customHeight="1" x14ac:dyDescent="0.25">
      <c r="A812" s="675"/>
      <c r="B812" s="865" t="s">
        <v>1271</v>
      </c>
      <c r="C812" s="865"/>
      <c r="D812" s="865"/>
      <c r="E812" s="865"/>
      <c r="F812" s="865" t="s">
        <v>1272</v>
      </c>
      <c r="G812" s="865"/>
      <c r="H812" s="865"/>
      <c r="I812" s="865"/>
      <c r="J812" s="865" t="s">
        <v>129</v>
      </c>
      <c r="K812" s="865"/>
      <c r="L812" s="865"/>
      <c r="M812" s="865"/>
      <c r="N812" s="865"/>
      <c r="O812" s="865"/>
      <c r="P812" s="865"/>
    </row>
    <row r="813" spans="1:16" ht="27.2" customHeight="1" x14ac:dyDescent="0.25">
      <c r="A813" s="675"/>
      <c r="B813" s="865" t="s">
        <v>1228</v>
      </c>
      <c r="C813" s="865"/>
      <c r="D813" s="865"/>
      <c r="E813" s="865"/>
      <c r="F813" s="865" t="s">
        <v>1273</v>
      </c>
      <c r="G813" s="865"/>
      <c r="H813" s="865"/>
      <c r="I813" s="865"/>
      <c r="J813" s="865" t="s">
        <v>129</v>
      </c>
      <c r="K813" s="865"/>
      <c r="L813" s="865"/>
      <c r="M813" s="865"/>
      <c r="N813" s="865"/>
      <c r="O813" s="865"/>
      <c r="P813" s="865"/>
    </row>
    <row r="814" spans="1:16" ht="27.2" customHeight="1" x14ac:dyDescent="0.25">
      <c r="A814" s="675"/>
      <c r="B814" s="865" t="s">
        <v>1104</v>
      </c>
      <c r="C814" s="865"/>
      <c r="D814" s="865"/>
      <c r="E814" s="865"/>
      <c r="F814" s="865" t="s">
        <v>1274</v>
      </c>
      <c r="G814" s="865"/>
      <c r="H814" s="865"/>
      <c r="I814" s="865"/>
      <c r="J814" s="865" t="s">
        <v>129</v>
      </c>
      <c r="K814" s="865"/>
      <c r="L814" s="865"/>
      <c r="M814" s="865"/>
      <c r="N814" s="865"/>
      <c r="O814" s="865"/>
      <c r="P814" s="865"/>
    </row>
    <row r="815" spans="1:16" x14ac:dyDescent="0.25">
      <c r="A815" s="675"/>
      <c r="B815" s="865" t="s">
        <v>1192</v>
      </c>
      <c r="C815" s="865"/>
      <c r="D815" s="865"/>
      <c r="E815" s="865"/>
      <c r="F815" s="865" t="s">
        <v>1275</v>
      </c>
      <c r="G815" s="865"/>
      <c r="H815" s="865"/>
      <c r="I815" s="865"/>
      <c r="J815" s="865" t="s">
        <v>129</v>
      </c>
      <c r="K815" s="865"/>
      <c r="L815" s="865"/>
      <c r="M815" s="865"/>
      <c r="N815" s="865"/>
      <c r="O815" s="865"/>
      <c r="P815" s="865"/>
    </row>
    <row r="816" spans="1:16" ht="149.65" customHeight="1" x14ac:dyDescent="0.25">
      <c r="A816" s="674" t="s">
        <v>217</v>
      </c>
      <c r="B816" s="781" t="s">
        <v>1276</v>
      </c>
      <c r="C816" s="782"/>
      <c r="D816" s="782"/>
      <c r="E816" s="782"/>
      <c r="F816" s="782" t="s">
        <v>1277</v>
      </c>
      <c r="G816" s="782"/>
      <c r="H816" s="782"/>
      <c r="I816" s="782"/>
      <c r="J816" s="782" t="s">
        <v>1278</v>
      </c>
      <c r="K816" s="782"/>
      <c r="L816" s="782"/>
      <c r="M816" s="866">
        <f>ROUND((104500 + 15480 * 12) * 1 * 1.68 * 0.4 * 0.7 * 1.19321, 0)</f>
        <v>162919</v>
      </c>
      <c r="N816" s="782"/>
      <c r="O816" s="782" t="s">
        <v>129</v>
      </c>
      <c r="P816" s="782"/>
    </row>
    <row r="817" spans="1:16" x14ac:dyDescent="0.25">
      <c r="A817" s="676"/>
      <c r="B817" s="864" t="s">
        <v>306</v>
      </c>
      <c r="C817" s="864"/>
      <c r="D817" s="864"/>
      <c r="E817" s="864"/>
      <c r="F817" s="864" t="s">
        <v>129</v>
      </c>
      <c r="G817" s="864"/>
      <c r="H817" s="864"/>
      <c r="I817" s="864"/>
      <c r="J817" s="864" t="s">
        <v>129</v>
      </c>
      <c r="K817" s="864"/>
      <c r="L817" s="864"/>
      <c r="M817" s="864"/>
      <c r="N817" s="864"/>
      <c r="O817" s="864"/>
      <c r="P817" s="864"/>
    </row>
    <row r="818" spans="1:16" x14ac:dyDescent="0.25">
      <c r="A818" s="675"/>
      <c r="B818" s="865" t="s">
        <v>325</v>
      </c>
      <c r="C818" s="865"/>
      <c r="D818" s="865"/>
      <c r="E818" s="865"/>
      <c r="F818" s="865" t="s">
        <v>326</v>
      </c>
      <c r="G818" s="865"/>
      <c r="H818" s="865"/>
      <c r="I818" s="865"/>
      <c r="J818" s="865" t="s">
        <v>129</v>
      </c>
      <c r="K818" s="865"/>
      <c r="L818" s="865"/>
      <c r="M818" s="865"/>
      <c r="N818" s="865"/>
      <c r="O818" s="865"/>
      <c r="P818" s="865"/>
    </row>
    <row r="819" spans="1:16" ht="40.9" customHeight="1" x14ac:dyDescent="0.25">
      <c r="A819" s="675"/>
      <c r="B819" s="865" t="s">
        <v>331</v>
      </c>
      <c r="C819" s="865"/>
      <c r="D819" s="865"/>
      <c r="E819" s="865"/>
      <c r="F819" s="865" t="s">
        <v>332</v>
      </c>
      <c r="G819" s="865"/>
      <c r="H819" s="865"/>
      <c r="I819" s="865"/>
      <c r="J819" s="865" t="s">
        <v>129</v>
      </c>
      <c r="K819" s="865"/>
      <c r="L819" s="865"/>
      <c r="M819" s="865"/>
      <c r="N819" s="865"/>
      <c r="O819" s="865"/>
      <c r="P819" s="865"/>
    </row>
    <row r="820" spans="1:16" ht="81.599999999999994" customHeight="1" x14ac:dyDescent="0.25">
      <c r="A820" s="675"/>
      <c r="B820" s="865" t="s">
        <v>356</v>
      </c>
      <c r="C820" s="865"/>
      <c r="D820" s="865"/>
      <c r="E820" s="865"/>
      <c r="F820" s="865" t="s">
        <v>357</v>
      </c>
      <c r="G820" s="865"/>
      <c r="H820" s="865"/>
      <c r="I820" s="865"/>
      <c r="J820" s="865" t="s">
        <v>129</v>
      </c>
      <c r="K820" s="865"/>
      <c r="L820" s="865"/>
      <c r="M820" s="865"/>
      <c r="N820" s="865"/>
      <c r="O820" s="865"/>
      <c r="P820" s="865"/>
    </row>
    <row r="821" spans="1:16" ht="149.65" customHeight="1" x14ac:dyDescent="0.25">
      <c r="A821" s="675"/>
      <c r="B821" s="865" t="s">
        <v>329</v>
      </c>
      <c r="C821" s="865"/>
      <c r="D821" s="865"/>
      <c r="E821" s="865"/>
      <c r="F821" s="865" t="s">
        <v>355</v>
      </c>
      <c r="G821" s="865"/>
      <c r="H821" s="865"/>
      <c r="I821" s="865"/>
      <c r="J821" s="865" t="s">
        <v>129</v>
      </c>
      <c r="K821" s="865"/>
      <c r="L821" s="865"/>
      <c r="M821" s="865"/>
      <c r="N821" s="865"/>
      <c r="O821" s="865"/>
      <c r="P821" s="865"/>
    </row>
    <row r="822" spans="1:16" x14ac:dyDescent="0.25">
      <c r="A822" s="676"/>
      <c r="B822" s="864" t="s">
        <v>330</v>
      </c>
      <c r="C822" s="864"/>
      <c r="D822" s="864"/>
      <c r="E822" s="864"/>
      <c r="F822" s="864" t="s">
        <v>129</v>
      </c>
      <c r="G822" s="864"/>
      <c r="H822" s="864"/>
      <c r="I822" s="864"/>
      <c r="J822" s="864" t="s">
        <v>129</v>
      </c>
      <c r="K822" s="864"/>
      <c r="L822" s="864"/>
      <c r="M822" s="864"/>
      <c r="N822" s="864"/>
      <c r="O822" s="864"/>
      <c r="P822" s="864"/>
    </row>
    <row r="823" spans="1:16" x14ac:dyDescent="0.25">
      <c r="A823" s="675"/>
      <c r="B823" s="865" t="s">
        <v>1028</v>
      </c>
      <c r="C823" s="865"/>
      <c r="D823" s="865"/>
      <c r="E823" s="865"/>
      <c r="F823" s="865" t="s">
        <v>1279</v>
      </c>
      <c r="G823" s="865"/>
      <c r="H823" s="865"/>
      <c r="I823" s="865"/>
      <c r="J823" s="865" t="s">
        <v>129</v>
      </c>
      <c r="K823" s="865"/>
      <c r="L823" s="865"/>
      <c r="M823" s="865"/>
      <c r="N823" s="865"/>
      <c r="O823" s="865"/>
      <c r="P823" s="865"/>
    </row>
    <row r="824" spans="1:16" ht="27.2" customHeight="1" x14ac:dyDescent="0.25">
      <c r="A824" s="675"/>
      <c r="B824" s="865" t="s">
        <v>1222</v>
      </c>
      <c r="C824" s="865"/>
      <c r="D824" s="865"/>
      <c r="E824" s="865"/>
      <c r="F824" s="865" t="s">
        <v>1280</v>
      </c>
      <c r="G824" s="865"/>
      <c r="H824" s="865"/>
      <c r="I824" s="865"/>
      <c r="J824" s="865" t="s">
        <v>129</v>
      </c>
      <c r="K824" s="865"/>
      <c r="L824" s="865"/>
      <c r="M824" s="865"/>
      <c r="N824" s="865"/>
      <c r="O824" s="865"/>
      <c r="P824" s="865"/>
    </row>
    <row r="825" spans="1:16" x14ac:dyDescent="0.25">
      <c r="A825" s="675"/>
      <c r="B825" s="865" t="s">
        <v>1224</v>
      </c>
      <c r="C825" s="865"/>
      <c r="D825" s="865"/>
      <c r="E825" s="865"/>
      <c r="F825" s="865" t="s">
        <v>1281</v>
      </c>
      <c r="G825" s="865"/>
      <c r="H825" s="865"/>
      <c r="I825" s="865"/>
      <c r="J825" s="865" t="s">
        <v>129</v>
      </c>
      <c r="K825" s="865"/>
      <c r="L825" s="865"/>
      <c r="M825" s="865"/>
      <c r="N825" s="865"/>
      <c r="O825" s="865"/>
      <c r="P825" s="865"/>
    </row>
    <row r="826" spans="1:16" ht="81.599999999999994" customHeight="1" x14ac:dyDescent="0.25">
      <c r="A826" s="675"/>
      <c r="B826" s="865" t="s">
        <v>1226</v>
      </c>
      <c r="C826" s="865"/>
      <c r="D826" s="865"/>
      <c r="E826" s="865"/>
      <c r="F826" s="865" t="s">
        <v>1282</v>
      </c>
      <c r="G826" s="865"/>
      <c r="H826" s="865"/>
      <c r="I826" s="865"/>
      <c r="J826" s="865" t="s">
        <v>129</v>
      </c>
      <c r="K826" s="865"/>
      <c r="L826" s="865"/>
      <c r="M826" s="865"/>
      <c r="N826" s="865"/>
      <c r="O826" s="865"/>
      <c r="P826" s="865"/>
    </row>
    <row r="827" spans="1:16" ht="27.2" customHeight="1" x14ac:dyDescent="0.25">
      <c r="A827" s="675"/>
      <c r="B827" s="865" t="s">
        <v>1228</v>
      </c>
      <c r="C827" s="865"/>
      <c r="D827" s="865"/>
      <c r="E827" s="865"/>
      <c r="F827" s="865" t="s">
        <v>1283</v>
      </c>
      <c r="G827" s="865"/>
      <c r="H827" s="865"/>
      <c r="I827" s="865"/>
      <c r="J827" s="865" t="s">
        <v>129</v>
      </c>
      <c r="K827" s="865"/>
      <c r="L827" s="865"/>
      <c r="M827" s="865"/>
      <c r="N827" s="865"/>
      <c r="O827" s="865"/>
      <c r="P827" s="865"/>
    </row>
    <row r="828" spans="1:16" ht="27.2" customHeight="1" x14ac:dyDescent="0.25">
      <c r="A828" s="675"/>
      <c r="B828" s="865" t="s">
        <v>1230</v>
      </c>
      <c r="C828" s="865"/>
      <c r="D828" s="865"/>
      <c r="E828" s="865"/>
      <c r="F828" s="865" t="s">
        <v>1283</v>
      </c>
      <c r="G828" s="865"/>
      <c r="H828" s="865"/>
      <c r="I828" s="865"/>
      <c r="J828" s="865" t="s">
        <v>129</v>
      </c>
      <c r="K828" s="865"/>
      <c r="L828" s="865"/>
      <c r="M828" s="865"/>
      <c r="N828" s="865"/>
      <c r="O828" s="865"/>
      <c r="P828" s="865"/>
    </row>
    <row r="829" spans="1:16" ht="27.2" customHeight="1" x14ac:dyDescent="0.25">
      <c r="A829" s="675"/>
      <c r="B829" s="865" t="s">
        <v>1104</v>
      </c>
      <c r="C829" s="865"/>
      <c r="D829" s="865"/>
      <c r="E829" s="865"/>
      <c r="F829" s="865" t="s">
        <v>1284</v>
      </c>
      <c r="G829" s="865"/>
      <c r="H829" s="865"/>
      <c r="I829" s="865"/>
      <c r="J829" s="865" t="s">
        <v>129</v>
      </c>
      <c r="K829" s="865"/>
      <c r="L829" s="865"/>
      <c r="M829" s="865"/>
      <c r="N829" s="865"/>
      <c r="O829" s="865"/>
      <c r="P829" s="865"/>
    </row>
    <row r="830" spans="1:16" ht="27.2" customHeight="1" x14ac:dyDescent="0.25">
      <c r="A830" s="675"/>
      <c r="B830" s="865" t="s">
        <v>1164</v>
      </c>
      <c r="C830" s="865"/>
      <c r="D830" s="865"/>
      <c r="E830" s="865"/>
      <c r="F830" s="865" t="s">
        <v>1285</v>
      </c>
      <c r="G830" s="865"/>
      <c r="H830" s="865"/>
      <c r="I830" s="865"/>
      <c r="J830" s="865" t="s">
        <v>129</v>
      </c>
      <c r="K830" s="865"/>
      <c r="L830" s="865"/>
      <c r="M830" s="865"/>
      <c r="N830" s="865"/>
      <c r="O830" s="865"/>
      <c r="P830" s="865"/>
    </row>
    <row r="831" spans="1:16" x14ac:dyDescent="0.25">
      <c r="A831" s="675"/>
      <c r="B831" s="865" t="s">
        <v>1170</v>
      </c>
      <c r="C831" s="865"/>
      <c r="D831" s="865"/>
      <c r="E831" s="865"/>
      <c r="F831" s="865" t="s">
        <v>1286</v>
      </c>
      <c r="G831" s="865"/>
      <c r="H831" s="865"/>
      <c r="I831" s="865"/>
      <c r="J831" s="865" t="s">
        <v>129</v>
      </c>
      <c r="K831" s="865"/>
      <c r="L831" s="865"/>
      <c r="M831" s="865"/>
      <c r="N831" s="865"/>
      <c r="O831" s="865"/>
      <c r="P831" s="865"/>
    </row>
    <row r="832" spans="1:16" ht="108.75" customHeight="1" x14ac:dyDescent="0.25">
      <c r="A832" s="674" t="s">
        <v>218</v>
      </c>
      <c r="B832" s="781" t="s">
        <v>358</v>
      </c>
      <c r="C832" s="782"/>
      <c r="D832" s="782"/>
      <c r="E832" s="782"/>
      <c r="F832" s="782" t="s">
        <v>1287</v>
      </c>
      <c r="G832" s="782"/>
      <c r="H832" s="782"/>
      <c r="I832" s="782"/>
      <c r="J832" s="782" t="s">
        <v>2513</v>
      </c>
      <c r="K832" s="782"/>
      <c r="L832" s="782"/>
      <c r="M832" s="866">
        <f>ROUND((25980 + 4623 * 64) * 1 * 7.1 * 0.42 * 0.7 * 1.23152, 0)</f>
        <v>827377</v>
      </c>
      <c r="N832" s="782"/>
      <c r="O832" s="782" t="s">
        <v>1288</v>
      </c>
      <c r="P832" s="782"/>
    </row>
    <row r="833" spans="1:16" x14ac:dyDescent="0.25">
      <c r="A833" s="676"/>
      <c r="B833" s="864" t="s">
        <v>306</v>
      </c>
      <c r="C833" s="864"/>
      <c r="D833" s="864"/>
      <c r="E833" s="864"/>
      <c r="F833" s="864" t="s">
        <v>129</v>
      </c>
      <c r="G833" s="864"/>
      <c r="H833" s="864"/>
      <c r="I833" s="864"/>
      <c r="J833" s="864" t="s">
        <v>129</v>
      </c>
      <c r="K833" s="864"/>
      <c r="L833" s="864"/>
      <c r="M833" s="864"/>
      <c r="N833" s="864"/>
      <c r="O833" s="864"/>
      <c r="P833" s="864"/>
    </row>
    <row r="834" spans="1:16" x14ac:dyDescent="0.25">
      <c r="A834" s="675"/>
      <c r="B834" s="865" t="s">
        <v>325</v>
      </c>
      <c r="C834" s="865"/>
      <c r="D834" s="865"/>
      <c r="E834" s="865"/>
      <c r="F834" s="865" t="s">
        <v>359</v>
      </c>
      <c r="G834" s="865"/>
      <c r="H834" s="865"/>
      <c r="I834" s="865"/>
      <c r="J834" s="865" t="s">
        <v>129</v>
      </c>
      <c r="K834" s="865"/>
      <c r="L834" s="865"/>
      <c r="M834" s="865"/>
      <c r="N834" s="865"/>
      <c r="O834" s="865"/>
      <c r="P834" s="865"/>
    </row>
    <row r="835" spans="1:16" ht="40.9" customHeight="1" x14ac:dyDescent="0.25">
      <c r="A835" s="675"/>
      <c r="B835" s="865" t="s">
        <v>360</v>
      </c>
      <c r="C835" s="865"/>
      <c r="D835" s="865"/>
      <c r="E835" s="865"/>
      <c r="F835" s="865" t="s">
        <v>361</v>
      </c>
      <c r="G835" s="865"/>
      <c r="H835" s="865"/>
      <c r="I835" s="865"/>
      <c r="J835" s="865" t="s">
        <v>129</v>
      </c>
      <c r="K835" s="865"/>
      <c r="L835" s="865"/>
      <c r="M835" s="865"/>
      <c r="N835" s="865"/>
      <c r="O835" s="865"/>
      <c r="P835" s="865"/>
    </row>
    <row r="836" spans="1:16" ht="135.94999999999999" customHeight="1" x14ac:dyDescent="0.25">
      <c r="A836" s="675"/>
      <c r="B836" s="865" t="s">
        <v>2494</v>
      </c>
      <c r="C836" s="865"/>
      <c r="D836" s="865"/>
      <c r="E836" s="865"/>
      <c r="F836" s="865" t="s">
        <v>2493</v>
      </c>
      <c r="G836" s="865"/>
      <c r="H836" s="865"/>
      <c r="I836" s="865"/>
      <c r="J836" s="865" t="s">
        <v>129</v>
      </c>
      <c r="K836" s="865"/>
      <c r="L836" s="865"/>
      <c r="M836" s="865"/>
      <c r="N836" s="865"/>
      <c r="O836" s="865"/>
      <c r="P836" s="865"/>
    </row>
    <row r="837" spans="1:16" ht="149.65" customHeight="1" x14ac:dyDescent="0.25">
      <c r="A837" s="675"/>
      <c r="B837" s="865" t="s">
        <v>329</v>
      </c>
      <c r="C837" s="865"/>
      <c r="D837" s="865"/>
      <c r="E837" s="865"/>
      <c r="F837" s="865" t="s">
        <v>2492</v>
      </c>
      <c r="G837" s="865"/>
      <c r="H837" s="865"/>
      <c r="I837" s="865"/>
      <c r="J837" s="865" t="s">
        <v>129</v>
      </c>
      <c r="K837" s="865"/>
      <c r="L837" s="865"/>
      <c r="M837" s="865"/>
      <c r="N837" s="865"/>
      <c r="O837" s="865"/>
      <c r="P837" s="865"/>
    </row>
    <row r="838" spans="1:16" x14ac:dyDescent="0.25">
      <c r="A838" s="676"/>
      <c r="B838" s="864" t="s">
        <v>330</v>
      </c>
      <c r="C838" s="864"/>
      <c r="D838" s="864"/>
      <c r="E838" s="864"/>
      <c r="F838" s="864" t="s">
        <v>129</v>
      </c>
      <c r="G838" s="864"/>
      <c r="H838" s="864"/>
      <c r="I838" s="864"/>
      <c r="J838" s="864" t="s">
        <v>129</v>
      </c>
      <c r="K838" s="864"/>
      <c r="L838" s="864"/>
      <c r="M838" s="864"/>
      <c r="N838" s="864"/>
      <c r="O838" s="864"/>
      <c r="P838" s="864"/>
    </row>
    <row r="839" spans="1:16" x14ac:dyDescent="0.25">
      <c r="A839" s="675"/>
      <c r="B839" s="865" t="s">
        <v>1028</v>
      </c>
      <c r="C839" s="865"/>
      <c r="D839" s="865"/>
      <c r="E839" s="865"/>
      <c r="F839" s="865" t="s">
        <v>2512</v>
      </c>
      <c r="G839" s="865"/>
      <c r="H839" s="865"/>
      <c r="I839" s="865"/>
      <c r="J839" s="865" t="s">
        <v>129</v>
      </c>
      <c r="K839" s="865"/>
      <c r="L839" s="865"/>
      <c r="M839" s="865"/>
      <c r="N839" s="865"/>
      <c r="O839" s="865"/>
      <c r="P839" s="865"/>
    </row>
    <row r="840" spans="1:16" ht="27.2" customHeight="1" x14ac:dyDescent="0.25">
      <c r="A840" s="675"/>
      <c r="B840" s="865" t="s">
        <v>1029</v>
      </c>
      <c r="C840" s="865"/>
      <c r="D840" s="865"/>
      <c r="E840" s="865"/>
      <c r="F840" s="865" t="s">
        <v>2511</v>
      </c>
      <c r="G840" s="865"/>
      <c r="H840" s="865"/>
      <c r="I840" s="865"/>
      <c r="J840" s="865" t="s">
        <v>129</v>
      </c>
      <c r="K840" s="865"/>
      <c r="L840" s="865"/>
      <c r="M840" s="865"/>
      <c r="N840" s="865"/>
      <c r="O840" s="865"/>
      <c r="P840" s="865"/>
    </row>
    <row r="841" spans="1:16" x14ac:dyDescent="0.25">
      <c r="A841" s="675"/>
      <c r="B841" s="865" t="s">
        <v>1083</v>
      </c>
      <c r="C841" s="865"/>
      <c r="D841" s="865"/>
      <c r="E841" s="865"/>
      <c r="F841" s="865" t="s">
        <v>2510</v>
      </c>
      <c r="G841" s="865"/>
      <c r="H841" s="865"/>
      <c r="I841" s="865"/>
      <c r="J841" s="865" t="s">
        <v>129</v>
      </c>
      <c r="K841" s="865"/>
      <c r="L841" s="865"/>
      <c r="M841" s="865"/>
      <c r="N841" s="865"/>
      <c r="O841" s="865"/>
      <c r="P841" s="865"/>
    </row>
    <row r="842" spans="1:16" ht="27.2" customHeight="1" x14ac:dyDescent="0.25">
      <c r="A842" s="675"/>
      <c r="B842" s="865" t="s">
        <v>1084</v>
      </c>
      <c r="C842" s="865"/>
      <c r="D842" s="865"/>
      <c r="E842" s="865"/>
      <c r="F842" s="865" t="s">
        <v>2509</v>
      </c>
      <c r="G842" s="865"/>
      <c r="H842" s="865"/>
      <c r="I842" s="865"/>
      <c r="J842" s="865" t="s">
        <v>129</v>
      </c>
      <c r="K842" s="865"/>
      <c r="L842" s="865"/>
      <c r="M842" s="865"/>
      <c r="N842" s="865"/>
      <c r="O842" s="865"/>
      <c r="P842" s="865"/>
    </row>
    <row r="843" spans="1:16" ht="54.4" customHeight="1" x14ac:dyDescent="0.25">
      <c r="A843" s="675"/>
      <c r="B843" s="865" t="s">
        <v>1289</v>
      </c>
      <c r="C843" s="865"/>
      <c r="D843" s="865"/>
      <c r="E843" s="865"/>
      <c r="F843" s="865" t="s">
        <v>2508</v>
      </c>
      <c r="G843" s="865"/>
      <c r="H843" s="865"/>
      <c r="I843" s="865"/>
      <c r="J843" s="865" t="s">
        <v>129</v>
      </c>
      <c r="K843" s="865"/>
      <c r="L843" s="865"/>
      <c r="M843" s="865"/>
      <c r="N843" s="865"/>
      <c r="O843" s="865"/>
      <c r="P843" s="865"/>
    </row>
    <row r="844" spans="1:16" ht="27.2" customHeight="1" x14ac:dyDescent="0.25">
      <c r="A844" s="675"/>
      <c r="B844" s="865" t="s">
        <v>1290</v>
      </c>
      <c r="C844" s="865"/>
      <c r="D844" s="865"/>
      <c r="E844" s="865"/>
      <c r="F844" s="865" t="s">
        <v>2507</v>
      </c>
      <c r="G844" s="865"/>
      <c r="H844" s="865"/>
      <c r="I844" s="865"/>
      <c r="J844" s="865" t="s">
        <v>129</v>
      </c>
      <c r="K844" s="865"/>
      <c r="L844" s="865"/>
      <c r="M844" s="865"/>
      <c r="N844" s="865"/>
      <c r="O844" s="865"/>
      <c r="P844" s="865"/>
    </row>
    <row r="845" spans="1:16" ht="27.2" customHeight="1" x14ac:dyDescent="0.25">
      <c r="A845" s="675"/>
      <c r="B845" s="865" t="s">
        <v>1291</v>
      </c>
      <c r="C845" s="865"/>
      <c r="D845" s="865"/>
      <c r="E845" s="865"/>
      <c r="F845" s="865" t="s">
        <v>2505</v>
      </c>
      <c r="G845" s="865"/>
      <c r="H845" s="865"/>
      <c r="I845" s="865"/>
      <c r="J845" s="865" t="s">
        <v>129</v>
      </c>
      <c r="K845" s="865"/>
      <c r="L845" s="865"/>
      <c r="M845" s="865"/>
      <c r="N845" s="865"/>
      <c r="O845" s="865"/>
      <c r="P845" s="865"/>
    </row>
    <row r="846" spans="1:16" ht="27.2" customHeight="1" x14ac:dyDescent="0.25">
      <c r="A846" s="675"/>
      <c r="B846" s="865" t="s">
        <v>1292</v>
      </c>
      <c r="C846" s="865"/>
      <c r="D846" s="865"/>
      <c r="E846" s="865"/>
      <c r="F846" s="865" t="s">
        <v>2505</v>
      </c>
      <c r="G846" s="865"/>
      <c r="H846" s="865"/>
      <c r="I846" s="865"/>
      <c r="J846" s="865" t="s">
        <v>129</v>
      </c>
      <c r="K846" s="865"/>
      <c r="L846" s="865"/>
      <c r="M846" s="865"/>
      <c r="N846" s="865"/>
      <c r="O846" s="865"/>
      <c r="P846" s="865"/>
    </row>
    <row r="847" spans="1:16" ht="27.2" customHeight="1" x14ac:dyDescent="0.25">
      <c r="A847" s="675"/>
      <c r="B847" s="865" t="s">
        <v>1293</v>
      </c>
      <c r="C847" s="865"/>
      <c r="D847" s="865"/>
      <c r="E847" s="865"/>
      <c r="F847" s="865" t="s">
        <v>2506</v>
      </c>
      <c r="G847" s="865"/>
      <c r="H847" s="865"/>
      <c r="I847" s="865"/>
      <c r="J847" s="865" t="s">
        <v>129</v>
      </c>
      <c r="K847" s="865"/>
      <c r="L847" s="865"/>
      <c r="M847" s="865"/>
      <c r="N847" s="865"/>
      <c r="O847" s="865"/>
      <c r="P847" s="865"/>
    </row>
    <row r="848" spans="1:16" ht="27.2" customHeight="1" x14ac:dyDescent="0.25">
      <c r="A848" s="675"/>
      <c r="B848" s="865" t="s">
        <v>1294</v>
      </c>
      <c r="C848" s="865"/>
      <c r="D848" s="865"/>
      <c r="E848" s="865"/>
      <c r="F848" s="865" t="s">
        <v>2505</v>
      </c>
      <c r="G848" s="865"/>
      <c r="H848" s="865"/>
      <c r="I848" s="865"/>
      <c r="J848" s="865" t="s">
        <v>129</v>
      </c>
      <c r="K848" s="865"/>
      <c r="L848" s="865"/>
      <c r="M848" s="865"/>
      <c r="N848" s="865"/>
      <c r="O848" s="865"/>
      <c r="P848" s="865"/>
    </row>
    <row r="849" spans="1:16" ht="27.2" customHeight="1" x14ac:dyDescent="0.25">
      <c r="A849" s="675"/>
      <c r="B849" s="865" t="s">
        <v>1295</v>
      </c>
      <c r="C849" s="865"/>
      <c r="D849" s="865"/>
      <c r="E849" s="865"/>
      <c r="F849" s="865" t="s">
        <v>2504</v>
      </c>
      <c r="G849" s="865"/>
      <c r="H849" s="865"/>
      <c r="I849" s="865"/>
      <c r="J849" s="865" t="s">
        <v>129</v>
      </c>
      <c r="K849" s="865"/>
      <c r="L849" s="865"/>
      <c r="M849" s="865"/>
      <c r="N849" s="865"/>
      <c r="O849" s="865"/>
      <c r="P849" s="865"/>
    </row>
    <row r="850" spans="1:16" ht="27.2" customHeight="1" x14ac:dyDescent="0.25">
      <c r="A850" s="675"/>
      <c r="B850" s="865" t="s">
        <v>1296</v>
      </c>
      <c r="C850" s="865"/>
      <c r="D850" s="865"/>
      <c r="E850" s="865"/>
      <c r="F850" s="865" t="s">
        <v>2503</v>
      </c>
      <c r="G850" s="865"/>
      <c r="H850" s="865"/>
      <c r="I850" s="865"/>
      <c r="J850" s="865" t="s">
        <v>129</v>
      </c>
      <c r="K850" s="865"/>
      <c r="L850" s="865"/>
      <c r="M850" s="865"/>
      <c r="N850" s="865"/>
      <c r="O850" s="865"/>
      <c r="P850" s="865"/>
    </row>
    <row r="851" spans="1:16" ht="27.2" customHeight="1" x14ac:dyDescent="0.25">
      <c r="A851" s="675"/>
      <c r="B851" s="865" t="s">
        <v>1038</v>
      </c>
      <c r="C851" s="865"/>
      <c r="D851" s="865"/>
      <c r="E851" s="865"/>
      <c r="F851" s="865" t="s">
        <v>2502</v>
      </c>
      <c r="G851" s="865"/>
      <c r="H851" s="865"/>
      <c r="I851" s="865"/>
      <c r="J851" s="865" t="s">
        <v>129</v>
      </c>
      <c r="K851" s="865"/>
      <c r="L851" s="865"/>
      <c r="M851" s="865"/>
      <c r="N851" s="865"/>
      <c r="O851" s="865"/>
      <c r="P851" s="865"/>
    </row>
    <row r="852" spans="1:16" ht="27.2" customHeight="1" x14ac:dyDescent="0.25">
      <c r="A852" s="675"/>
      <c r="B852" s="865" t="s">
        <v>1297</v>
      </c>
      <c r="C852" s="865"/>
      <c r="D852" s="865"/>
      <c r="E852" s="865"/>
      <c r="F852" s="865" t="s">
        <v>2501</v>
      </c>
      <c r="G852" s="865"/>
      <c r="H852" s="865"/>
      <c r="I852" s="865"/>
      <c r="J852" s="865" t="s">
        <v>129</v>
      </c>
      <c r="K852" s="865"/>
      <c r="L852" s="865"/>
      <c r="M852" s="865"/>
      <c r="N852" s="865"/>
      <c r="O852" s="865"/>
      <c r="P852" s="865"/>
    </row>
    <row r="853" spans="1:16" ht="27.2" customHeight="1" x14ac:dyDescent="0.25">
      <c r="A853" s="675"/>
      <c r="B853" s="865" t="s">
        <v>1040</v>
      </c>
      <c r="C853" s="865"/>
      <c r="D853" s="865"/>
      <c r="E853" s="865"/>
      <c r="F853" s="865" t="s">
        <v>2500</v>
      </c>
      <c r="G853" s="865"/>
      <c r="H853" s="865"/>
      <c r="I853" s="865"/>
      <c r="J853" s="865" t="s">
        <v>129</v>
      </c>
      <c r="K853" s="865"/>
      <c r="L853" s="865"/>
      <c r="M853" s="865"/>
      <c r="N853" s="865"/>
      <c r="O853" s="865"/>
      <c r="P853" s="865"/>
    </row>
    <row r="854" spans="1:16" ht="27.2" customHeight="1" x14ac:dyDescent="0.25">
      <c r="A854" s="675"/>
      <c r="B854" s="865" t="s">
        <v>1298</v>
      </c>
      <c r="C854" s="865"/>
      <c r="D854" s="865"/>
      <c r="E854" s="865"/>
      <c r="F854" s="865" t="s">
        <v>2499</v>
      </c>
      <c r="G854" s="865"/>
      <c r="H854" s="865"/>
      <c r="I854" s="865"/>
      <c r="J854" s="865" t="s">
        <v>129</v>
      </c>
      <c r="K854" s="865"/>
      <c r="L854" s="865"/>
      <c r="M854" s="865"/>
      <c r="N854" s="865"/>
      <c r="O854" s="865"/>
      <c r="P854" s="865"/>
    </row>
    <row r="855" spans="1:16" x14ac:dyDescent="0.25">
      <c r="A855" s="675"/>
      <c r="B855" s="865" t="s">
        <v>1299</v>
      </c>
      <c r="C855" s="865"/>
      <c r="D855" s="865"/>
      <c r="E855" s="865"/>
      <c r="F855" s="865" t="s">
        <v>2498</v>
      </c>
      <c r="G855" s="865"/>
      <c r="H855" s="865"/>
      <c r="I855" s="865"/>
      <c r="J855" s="865" t="s">
        <v>129</v>
      </c>
      <c r="K855" s="865"/>
      <c r="L855" s="865"/>
      <c r="M855" s="865"/>
      <c r="N855" s="865"/>
      <c r="O855" s="865"/>
      <c r="P855" s="865"/>
    </row>
    <row r="856" spans="1:16" ht="149.65" customHeight="1" x14ac:dyDescent="0.25">
      <c r="A856" s="674" t="s">
        <v>219</v>
      </c>
      <c r="B856" s="781" t="s">
        <v>1300</v>
      </c>
      <c r="C856" s="782"/>
      <c r="D856" s="782"/>
      <c r="E856" s="782"/>
      <c r="F856" s="782" t="s">
        <v>1301</v>
      </c>
      <c r="G856" s="782"/>
      <c r="H856" s="782"/>
      <c r="I856" s="782"/>
      <c r="J856" s="782" t="s">
        <v>2497</v>
      </c>
      <c r="K856" s="782"/>
      <c r="L856" s="782"/>
      <c r="M856" s="866">
        <f>ROUND((52500 + 3004 * (0.4 * 20 + 0.6 * (20 / 2))) * 1 * 0.4 * 1.53 * 0.4 * 0.7 * 1.3, 0)</f>
        <v>21064</v>
      </c>
      <c r="N856" s="782"/>
      <c r="O856" s="782" t="s">
        <v>1302</v>
      </c>
      <c r="P856" s="782"/>
    </row>
    <row r="857" spans="1:16" x14ac:dyDescent="0.25">
      <c r="A857" s="676"/>
      <c r="B857" s="864" t="s">
        <v>306</v>
      </c>
      <c r="C857" s="864"/>
      <c r="D857" s="864"/>
      <c r="E857" s="864"/>
      <c r="F857" s="864" t="s">
        <v>129</v>
      </c>
      <c r="G857" s="864"/>
      <c r="H857" s="864"/>
      <c r="I857" s="864"/>
      <c r="J857" s="864" t="s">
        <v>129</v>
      </c>
      <c r="K857" s="864"/>
      <c r="L857" s="864"/>
      <c r="M857" s="864"/>
      <c r="N857" s="864"/>
      <c r="O857" s="864"/>
      <c r="P857" s="864"/>
    </row>
    <row r="858" spans="1:16" x14ac:dyDescent="0.25">
      <c r="A858" s="675"/>
      <c r="B858" s="865" t="s">
        <v>325</v>
      </c>
      <c r="C858" s="865"/>
      <c r="D858" s="865"/>
      <c r="E858" s="865"/>
      <c r="F858" s="865" t="s">
        <v>326</v>
      </c>
      <c r="G858" s="865"/>
      <c r="H858" s="865"/>
      <c r="I858" s="865"/>
      <c r="J858" s="865" t="s">
        <v>129</v>
      </c>
      <c r="K858" s="865"/>
      <c r="L858" s="865"/>
      <c r="M858" s="865"/>
      <c r="N858" s="865"/>
      <c r="O858" s="865"/>
      <c r="P858" s="865"/>
    </row>
    <row r="859" spans="1:16" ht="40.9" customHeight="1" x14ac:dyDescent="0.25">
      <c r="A859" s="675"/>
      <c r="B859" s="865" t="s">
        <v>336</v>
      </c>
      <c r="C859" s="865"/>
      <c r="D859" s="865"/>
      <c r="E859" s="865"/>
      <c r="F859" s="865" t="s">
        <v>337</v>
      </c>
      <c r="G859" s="865"/>
      <c r="H859" s="865"/>
      <c r="I859" s="865"/>
      <c r="J859" s="865" t="s">
        <v>129</v>
      </c>
      <c r="K859" s="865"/>
      <c r="L859" s="865"/>
      <c r="M859" s="865"/>
      <c r="N859" s="865"/>
      <c r="O859" s="865"/>
      <c r="P859" s="865"/>
    </row>
    <row r="860" spans="1:16" ht="95.25" customHeight="1" x14ac:dyDescent="0.25">
      <c r="A860" s="675"/>
      <c r="B860" s="865" t="s">
        <v>333</v>
      </c>
      <c r="C860" s="865"/>
      <c r="D860" s="865"/>
      <c r="E860" s="865"/>
      <c r="F860" s="865" t="s">
        <v>1303</v>
      </c>
      <c r="G860" s="865"/>
      <c r="H860" s="865"/>
      <c r="I860" s="865"/>
      <c r="J860" s="865" t="s">
        <v>129</v>
      </c>
      <c r="K860" s="865"/>
      <c r="L860" s="865"/>
      <c r="M860" s="865"/>
      <c r="N860" s="865"/>
      <c r="O860" s="865"/>
      <c r="P860" s="865"/>
    </row>
    <row r="861" spans="1:16" ht="176.85" customHeight="1" x14ac:dyDescent="0.25">
      <c r="A861" s="675"/>
      <c r="B861" s="865" t="s">
        <v>2471</v>
      </c>
      <c r="C861" s="865"/>
      <c r="D861" s="865"/>
      <c r="E861" s="865"/>
      <c r="F861" s="865" t="s">
        <v>2470</v>
      </c>
      <c r="G861" s="865"/>
      <c r="H861" s="865"/>
      <c r="I861" s="865"/>
      <c r="J861" s="865" t="s">
        <v>129</v>
      </c>
      <c r="K861" s="865"/>
      <c r="L861" s="865"/>
      <c r="M861" s="865"/>
      <c r="N861" s="865"/>
      <c r="O861" s="865"/>
      <c r="P861" s="865"/>
    </row>
    <row r="862" spans="1:16" ht="149.65" customHeight="1" x14ac:dyDescent="0.25">
      <c r="A862" s="675"/>
      <c r="B862" s="865" t="s">
        <v>329</v>
      </c>
      <c r="C862" s="865"/>
      <c r="D862" s="865"/>
      <c r="E862" s="865"/>
      <c r="F862" s="865" t="s">
        <v>1951</v>
      </c>
      <c r="G862" s="865"/>
      <c r="H862" s="865"/>
      <c r="I862" s="865"/>
      <c r="J862" s="865" t="s">
        <v>129</v>
      </c>
      <c r="K862" s="865"/>
      <c r="L862" s="865"/>
      <c r="M862" s="865"/>
      <c r="N862" s="865"/>
      <c r="O862" s="865"/>
      <c r="P862" s="865"/>
    </row>
    <row r="863" spans="1:16" x14ac:dyDescent="0.25">
      <c r="A863" s="676"/>
      <c r="B863" s="864" t="s">
        <v>330</v>
      </c>
      <c r="C863" s="864"/>
      <c r="D863" s="864"/>
      <c r="E863" s="864"/>
      <c r="F863" s="864" t="s">
        <v>129</v>
      </c>
      <c r="G863" s="864"/>
      <c r="H863" s="864"/>
      <c r="I863" s="864"/>
      <c r="J863" s="864" t="s">
        <v>129</v>
      </c>
      <c r="K863" s="864"/>
      <c r="L863" s="864"/>
      <c r="M863" s="864"/>
      <c r="N863" s="864"/>
      <c r="O863" s="864"/>
      <c r="P863" s="864"/>
    </row>
    <row r="864" spans="1:16" x14ac:dyDescent="0.25">
      <c r="A864" s="675"/>
      <c r="B864" s="865" t="s">
        <v>1304</v>
      </c>
      <c r="C864" s="865"/>
      <c r="D864" s="865"/>
      <c r="E864" s="865"/>
      <c r="F864" s="865" t="s">
        <v>2496</v>
      </c>
      <c r="G864" s="865"/>
      <c r="H864" s="865"/>
      <c r="I864" s="865"/>
      <c r="J864" s="865" t="s">
        <v>129</v>
      </c>
      <c r="K864" s="865"/>
      <c r="L864" s="865"/>
      <c r="M864" s="865"/>
      <c r="N864" s="865"/>
      <c r="O864" s="865"/>
      <c r="P864" s="865"/>
    </row>
    <row r="865" spans="1:16" ht="108.75" customHeight="1" x14ac:dyDescent="0.25">
      <c r="A865" s="674" t="s">
        <v>220</v>
      </c>
      <c r="B865" s="781" t="s">
        <v>358</v>
      </c>
      <c r="C865" s="782"/>
      <c r="D865" s="782"/>
      <c r="E865" s="782"/>
      <c r="F865" s="782" t="s">
        <v>1305</v>
      </c>
      <c r="G865" s="782"/>
      <c r="H865" s="782"/>
      <c r="I865" s="782"/>
      <c r="J865" s="782" t="s">
        <v>2495</v>
      </c>
      <c r="K865" s="782"/>
      <c r="L865" s="782"/>
      <c r="M865" s="866">
        <f>ROUND((25980 + 4623 * 48) * 1 * 7.1 * 0.42 * 0.7 * 1.23152, 0)</f>
        <v>637229</v>
      </c>
      <c r="N865" s="782"/>
      <c r="O865" s="782" t="s">
        <v>1306</v>
      </c>
      <c r="P865" s="782"/>
    </row>
    <row r="866" spans="1:16" x14ac:dyDescent="0.25">
      <c r="A866" s="676"/>
      <c r="B866" s="864" t="s">
        <v>306</v>
      </c>
      <c r="C866" s="864"/>
      <c r="D866" s="864"/>
      <c r="E866" s="864"/>
      <c r="F866" s="864" t="s">
        <v>129</v>
      </c>
      <c r="G866" s="864"/>
      <c r="H866" s="864"/>
      <c r="I866" s="864"/>
      <c r="J866" s="864" t="s">
        <v>129</v>
      </c>
      <c r="K866" s="864"/>
      <c r="L866" s="864"/>
      <c r="M866" s="864"/>
      <c r="N866" s="864"/>
      <c r="O866" s="864"/>
      <c r="P866" s="864"/>
    </row>
    <row r="867" spans="1:16" x14ac:dyDescent="0.25">
      <c r="A867" s="675"/>
      <c r="B867" s="865" t="s">
        <v>325</v>
      </c>
      <c r="C867" s="865"/>
      <c r="D867" s="865"/>
      <c r="E867" s="865"/>
      <c r="F867" s="865" t="s">
        <v>359</v>
      </c>
      <c r="G867" s="865"/>
      <c r="H867" s="865"/>
      <c r="I867" s="865"/>
      <c r="J867" s="865" t="s">
        <v>129</v>
      </c>
      <c r="K867" s="865"/>
      <c r="L867" s="865"/>
      <c r="M867" s="865"/>
      <c r="N867" s="865"/>
      <c r="O867" s="865"/>
      <c r="P867" s="865"/>
    </row>
    <row r="868" spans="1:16" ht="40.9" customHeight="1" x14ac:dyDescent="0.25">
      <c r="A868" s="675"/>
      <c r="B868" s="865" t="s">
        <v>360</v>
      </c>
      <c r="C868" s="865"/>
      <c r="D868" s="865"/>
      <c r="E868" s="865"/>
      <c r="F868" s="865" t="s">
        <v>361</v>
      </c>
      <c r="G868" s="865"/>
      <c r="H868" s="865"/>
      <c r="I868" s="865"/>
      <c r="J868" s="865" t="s">
        <v>129</v>
      </c>
      <c r="K868" s="865"/>
      <c r="L868" s="865"/>
      <c r="M868" s="865"/>
      <c r="N868" s="865"/>
      <c r="O868" s="865"/>
      <c r="P868" s="865"/>
    </row>
    <row r="869" spans="1:16" ht="135.94999999999999" customHeight="1" x14ac:dyDescent="0.25">
      <c r="A869" s="675"/>
      <c r="B869" s="865" t="s">
        <v>2494</v>
      </c>
      <c r="C869" s="865"/>
      <c r="D869" s="865"/>
      <c r="E869" s="865"/>
      <c r="F869" s="865" t="s">
        <v>2493</v>
      </c>
      <c r="G869" s="865"/>
      <c r="H869" s="865"/>
      <c r="I869" s="865"/>
      <c r="J869" s="865" t="s">
        <v>129</v>
      </c>
      <c r="K869" s="865"/>
      <c r="L869" s="865"/>
      <c r="M869" s="865"/>
      <c r="N869" s="865"/>
      <c r="O869" s="865"/>
      <c r="P869" s="865"/>
    </row>
    <row r="870" spans="1:16" ht="149.65" customHeight="1" x14ac:dyDescent="0.25">
      <c r="A870" s="675"/>
      <c r="B870" s="865" t="s">
        <v>329</v>
      </c>
      <c r="C870" s="865"/>
      <c r="D870" s="865"/>
      <c r="E870" s="865"/>
      <c r="F870" s="865" t="s">
        <v>2492</v>
      </c>
      <c r="G870" s="865"/>
      <c r="H870" s="865"/>
      <c r="I870" s="865"/>
      <c r="J870" s="865" t="s">
        <v>129</v>
      </c>
      <c r="K870" s="865"/>
      <c r="L870" s="865"/>
      <c r="M870" s="865"/>
      <c r="N870" s="865"/>
      <c r="O870" s="865"/>
      <c r="P870" s="865"/>
    </row>
    <row r="871" spans="1:16" x14ac:dyDescent="0.25">
      <c r="A871" s="676"/>
      <c r="B871" s="864" t="s">
        <v>330</v>
      </c>
      <c r="C871" s="864"/>
      <c r="D871" s="864"/>
      <c r="E871" s="864"/>
      <c r="F871" s="864" t="s">
        <v>129</v>
      </c>
      <c r="G871" s="864"/>
      <c r="H871" s="864"/>
      <c r="I871" s="864"/>
      <c r="J871" s="864" t="s">
        <v>129</v>
      </c>
      <c r="K871" s="864"/>
      <c r="L871" s="864"/>
      <c r="M871" s="864"/>
      <c r="N871" s="864"/>
      <c r="O871" s="864"/>
      <c r="P871" s="864"/>
    </row>
    <row r="872" spans="1:16" x14ac:dyDescent="0.25">
      <c r="A872" s="675"/>
      <c r="B872" s="865" t="s">
        <v>1028</v>
      </c>
      <c r="C872" s="865"/>
      <c r="D872" s="865"/>
      <c r="E872" s="865"/>
      <c r="F872" s="865" t="s">
        <v>2491</v>
      </c>
      <c r="G872" s="865"/>
      <c r="H872" s="865"/>
      <c r="I872" s="865"/>
      <c r="J872" s="865" t="s">
        <v>129</v>
      </c>
      <c r="K872" s="865"/>
      <c r="L872" s="865"/>
      <c r="M872" s="865"/>
      <c r="N872" s="865"/>
      <c r="O872" s="865"/>
      <c r="P872" s="865"/>
    </row>
    <row r="873" spans="1:16" ht="27.2" customHeight="1" x14ac:dyDescent="0.25">
      <c r="A873" s="675"/>
      <c r="B873" s="865" t="s">
        <v>1029</v>
      </c>
      <c r="C873" s="865"/>
      <c r="D873" s="865"/>
      <c r="E873" s="865"/>
      <c r="F873" s="865" t="s">
        <v>2490</v>
      </c>
      <c r="G873" s="865"/>
      <c r="H873" s="865"/>
      <c r="I873" s="865"/>
      <c r="J873" s="865" t="s">
        <v>129</v>
      </c>
      <c r="K873" s="865"/>
      <c r="L873" s="865"/>
      <c r="M873" s="865"/>
      <c r="N873" s="865"/>
      <c r="O873" s="865"/>
      <c r="P873" s="865"/>
    </row>
    <row r="874" spans="1:16" x14ac:dyDescent="0.25">
      <c r="A874" s="675"/>
      <c r="B874" s="865" t="s">
        <v>1083</v>
      </c>
      <c r="C874" s="865"/>
      <c r="D874" s="865"/>
      <c r="E874" s="865"/>
      <c r="F874" s="865" t="s">
        <v>2489</v>
      </c>
      <c r="G874" s="865"/>
      <c r="H874" s="865"/>
      <c r="I874" s="865"/>
      <c r="J874" s="865" t="s">
        <v>129</v>
      </c>
      <c r="K874" s="865"/>
      <c r="L874" s="865"/>
      <c r="M874" s="865"/>
      <c r="N874" s="865"/>
      <c r="O874" s="865"/>
      <c r="P874" s="865"/>
    </row>
    <row r="875" spans="1:16" ht="27.2" customHeight="1" x14ac:dyDescent="0.25">
      <c r="A875" s="675"/>
      <c r="B875" s="865" t="s">
        <v>1084</v>
      </c>
      <c r="C875" s="865"/>
      <c r="D875" s="865"/>
      <c r="E875" s="865"/>
      <c r="F875" s="865" t="s">
        <v>2488</v>
      </c>
      <c r="G875" s="865"/>
      <c r="H875" s="865"/>
      <c r="I875" s="865"/>
      <c r="J875" s="865" t="s">
        <v>129</v>
      </c>
      <c r="K875" s="865"/>
      <c r="L875" s="865"/>
      <c r="M875" s="865"/>
      <c r="N875" s="865"/>
      <c r="O875" s="865"/>
      <c r="P875" s="865"/>
    </row>
    <row r="876" spans="1:16" ht="54.4" customHeight="1" x14ac:dyDescent="0.25">
      <c r="A876" s="675"/>
      <c r="B876" s="865" t="s">
        <v>1289</v>
      </c>
      <c r="C876" s="865"/>
      <c r="D876" s="865"/>
      <c r="E876" s="865"/>
      <c r="F876" s="865" t="s">
        <v>2487</v>
      </c>
      <c r="G876" s="865"/>
      <c r="H876" s="865"/>
      <c r="I876" s="865"/>
      <c r="J876" s="865" t="s">
        <v>129</v>
      </c>
      <c r="K876" s="865"/>
      <c r="L876" s="865"/>
      <c r="M876" s="865"/>
      <c r="N876" s="865"/>
      <c r="O876" s="865"/>
      <c r="P876" s="865"/>
    </row>
    <row r="877" spans="1:16" ht="27.2" customHeight="1" x14ac:dyDescent="0.25">
      <c r="A877" s="675"/>
      <c r="B877" s="865" t="s">
        <v>1290</v>
      </c>
      <c r="C877" s="865"/>
      <c r="D877" s="865"/>
      <c r="E877" s="865"/>
      <c r="F877" s="865" t="s">
        <v>2486</v>
      </c>
      <c r="G877" s="865"/>
      <c r="H877" s="865"/>
      <c r="I877" s="865"/>
      <c r="J877" s="865" t="s">
        <v>129</v>
      </c>
      <c r="K877" s="865"/>
      <c r="L877" s="865"/>
      <c r="M877" s="865"/>
      <c r="N877" s="865"/>
      <c r="O877" s="865"/>
      <c r="P877" s="865"/>
    </row>
    <row r="878" spans="1:16" ht="27.2" customHeight="1" x14ac:dyDescent="0.25">
      <c r="A878" s="675"/>
      <c r="B878" s="865" t="s">
        <v>1291</v>
      </c>
      <c r="C878" s="865"/>
      <c r="D878" s="865"/>
      <c r="E878" s="865"/>
      <c r="F878" s="865" t="s">
        <v>2484</v>
      </c>
      <c r="G878" s="865"/>
      <c r="H878" s="865"/>
      <c r="I878" s="865"/>
      <c r="J878" s="865" t="s">
        <v>129</v>
      </c>
      <c r="K878" s="865"/>
      <c r="L878" s="865"/>
      <c r="M878" s="865"/>
      <c r="N878" s="865"/>
      <c r="O878" s="865"/>
      <c r="P878" s="865"/>
    </row>
    <row r="879" spans="1:16" ht="27.2" customHeight="1" x14ac:dyDescent="0.25">
      <c r="A879" s="675"/>
      <c r="B879" s="865" t="s">
        <v>1292</v>
      </c>
      <c r="C879" s="865"/>
      <c r="D879" s="865"/>
      <c r="E879" s="865"/>
      <c r="F879" s="865" t="s">
        <v>2484</v>
      </c>
      <c r="G879" s="865"/>
      <c r="H879" s="865"/>
      <c r="I879" s="865"/>
      <c r="J879" s="865" t="s">
        <v>129</v>
      </c>
      <c r="K879" s="865"/>
      <c r="L879" s="865"/>
      <c r="M879" s="865"/>
      <c r="N879" s="865"/>
      <c r="O879" s="865"/>
      <c r="P879" s="865"/>
    </row>
    <row r="880" spans="1:16" ht="27.2" customHeight="1" x14ac:dyDescent="0.25">
      <c r="A880" s="675"/>
      <c r="B880" s="865" t="s">
        <v>1293</v>
      </c>
      <c r="C880" s="865"/>
      <c r="D880" s="865"/>
      <c r="E880" s="865"/>
      <c r="F880" s="865" t="s">
        <v>2485</v>
      </c>
      <c r="G880" s="865"/>
      <c r="H880" s="865"/>
      <c r="I880" s="865"/>
      <c r="J880" s="865" t="s">
        <v>129</v>
      </c>
      <c r="K880" s="865"/>
      <c r="L880" s="865"/>
      <c r="M880" s="865"/>
      <c r="N880" s="865"/>
      <c r="O880" s="865"/>
      <c r="P880" s="865"/>
    </row>
    <row r="881" spans="1:16" ht="27.2" customHeight="1" x14ac:dyDescent="0.25">
      <c r="A881" s="675"/>
      <c r="B881" s="865" t="s">
        <v>1294</v>
      </c>
      <c r="C881" s="865"/>
      <c r="D881" s="865"/>
      <c r="E881" s="865"/>
      <c r="F881" s="865" t="s">
        <v>2484</v>
      </c>
      <c r="G881" s="865"/>
      <c r="H881" s="865"/>
      <c r="I881" s="865"/>
      <c r="J881" s="865" t="s">
        <v>129</v>
      </c>
      <c r="K881" s="865"/>
      <c r="L881" s="865"/>
      <c r="M881" s="865"/>
      <c r="N881" s="865"/>
      <c r="O881" s="865"/>
      <c r="P881" s="865"/>
    </row>
    <row r="882" spans="1:16" ht="27.2" customHeight="1" x14ac:dyDescent="0.25">
      <c r="A882" s="675"/>
      <c r="B882" s="865" t="s">
        <v>1295</v>
      </c>
      <c r="C882" s="865"/>
      <c r="D882" s="865"/>
      <c r="E882" s="865"/>
      <c r="F882" s="865" t="s">
        <v>2483</v>
      </c>
      <c r="G882" s="865"/>
      <c r="H882" s="865"/>
      <c r="I882" s="865"/>
      <c r="J882" s="865" t="s">
        <v>129</v>
      </c>
      <c r="K882" s="865"/>
      <c r="L882" s="865"/>
      <c r="M882" s="865"/>
      <c r="N882" s="865"/>
      <c r="O882" s="865"/>
      <c r="P882" s="865"/>
    </row>
    <row r="883" spans="1:16" ht="27.2" customHeight="1" x14ac:dyDescent="0.25">
      <c r="A883" s="675"/>
      <c r="B883" s="865" t="s">
        <v>1296</v>
      </c>
      <c r="C883" s="865"/>
      <c r="D883" s="865"/>
      <c r="E883" s="865"/>
      <c r="F883" s="865" t="s">
        <v>2482</v>
      </c>
      <c r="G883" s="865"/>
      <c r="H883" s="865"/>
      <c r="I883" s="865"/>
      <c r="J883" s="865" t="s">
        <v>129</v>
      </c>
      <c r="K883" s="865"/>
      <c r="L883" s="865"/>
      <c r="M883" s="865"/>
      <c r="N883" s="865"/>
      <c r="O883" s="865"/>
      <c r="P883" s="865"/>
    </row>
    <row r="884" spans="1:16" ht="27.2" customHeight="1" x14ac:dyDescent="0.25">
      <c r="A884" s="675"/>
      <c r="B884" s="865" t="s">
        <v>1038</v>
      </c>
      <c r="C884" s="865"/>
      <c r="D884" s="865"/>
      <c r="E884" s="865"/>
      <c r="F884" s="865" t="s">
        <v>2481</v>
      </c>
      <c r="G884" s="865"/>
      <c r="H884" s="865"/>
      <c r="I884" s="865"/>
      <c r="J884" s="865" t="s">
        <v>129</v>
      </c>
      <c r="K884" s="865"/>
      <c r="L884" s="865"/>
      <c r="M884" s="865"/>
      <c r="N884" s="865"/>
      <c r="O884" s="865"/>
      <c r="P884" s="865"/>
    </row>
    <row r="885" spans="1:16" ht="27.2" customHeight="1" x14ac:dyDescent="0.25">
      <c r="A885" s="675"/>
      <c r="B885" s="865" t="s">
        <v>1297</v>
      </c>
      <c r="C885" s="865"/>
      <c r="D885" s="865"/>
      <c r="E885" s="865"/>
      <c r="F885" s="865" t="s">
        <v>2480</v>
      </c>
      <c r="G885" s="865"/>
      <c r="H885" s="865"/>
      <c r="I885" s="865"/>
      <c r="J885" s="865" t="s">
        <v>129</v>
      </c>
      <c r="K885" s="865"/>
      <c r="L885" s="865"/>
      <c r="M885" s="865"/>
      <c r="N885" s="865"/>
      <c r="O885" s="865"/>
      <c r="P885" s="865"/>
    </row>
    <row r="886" spans="1:16" ht="27.2" customHeight="1" x14ac:dyDescent="0.25">
      <c r="A886" s="675"/>
      <c r="B886" s="865" t="s">
        <v>1040</v>
      </c>
      <c r="C886" s="865"/>
      <c r="D886" s="865"/>
      <c r="E886" s="865"/>
      <c r="F886" s="865" t="s">
        <v>2479</v>
      </c>
      <c r="G886" s="865"/>
      <c r="H886" s="865"/>
      <c r="I886" s="865"/>
      <c r="J886" s="865" t="s">
        <v>129</v>
      </c>
      <c r="K886" s="865"/>
      <c r="L886" s="865"/>
      <c r="M886" s="865"/>
      <c r="N886" s="865"/>
      <c r="O886" s="865"/>
      <c r="P886" s="865"/>
    </row>
    <row r="887" spans="1:16" ht="27.2" customHeight="1" x14ac:dyDescent="0.25">
      <c r="A887" s="675"/>
      <c r="B887" s="865" t="s">
        <v>1298</v>
      </c>
      <c r="C887" s="865"/>
      <c r="D887" s="865"/>
      <c r="E887" s="865"/>
      <c r="F887" s="865" t="s">
        <v>2478</v>
      </c>
      <c r="G887" s="865"/>
      <c r="H887" s="865"/>
      <c r="I887" s="865"/>
      <c r="J887" s="865" t="s">
        <v>129</v>
      </c>
      <c r="K887" s="865"/>
      <c r="L887" s="865"/>
      <c r="M887" s="865"/>
      <c r="N887" s="865"/>
      <c r="O887" s="865"/>
      <c r="P887" s="865"/>
    </row>
    <row r="888" spans="1:16" x14ac:dyDescent="0.25">
      <c r="A888" s="675"/>
      <c r="B888" s="865" t="s">
        <v>1299</v>
      </c>
      <c r="C888" s="865"/>
      <c r="D888" s="865"/>
      <c r="E888" s="865"/>
      <c r="F888" s="865" t="s">
        <v>2477</v>
      </c>
      <c r="G888" s="865"/>
      <c r="H888" s="865"/>
      <c r="I888" s="865"/>
      <c r="J888" s="865" t="s">
        <v>129</v>
      </c>
      <c r="K888" s="865"/>
      <c r="L888" s="865"/>
      <c r="M888" s="865"/>
      <c r="N888" s="865"/>
      <c r="O888" s="865"/>
      <c r="P888" s="865"/>
    </row>
    <row r="889" spans="1:16" x14ac:dyDescent="0.25">
      <c r="A889" s="785" t="s">
        <v>1937</v>
      </c>
      <c r="B889" s="785"/>
      <c r="C889" s="785"/>
      <c r="D889" s="785"/>
      <c r="E889" s="785"/>
      <c r="F889" s="785"/>
      <c r="G889" s="785"/>
      <c r="H889" s="785"/>
      <c r="I889" s="785"/>
      <c r="J889" s="785"/>
      <c r="K889" s="785"/>
      <c r="L889" s="785"/>
      <c r="M889" s="785"/>
      <c r="N889" s="785"/>
      <c r="O889" s="785"/>
      <c r="P889" s="785"/>
    </row>
    <row r="890" spans="1:16" ht="135.94999999999999" customHeight="1" x14ac:dyDescent="0.25">
      <c r="A890" s="674" t="s">
        <v>221</v>
      </c>
      <c r="B890" s="781" t="s">
        <v>1307</v>
      </c>
      <c r="C890" s="782"/>
      <c r="D890" s="782"/>
      <c r="E890" s="782"/>
      <c r="F890" s="782" t="s">
        <v>1308</v>
      </c>
      <c r="G890" s="782"/>
      <c r="H890" s="782"/>
      <c r="I890" s="782"/>
      <c r="J890" s="782" t="s">
        <v>1309</v>
      </c>
      <c r="K890" s="782"/>
      <c r="L890" s="782"/>
      <c r="M890" s="866">
        <f>ROUND(41100 * 1 * 1.68 * 0.4 * 1.23241, 0)</f>
        <v>34038</v>
      </c>
      <c r="N890" s="782"/>
      <c r="O890" s="782" t="s">
        <v>129</v>
      </c>
      <c r="P890" s="782"/>
    </row>
    <row r="891" spans="1:16" x14ac:dyDescent="0.25">
      <c r="A891" s="676"/>
      <c r="B891" s="864" t="s">
        <v>306</v>
      </c>
      <c r="C891" s="864"/>
      <c r="D891" s="864"/>
      <c r="E891" s="864"/>
      <c r="F891" s="864" t="s">
        <v>129</v>
      </c>
      <c r="G891" s="864"/>
      <c r="H891" s="864"/>
      <c r="I891" s="864"/>
      <c r="J891" s="864" t="s">
        <v>129</v>
      </c>
      <c r="K891" s="864"/>
      <c r="L891" s="864"/>
      <c r="M891" s="864"/>
      <c r="N891" s="864"/>
      <c r="O891" s="864"/>
      <c r="P891" s="864"/>
    </row>
    <row r="892" spans="1:16" x14ac:dyDescent="0.25">
      <c r="A892" s="675"/>
      <c r="B892" s="865" t="s">
        <v>325</v>
      </c>
      <c r="C892" s="865"/>
      <c r="D892" s="865"/>
      <c r="E892" s="865"/>
      <c r="F892" s="865" t="s">
        <v>326</v>
      </c>
      <c r="G892" s="865"/>
      <c r="H892" s="865"/>
      <c r="I892" s="865"/>
      <c r="J892" s="865" t="s">
        <v>129</v>
      </c>
      <c r="K892" s="865"/>
      <c r="L892" s="865"/>
      <c r="M892" s="865"/>
      <c r="N892" s="865"/>
      <c r="O892" s="865"/>
      <c r="P892" s="865"/>
    </row>
    <row r="893" spans="1:16" ht="40.9" customHeight="1" x14ac:dyDescent="0.25">
      <c r="A893" s="675"/>
      <c r="B893" s="865" t="s">
        <v>331</v>
      </c>
      <c r="C893" s="865"/>
      <c r="D893" s="865"/>
      <c r="E893" s="865"/>
      <c r="F893" s="865" t="s">
        <v>332</v>
      </c>
      <c r="G893" s="865"/>
      <c r="H893" s="865"/>
      <c r="I893" s="865"/>
      <c r="J893" s="865" t="s">
        <v>129</v>
      </c>
      <c r="K893" s="865"/>
      <c r="L893" s="865"/>
      <c r="M893" s="865"/>
      <c r="N893" s="865"/>
      <c r="O893" s="865"/>
      <c r="P893" s="865"/>
    </row>
    <row r="894" spans="1:16" ht="149.65" customHeight="1" x14ac:dyDescent="0.25">
      <c r="A894" s="675"/>
      <c r="B894" s="865" t="s">
        <v>329</v>
      </c>
      <c r="C894" s="865"/>
      <c r="D894" s="865"/>
      <c r="E894" s="865"/>
      <c r="F894" s="865" t="s">
        <v>1310</v>
      </c>
      <c r="G894" s="865"/>
      <c r="H894" s="865"/>
      <c r="I894" s="865"/>
      <c r="J894" s="865" t="s">
        <v>129</v>
      </c>
      <c r="K894" s="865"/>
      <c r="L894" s="865"/>
      <c r="M894" s="865"/>
      <c r="N894" s="865"/>
      <c r="O894" s="865"/>
      <c r="P894" s="865"/>
    </row>
    <row r="895" spans="1:16" x14ac:dyDescent="0.25">
      <c r="A895" s="676"/>
      <c r="B895" s="864" t="s">
        <v>330</v>
      </c>
      <c r="C895" s="864"/>
      <c r="D895" s="864"/>
      <c r="E895" s="864"/>
      <c r="F895" s="864" t="s">
        <v>129</v>
      </c>
      <c r="G895" s="864"/>
      <c r="H895" s="864"/>
      <c r="I895" s="864"/>
      <c r="J895" s="864" t="s">
        <v>129</v>
      </c>
      <c r="K895" s="864"/>
      <c r="L895" s="864"/>
      <c r="M895" s="864"/>
      <c r="N895" s="864"/>
      <c r="O895" s="864"/>
      <c r="P895" s="864"/>
    </row>
    <row r="896" spans="1:16" x14ac:dyDescent="0.25">
      <c r="A896" s="675"/>
      <c r="B896" s="865" t="s">
        <v>1028</v>
      </c>
      <c r="C896" s="865"/>
      <c r="D896" s="865"/>
      <c r="E896" s="865"/>
      <c r="F896" s="865" t="s">
        <v>1311</v>
      </c>
      <c r="G896" s="865"/>
      <c r="H896" s="865"/>
      <c r="I896" s="865"/>
      <c r="J896" s="865" t="s">
        <v>129</v>
      </c>
      <c r="K896" s="865"/>
      <c r="L896" s="865"/>
      <c r="M896" s="865"/>
      <c r="N896" s="865"/>
      <c r="O896" s="865"/>
      <c r="P896" s="865"/>
    </row>
    <row r="897" spans="1:16" ht="27.2" customHeight="1" x14ac:dyDescent="0.25">
      <c r="A897" s="675"/>
      <c r="B897" s="865" t="s">
        <v>1082</v>
      </c>
      <c r="C897" s="865"/>
      <c r="D897" s="865"/>
      <c r="E897" s="865"/>
      <c r="F897" s="865" t="s">
        <v>1312</v>
      </c>
      <c r="G897" s="865"/>
      <c r="H897" s="865"/>
      <c r="I897" s="865"/>
      <c r="J897" s="865" t="s">
        <v>129</v>
      </c>
      <c r="K897" s="865"/>
      <c r="L897" s="865"/>
      <c r="M897" s="865"/>
      <c r="N897" s="865"/>
      <c r="O897" s="865"/>
      <c r="P897" s="865"/>
    </row>
    <row r="898" spans="1:16" ht="27.2" customHeight="1" x14ac:dyDescent="0.25">
      <c r="A898" s="675"/>
      <c r="B898" s="865" t="s">
        <v>1188</v>
      </c>
      <c r="C898" s="865"/>
      <c r="D898" s="865"/>
      <c r="E898" s="865"/>
      <c r="F898" s="865" t="s">
        <v>1313</v>
      </c>
      <c r="G898" s="865"/>
      <c r="H898" s="865"/>
      <c r="I898" s="865"/>
      <c r="J898" s="865" t="s">
        <v>129</v>
      </c>
      <c r="K898" s="865"/>
      <c r="L898" s="865"/>
      <c r="M898" s="865"/>
      <c r="N898" s="865"/>
      <c r="O898" s="865"/>
      <c r="P898" s="865"/>
    </row>
    <row r="899" spans="1:16" x14ac:dyDescent="0.25">
      <c r="A899" s="675"/>
      <c r="B899" s="865" t="s">
        <v>1031</v>
      </c>
      <c r="C899" s="865"/>
      <c r="D899" s="865"/>
      <c r="E899" s="865"/>
      <c r="F899" s="865" t="s">
        <v>1314</v>
      </c>
      <c r="G899" s="865"/>
      <c r="H899" s="865"/>
      <c r="I899" s="865"/>
      <c r="J899" s="865" t="s">
        <v>129</v>
      </c>
      <c r="K899" s="865"/>
      <c r="L899" s="865"/>
      <c r="M899" s="865"/>
      <c r="N899" s="865"/>
      <c r="O899" s="865"/>
      <c r="P899" s="865"/>
    </row>
    <row r="900" spans="1:16" ht="81.599999999999994" customHeight="1" x14ac:dyDescent="0.25">
      <c r="A900" s="675"/>
      <c r="B900" s="865" t="s">
        <v>1085</v>
      </c>
      <c r="C900" s="865"/>
      <c r="D900" s="865"/>
      <c r="E900" s="865"/>
      <c r="F900" s="865" t="s">
        <v>1315</v>
      </c>
      <c r="G900" s="865"/>
      <c r="H900" s="865"/>
      <c r="I900" s="865"/>
      <c r="J900" s="865" t="s">
        <v>129</v>
      </c>
      <c r="K900" s="865"/>
      <c r="L900" s="865"/>
      <c r="M900" s="865"/>
      <c r="N900" s="865"/>
      <c r="O900" s="865"/>
      <c r="P900" s="865"/>
    </row>
    <row r="901" spans="1:16" ht="27.2" customHeight="1" x14ac:dyDescent="0.25">
      <c r="A901" s="675"/>
      <c r="B901" s="865" t="s">
        <v>1316</v>
      </c>
      <c r="C901" s="865"/>
      <c r="D901" s="865"/>
      <c r="E901" s="865"/>
      <c r="F901" s="865" t="s">
        <v>1317</v>
      </c>
      <c r="G901" s="865"/>
      <c r="H901" s="865"/>
      <c r="I901" s="865"/>
      <c r="J901" s="865" t="s">
        <v>129</v>
      </c>
      <c r="K901" s="865"/>
      <c r="L901" s="865"/>
      <c r="M901" s="865"/>
      <c r="N901" s="865"/>
      <c r="O901" s="865"/>
      <c r="P901" s="865"/>
    </row>
    <row r="902" spans="1:16" ht="27.2" customHeight="1" x14ac:dyDescent="0.25">
      <c r="A902" s="675"/>
      <c r="B902" s="865" t="s">
        <v>1038</v>
      </c>
      <c r="C902" s="865"/>
      <c r="D902" s="865"/>
      <c r="E902" s="865"/>
      <c r="F902" s="865" t="s">
        <v>1318</v>
      </c>
      <c r="G902" s="865"/>
      <c r="H902" s="865"/>
      <c r="I902" s="865"/>
      <c r="J902" s="865" t="s">
        <v>129</v>
      </c>
      <c r="K902" s="865"/>
      <c r="L902" s="865"/>
      <c r="M902" s="865"/>
      <c r="N902" s="865"/>
      <c r="O902" s="865"/>
      <c r="P902" s="865"/>
    </row>
    <row r="903" spans="1:16" x14ac:dyDescent="0.25">
      <c r="A903" s="675"/>
      <c r="B903" s="865" t="s">
        <v>1170</v>
      </c>
      <c r="C903" s="865"/>
      <c r="D903" s="865"/>
      <c r="E903" s="865"/>
      <c r="F903" s="865" t="s">
        <v>1319</v>
      </c>
      <c r="G903" s="865"/>
      <c r="H903" s="865"/>
      <c r="I903" s="865"/>
      <c r="J903" s="865" t="s">
        <v>129</v>
      </c>
      <c r="K903" s="865"/>
      <c r="L903" s="865"/>
      <c r="M903" s="865"/>
      <c r="N903" s="865"/>
      <c r="O903" s="865"/>
      <c r="P903" s="865"/>
    </row>
    <row r="904" spans="1:16" ht="163.15" customHeight="1" x14ac:dyDescent="0.25">
      <c r="A904" s="674" t="s">
        <v>222</v>
      </c>
      <c r="B904" s="781" t="s">
        <v>346</v>
      </c>
      <c r="C904" s="782"/>
      <c r="D904" s="782"/>
      <c r="E904" s="782"/>
      <c r="F904" s="782" t="s">
        <v>1247</v>
      </c>
      <c r="G904" s="782"/>
      <c r="H904" s="782"/>
      <c r="I904" s="782"/>
      <c r="J904" s="782" t="s">
        <v>1320</v>
      </c>
      <c r="K904" s="782"/>
      <c r="L904" s="782"/>
      <c r="M904" s="866">
        <f>ROUND(140400 * 1 * 1.68 * 0.4 * 0.5 * 1.15829, 0)</f>
        <v>54642</v>
      </c>
      <c r="N904" s="782"/>
      <c r="O904" s="782" t="s">
        <v>129</v>
      </c>
      <c r="P904" s="782"/>
    </row>
    <row r="905" spans="1:16" x14ac:dyDescent="0.25">
      <c r="A905" s="676"/>
      <c r="B905" s="864" t="s">
        <v>306</v>
      </c>
      <c r="C905" s="864"/>
      <c r="D905" s="864"/>
      <c r="E905" s="864"/>
      <c r="F905" s="864" t="s">
        <v>129</v>
      </c>
      <c r="G905" s="864"/>
      <c r="H905" s="864"/>
      <c r="I905" s="864"/>
      <c r="J905" s="864" t="s">
        <v>129</v>
      </c>
      <c r="K905" s="864"/>
      <c r="L905" s="864"/>
      <c r="M905" s="864"/>
      <c r="N905" s="864"/>
      <c r="O905" s="864"/>
      <c r="P905" s="864"/>
    </row>
    <row r="906" spans="1:16" x14ac:dyDescent="0.25">
      <c r="A906" s="675"/>
      <c r="B906" s="865" t="s">
        <v>325</v>
      </c>
      <c r="C906" s="865"/>
      <c r="D906" s="865"/>
      <c r="E906" s="865"/>
      <c r="F906" s="865" t="s">
        <v>326</v>
      </c>
      <c r="G906" s="865"/>
      <c r="H906" s="865"/>
      <c r="I906" s="865"/>
      <c r="J906" s="865" t="s">
        <v>129</v>
      </c>
      <c r="K906" s="865"/>
      <c r="L906" s="865"/>
      <c r="M906" s="865"/>
      <c r="N906" s="865"/>
      <c r="O906" s="865"/>
      <c r="P906" s="865"/>
    </row>
    <row r="907" spans="1:16" ht="40.9" customHeight="1" x14ac:dyDescent="0.25">
      <c r="A907" s="675"/>
      <c r="B907" s="865" t="s">
        <v>331</v>
      </c>
      <c r="C907" s="865"/>
      <c r="D907" s="865"/>
      <c r="E907" s="865"/>
      <c r="F907" s="865" t="s">
        <v>332</v>
      </c>
      <c r="G907" s="865"/>
      <c r="H907" s="865"/>
      <c r="I907" s="865"/>
      <c r="J907" s="865" t="s">
        <v>129</v>
      </c>
      <c r="K907" s="865"/>
      <c r="L907" s="865"/>
      <c r="M907" s="865"/>
      <c r="N907" s="865"/>
      <c r="O907" s="865"/>
      <c r="P907" s="865"/>
    </row>
    <row r="908" spans="1:16" ht="95.25" customHeight="1" x14ac:dyDescent="0.25">
      <c r="A908" s="675"/>
      <c r="B908" s="865" t="s">
        <v>1251</v>
      </c>
      <c r="C908" s="865"/>
      <c r="D908" s="865"/>
      <c r="E908" s="865"/>
      <c r="F908" s="865" t="s">
        <v>1252</v>
      </c>
      <c r="G908" s="865"/>
      <c r="H908" s="865"/>
      <c r="I908" s="865"/>
      <c r="J908" s="865" t="s">
        <v>129</v>
      </c>
      <c r="K908" s="865"/>
      <c r="L908" s="865"/>
      <c r="M908" s="865"/>
      <c r="N908" s="865"/>
      <c r="O908" s="865"/>
      <c r="P908" s="865"/>
    </row>
    <row r="909" spans="1:16" ht="149.65" customHeight="1" x14ac:dyDescent="0.25">
      <c r="A909" s="675"/>
      <c r="B909" s="865" t="s">
        <v>329</v>
      </c>
      <c r="C909" s="865"/>
      <c r="D909" s="865"/>
      <c r="E909" s="865"/>
      <c r="F909" s="865" t="s">
        <v>1253</v>
      </c>
      <c r="G909" s="865"/>
      <c r="H909" s="865"/>
      <c r="I909" s="865"/>
      <c r="J909" s="865" t="s">
        <v>129</v>
      </c>
      <c r="K909" s="865"/>
      <c r="L909" s="865"/>
      <c r="M909" s="865"/>
      <c r="N909" s="865"/>
      <c r="O909" s="865"/>
      <c r="P909" s="865"/>
    </row>
    <row r="910" spans="1:16" x14ac:dyDescent="0.25">
      <c r="A910" s="676"/>
      <c r="B910" s="864" t="s">
        <v>330</v>
      </c>
      <c r="C910" s="864"/>
      <c r="D910" s="864"/>
      <c r="E910" s="864"/>
      <c r="F910" s="864" t="s">
        <v>129</v>
      </c>
      <c r="G910" s="864"/>
      <c r="H910" s="864"/>
      <c r="I910" s="864"/>
      <c r="J910" s="864" t="s">
        <v>129</v>
      </c>
      <c r="K910" s="864"/>
      <c r="L910" s="864"/>
      <c r="M910" s="864"/>
      <c r="N910" s="864"/>
      <c r="O910" s="864"/>
      <c r="P910" s="864"/>
    </row>
    <row r="911" spans="1:16" x14ac:dyDescent="0.25">
      <c r="A911" s="675"/>
      <c r="B911" s="865" t="s">
        <v>1028</v>
      </c>
      <c r="C911" s="865"/>
      <c r="D911" s="865"/>
      <c r="E911" s="865"/>
      <c r="F911" s="865" t="s">
        <v>1321</v>
      </c>
      <c r="G911" s="865"/>
      <c r="H911" s="865"/>
      <c r="I911" s="865"/>
      <c r="J911" s="865" t="s">
        <v>129</v>
      </c>
      <c r="K911" s="865"/>
      <c r="L911" s="865"/>
      <c r="M911" s="865"/>
      <c r="N911" s="865"/>
      <c r="O911" s="865"/>
      <c r="P911" s="865"/>
    </row>
    <row r="912" spans="1:16" ht="27.2" customHeight="1" x14ac:dyDescent="0.25">
      <c r="A912" s="675"/>
      <c r="B912" s="865" t="s">
        <v>1222</v>
      </c>
      <c r="C912" s="865"/>
      <c r="D912" s="865"/>
      <c r="E912" s="865"/>
      <c r="F912" s="865" t="s">
        <v>1322</v>
      </c>
      <c r="G912" s="865"/>
      <c r="H912" s="865"/>
      <c r="I912" s="865"/>
      <c r="J912" s="865" t="s">
        <v>129</v>
      </c>
      <c r="K912" s="865"/>
      <c r="L912" s="865"/>
      <c r="M912" s="865"/>
      <c r="N912" s="865"/>
      <c r="O912" s="865"/>
      <c r="P912" s="865"/>
    </row>
    <row r="913" spans="1:16" x14ac:dyDescent="0.25">
      <c r="A913" s="675"/>
      <c r="B913" s="865" t="s">
        <v>1224</v>
      </c>
      <c r="C913" s="865"/>
      <c r="D913" s="865"/>
      <c r="E913" s="865"/>
      <c r="F913" s="865" t="s">
        <v>1323</v>
      </c>
      <c r="G913" s="865"/>
      <c r="H913" s="865"/>
      <c r="I913" s="865"/>
      <c r="J913" s="865" t="s">
        <v>129</v>
      </c>
      <c r="K913" s="865"/>
      <c r="L913" s="865"/>
      <c r="M913" s="865"/>
      <c r="N913" s="865"/>
      <c r="O913" s="865"/>
      <c r="P913" s="865"/>
    </row>
    <row r="914" spans="1:16" ht="81.599999999999994" customHeight="1" x14ac:dyDescent="0.25">
      <c r="A914" s="675"/>
      <c r="B914" s="865" t="s">
        <v>1226</v>
      </c>
      <c r="C914" s="865"/>
      <c r="D914" s="865"/>
      <c r="E914" s="865"/>
      <c r="F914" s="865" t="s">
        <v>1324</v>
      </c>
      <c r="G914" s="865"/>
      <c r="H914" s="865"/>
      <c r="I914" s="865"/>
      <c r="J914" s="865" t="s">
        <v>129</v>
      </c>
      <c r="K914" s="865"/>
      <c r="L914" s="865"/>
      <c r="M914" s="865"/>
      <c r="N914" s="865"/>
      <c r="O914" s="865"/>
      <c r="P914" s="865"/>
    </row>
    <row r="915" spans="1:16" ht="27.2" customHeight="1" x14ac:dyDescent="0.25">
      <c r="A915" s="675"/>
      <c r="B915" s="865" t="s">
        <v>1228</v>
      </c>
      <c r="C915" s="865"/>
      <c r="D915" s="865"/>
      <c r="E915" s="865"/>
      <c r="F915" s="865" t="s">
        <v>1325</v>
      </c>
      <c r="G915" s="865"/>
      <c r="H915" s="865"/>
      <c r="I915" s="865"/>
      <c r="J915" s="865" t="s">
        <v>129</v>
      </c>
      <c r="K915" s="865"/>
      <c r="L915" s="865"/>
      <c r="M915" s="865"/>
      <c r="N915" s="865"/>
      <c r="O915" s="865"/>
      <c r="P915" s="865"/>
    </row>
    <row r="916" spans="1:16" ht="27.2" customHeight="1" x14ac:dyDescent="0.25">
      <c r="A916" s="675"/>
      <c r="B916" s="865" t="s">
        <v>1104</v>
      </c>
      <c r="C916" s="865"/>
      <c r="D916" s="865"/>
      <c r="E916" s="865"/>
      <c r="F916" s="865" t="s">
        <v>1326</v>
      </c>
      <c r="G916" s="865"/>
      <c r="H916" s="865"/>
      <c r="I916" s="865"/>
      <c r="J916" s="865" t="s">
        <v>129</v>
      </c>
      <c r="K916" s="865"/>
      <c r="L916" s="865"/>
      <c r="M916" s="865"/>
      <c r="N916" s="865"/>
      <c r="O916" s="865"/>
      <c r="P916" s="865"/>
    </row>
    <row r="917" spans="1:16" x14ac:dyDescent="0.25">
      <c r="A917" s="675"/>
      <c r="B917" s="865" t="s">
        <v>1192</v>
      </c>
      <c r="C917" s="865"/>
      <c r="D917" s="865"/>
      <c r="E917" s="865"/>
      <c r="F917" s="865" t="s">
        <v>1327</v>
      </c>
      <c r="G917" s="865"/>
      <c r="H917" s="865"/>
      <c r="I917" s="865"/>
      <c r="J917" s="865" t="s">
        <v>129</v>
      </c>
      <c r="K917" s="865"/>
      <c r="L917" s="865"/>
      <c r="M917" s="865"/>
      <c r="N917" s="865"/>
      <c r="O917" s="865"/>
      <c r="P917" s="865"/>
    </row>
    <row r="918" spans="1:16" ht="163.15" customHeight="1" x14ac:dyDescent="0.25">
      <c r="A918" s="674" t="s">
        <v>223</v>
      </c>
      <c r="B918" s="781" t="s">
        <v>1248</v>
      </c>
      <c r="C918" s="782"/>
      <c r="D918" s="782"/>
      <c r="E918" s="782"/>
      <c r="F918" s="782" t="s">
        <v>1249</v>
      </c>
      <c r="G918" s="782"/>
      <c r="H918" s="782"/>
      <c r="I918" s="782"/>
      <c r="J918" s="782" t="s">
        <v>1250</v>
      </c>
      <c r="K918" s="782"/>
      <c r="L918" s="782"/>
      <c r="M918" s="866">
        <f>ROUND(21100 * 1 * 1.68 * 0.4 * 0.5 * 1.19286, 0)</f>
        <v>8457</v>
      </c>
      <c r="N918" s="782"/>
      <c r="O918" s="782" t="s">
        <v>129</v>
      </c>
      <c r="P918" s="782"/>
    </row>
    <row r="919" spans="1:16" x14ac:dyDescent="0.25">
      <c r="A919" s="676"/>
      <c r="B919" s="864" t="s">
        <v>306</v>
      </c>
      <c r="C919" s="864"/>
      <c r="D919" s="864"/>
      <c r="E919" s="864"/>
      <c r="F919" s="864" t="s">
        <v>129</v>
      </c>
      <c r="G919" s="864"/>
      <c r="H919" s="864"/>
      <c r="I919" s="864"/>
      <c r="J919" s="864" t="s">
        <v>129</v>
      </c>
      <c r="K919" s="864"/>
      <c r="L919" s="864"/>
      <c r="M919" s="864"/>
      <c r="N919" s="864"/>
      <c r="O919" s="864"/>
      <c r="P919" s="864"/>
    </row>
    <row r="920" spans="1:16" x14ac:dyDescent="0.25">
      <c r="A920" s="675"/>
      <c r="B920" s="865" t="s">
        <v>325</v>
      </c>
      <c r="C920" s="865"/>
      <c r="D920" s="865"/>
      <c r="E920" s="865"/>
      <c r="F920" s="865" t="s">
        <v>326</v>
      </c>
      <c r="G920" s="865"/>
      <c r="H920" s="865"/>
      <c r="I920" s="865"/>
      <c r="J920" s="865" t="s">
        <v>129</v>
      </c>
      <c r="K920" s="865"/>
      <c r="L920" s="865"/>
      <c r="M920" s="865"/>
      <c r="N920" s="865"/>
      <c r="O920" s="865"/>
      <c r="P920" s="865"/>
    </row>
    <row r="921" spans="1:16" ht="40.9" customHeight="1" x14ac:dyDescent="0.25">
      <c r="A921" s="675"/>
      <c r="B921" s="865" t="s">
        <v>331</v>
      </c>
      <c r="C921" s="865"/>
      <c r="D921" s="865"/>
      <c r="E921" s="865"/>
      <c r="F921" s="865" t="s">
        <v>332</v>
      </c>
      <c r="G921" s="865"/>
      <c r="H921" s="865"/>
      <c r="I921" s="865"/>
      <c r="J921" s="865" t="s">
        <v>129</v>
      </c>
      <c r="K921" s="865"/>
      <c r="L921" s="865"/>
      <c r="M921" s="865"/>
      <c r="N921" s="865"/>
      <c r="O921" s="865"/>
      <c r="P921" s="865"/>
    </row>
    <row r="922" spans="1:16" ht="95.25" customHeight="1" x14ac:dyDescent="0.25">
      <c r="A922" s="675"/>
      <c r="B922" s="865" t="s">
        <v>1251</v>
      </c>
      <c r="C922" s="865"/>
      <c r="D922" s="865"/>
      <c r="E922" s="865"/>
      <c r="F922" s="865" t="s">
        <v>1252</v>
      </c>
      <c r="G922" s="865"/>
      <c r="H922" s="865"/>
      <c r="I922" s="865"/>
      <c r="J922" s="865" t="s">
        <v>129</v>
      </c>
      <c r="K922" s="865"/>
      <c r="L922" s="865"/>
      <c r="M922" s="865"/>
      <c r="N922" s="865"/>
      <c r="O922" s="865"/>
      <c r="P922" s="865"/>
    </row>
    <row r="923" spans="1:16" ht="149.65" customHeight="1" x14ac:dyDescent="0.25">
      <c r="A923" s="675"/>
      <c r="B923" s="865" t="s">
        <v>329</v>
      </c>
      <c r="C923" s="865"/>
      <c r="D923" s="865"/>
      <c r="E923" s="865"/>
      <c r="F923" s="865" t="s">
        <v>1253</v>
      </c>
      <c r="G923" s="865"/>
      <c r="H923" s="865"/>
      <c r="I923" s="865"/>
      <c r="J923" s="865" t="s">
        <v>129</v>
      </c>
      <c r="K923" s="865"/>
      <c r="L923" s="865"/>
      <c r="M923" s="865"/>
      <c r="N923" s="865"/>
      <c r="O923" s="865"/>
      <c r="P923" s="865"/>
    </row>
    <row r="924" spans="1:16" x14ac:dyDescent="0.25">
      <c r="A924" s="676"/>
      <c r="B924" s="864" t="s">
        <v>330</v>
      </c>
      <c r="C924" s="864"/>
      <c r="D924" s="864"/>
      <c r="E924" s="864"/>
      <c r="F924" s="864" t="s">
        <v>129</v>
      </c>
      <c r="G924" s="864"/>
      <c r="H924" s="864"/>
      <c r="I924" s="864"/>
      <c r="J924" s="864" t="s">
        <v>129</v>
      </c>
      <c r="K924" s="864"/>
      <c r="L924" s="864"/>
      <c r="M924" s="864"/>
      <c r="N924" s="864"/>
      <c r="O924" s="864"/>
      <c r="P924" s="864"/>
    </row>
    <row r="925" spans="1:16" x14ac:dyDescent="0.25">
      <c r="A925" s="675"/>
      <c r="B925" s="865" t="s">
        <v>1028</v>
      </c>
      <c r="C925" s="865"/>
      <c r="D925" s="865"/>
      <c r="E925" s="865"/>
      <c r="F925" s="865" t="s">
        <v>1254</v>
      </c>
      <c r="G925" s="865"/>
      <c r="H925" s="865"/>
      <c r="I925" s="865"/>
      <c r="J925" s="865" t="s">
        <v>129</v>
      </c>
      <c r="K925" s="865"/>
      <c r="L925" s="865"/>
      <c r="M925" s="865"/>
      <c r="N925" s="865"/>
      <c r="O925" s="865"/>
      <c r="P925" s="865"/>
    </row>
    <row r="926" spans="1:16" ht="27.2" customHeight="1" x14ac:dyDescent="0.25">
      <c r="A926" s="675"/>
      <c r="B926" s="865" t="s">
        <v>1222</v>
      </c>
      <c r="C926" s="865"/>
      <c r="D926" s="865"/>
      <c r="E926" s="865"/>
      <c r="F926" s="865" t="s">
        <v>1255</v>
      </c>
      <c r="G926" s="865"/>
      <c r="H926" s="865"/>
      <c r="I926" s="865"/>
      <c r="J926" s="865" t="s">
        <v>129</v>
      </c>
      <c r="K926" s="865"/>
      <c r="L926" s="865"/>
      <c r="M926" s="865"/>
      <c r="N926" s="865"/>
      <c r="O926" s="865"/>
      <c r="P926" s="865"/>
    </row>
    <row r="927" spans="1:16" x14ac:dyDescent="0.25">
      <c r="A927" s="675"/>
      <c r="B927" s="865" t="s">
        <v>1224</v>
      </c>
      <c r="C927" s="865"/>
      <c r="D927" s="865"/>
      <c r="E927" s="865"/>
      <c r="F927" s="865" t="s">
        <v>1256</v>
      </c>
      <c r="G927" s="865"/>
      <c r="H927" s="865"/>
      <c r="I927" s="865"/>
      <c r="J927" s="865" t="s">
        <v>129</v>
      </c>
      <c r="K927" s="865"/>
      <c r="L927" s="865"/>
      <c r="M927" s="865"/>
      <c r="N927" s="865"/>
      <c r="O927" s="865"/>
      <c r="P927" s="865"/>
    </row>
    <row r="928" spans="1:16" ht="81.599999999999994" customHeight="1" x14ac:dyDescent="0.25">
      <c r="A928" s="675"/>
      <c r="B928" s="865" t="s">
        <v>1226</v>
      </c>
      <c r="C928" s="865"/>
      <c r="D928" s="865"/>
      <c r="E928" s="865"/>
      <c r="F928" s="865" t="s">
        <v>1257</v>
      </c>
      <c r="G928" s="865"/>
      <c r="H928" s="865"/>
      <c r="I928" s="865"/>
      <c r="J928" s="865" t="s">
        <v>129</v>
      </c>
      <c r="K928" s="865"/>
      <c r="L928" s="865"/>
      <c r="M928" s="865"/>
      <c r="N928" s="865"/>
      <c r="O928" s="865"/>
      <c r="P928" s="865"/>
    </row>
    <row r="929" spans="1:16" x14ac:dyDescent="0.25">
      <c r="A929" s="675"/>
      <c r="B929" s="865" t="s">
        <v>1228</v>
      </c>
      <c r="C929" s="865"/>
      <c r="D929" s="865"/>
      <c r="E929" s="865"/>
      <c r="F929" s="865" t="s">
        <v>1258</v>
      </c>
      <c r="G929" s="865"/>
      <c r="H929" s="865"/>
      <c r="I929" s="865"/>
      <c r="J929" s="865" t="s">
        <v>129</v>
      </c>
      <c r="K929" s="865"/>
      <c r="L929" s="865"/>
      <c r="M929" s="865"/>
      <c r="N929" s="865"/>
      <c r="O929" s="865"/>
      <c r="P929" s="865"/>
    </row>
    <row r="930" spans="1:16" ht="27.2" customHeight="1" x14ac:dyDescent="0.25">
      <c r="A930" s="675"/>
      <c r="B930" s="865" t="s">
        <v>1104</v>
      </c>
      <c r="C930" s="865"/>
      <c r="D930" s="865"/>
      <c r="E930" s="865"/>
      <c r="F930" s="865" t="s">
        <v>1259</v>
      </c>
      <c r="G930" s="865"/>
      <c r="H930" s="865"/>
      <c r="I930" s="865"/>
      <c r="J930" s="865" t="s">
        <v>129</v>
      </c>
      <c r="K930" s="865"/>
      <c r="L930" s="865"/>
      <c r="M930" s="865"/>
      <c r="N930" s="865"/>
      <c r="O930" s="865"/>
      <c r="P930" s="865"/>
    </row>
    <row r="931" spans="1:16" x14ac:dyDescent="0.25">
      <c r="A931" s="675"/>
      <c r="B931" s="865" t="s">
        <v>1192</v>
      </c>
      <c r="C931" s="865"/>
      <c r="D931" s="865"/>
      <c r="E931" s="865"/>
      <c r="F931" s="865" t="s">
        <v>1260</v>
      </c>
      <c r="G931" s="865"/>
      <c r="H931" s="865"/>
      <c r="I931" s="865"/>
      <c r="J931" s="865" t="s">
        <v>129</v>
      </c>
      <c r="K931" s="865"/>
      <c r="L931" s="865"/>
      <c r="M931" s="865"/>
      <c r="N931" s="865"/>
      <c r="O931" s="865"/>
      <c r="P931" s="865"/>
    </row>
    <row r="932" spans="1:16" ht="163.15" customHeight="1" x14ac:dyDescent="0.25">
      <c r="A932" s="674" t="s">
        <v>437</v>
      </c>
      <c r="B932" s="781" t="s">
        <v>1328</v>
      </c>
      <c r="C932" s="782"/>
      <c r="D932" s="782"/>
      <c r="E932" s="782"/>
      <c r="F932" s="782" t="s">
        <v>1329</v>
      </c>
      <c r="G932" s="782"/>
      <c r="H932" s="782"/>
      <c r="I932" s="782"/>
      <c r="J932" s="782" t="s">
        <v>2476</v>
      </c>
      <c r="K932" s="782"/>
      <c r="L932" s="782"/>
      <c r="M932" s="866">
        <f>ROUND((14000 + 2000 * (0.4 * 25 + 0.6 * (25 / 2))) * 1 * 0.1 * 1.53 * 0.4 * 0.7 * 1.3, 0)</f>
        <v>2729</v>
      </c>
      <c r="N932" s="782"/>
      <c r="O932" s="782" t="s">
        <v>1330</v>
      </c>
      <c r="P932" s="782"/>
    </row>
    <row r="933" spans="1:16" x14ac:dyDescent="0.25">
      <c r="A933" s="676"/>
      <c r="B933" s="864" t="s">
        <v>306</v>
      </c>
      <c r="C933" s="864"/>
      <c r="D933" s="864"/>
      <c r="E933" s="864"/>
      <c r="F933" s="864" t="s">
        <v>129</v>
      </c>
      <c r="G933" s="864"/>
      <c r="H933" s="864"/>
      <c r="I933" s="864"/>
      <c r="J933" s="864" t="s">
        <v>129</v>
      </c>
      <c r="K933" s="864"/>
      <c r="L933" s="864"/>
      <c r="M933" s="864"/>
      <c r="N933" s="864"/>
      <c r="O933" s="864"/>
      <c r="P933" s="864"/>
    </row>
    <row r="934" spans="1:16" x14ac:dyDescent="0.25">
      <c r="A934" s="675"/>
      <c r="B934" s="865" t="s">
        <v>325</v>
      </c>
      <c r="C934" s="865"/>
      <c r="D934" s="865"/>
      <c r="E934" s="865"/>
      <c r="F934" s="865" t="s">
        <v>326</v>
      </c>
      <c r="G934" s="865"/>
      <c r="H934" s="865"/>
      <c r="I934" s="865"/>
      <c r="J934" s="865" t="s">
        <v>129</v>
      </c>
      <c r="K934" s="865"/>
      <c r="L934" s="865"/>
      <c r="M934" s="865"/>
      <c r="N934" s="865"/>
      <c r="O934" s="865"/>
      <c r="P934" s="865"/>
    </row>
    <row r="935" spans="1:16" ht="40.9" customHeight="1" x14ac:dyDescent="0.25">
      <c r="A935" s="675"/>
      <c r="B935" s="865" t="s">
        <v>336</v>
      </c>
      <c r="C935" s="865"/>
      <c r="D935" s="865"/>
      <c r="E935" s="865"/>
      <c r="F935" s="865" t="s">
        <v>337</v>
      </c>
      <c r="G935" s="865"/>
      <c r="H935" s="865"/>
      <c r="I935" s="865"/>
      <c r="J935" s="865" t="s">
        <v>129</v>
      </c>
      <c r="K935" s="865"/>
      <c r="L935" s="865"/>
      <c r="M935" s="865"/>
      <c r="N935" s="865"/>
      <c r="O935" s="865"/>
      <c r="P935" s="865"/>
    </row>
    <row r="936" spans="1:16" ht="95.25" customHeight="1" x14ac:dyDescent="0.25">
      <c r="A936" s="675"/>
      <c r="B936" s="865" t="s">
        <v>333</v>
      </c>
      <c r="C936" s="865"/>
      <c r="D936" s="865"/>
      <c r="E936" s="865"/>
      <c r="F936" s="865" t="s">
        <v>1331</v>
      </c>
      <c r="G936" s="865"/>
      <c r="H936" s="865"/>
      <c r="I936" s="865"/>
      <c r="J936" s="865" t="s">
        <v>129</v>
      </c>
      <c r="K936" s="865"/>
      <c r="L936" s="865"/>
      <c r="M936" s="865"/>
      <c r="N936" s="865"/>
      <c r="O936" s="865"/>
      <c r="P936" s="865"/>
    </row>
    <row r="937" spans="1:16" ht="176.85" customHeight="1" x14ac:dyDescent="0.25">
      <c r="A937" s="675"/>
      <c r="B937" s="865" t="s">
        <v>2471</v>
      </c>
      <c r="C937" s="865"/>
      <c r="D937" s="865"/>
      <c r="E937" s="865"/>
      <c r="F937" s="865" t="s">
        <v>2470</v>
      </c>
      <c r="G937" s="865"/>
      <c r="H937" s="865"/>
      <c r="I937" s="865"/>
      <c r="J937" s="865" t="s">
        <v>129</v>
      </c>
      <c r="K937" s="865"/>
      <c r="L937" s="865"/>
      <c r="M937" s="865"/>
      <c r="N937" s="865"/>
      <c r="O937" s="865"/>
      <c r="P937" s="865"/>
    </row>
    <row r="938" spans="1:16" ht="149.65" customHeight="1" x14ac:dyDescent="0.25">
      <c r="A938" s="675"/>
      <c r="B938" s="865" t="s">
        <v>329</v>
      </c>
      <c r="C938" s="865"/>
      <c r="D938" s="865"/>
      <c r="E938" s="865"/>
      <c r="F938" s="865" t="s">
        <v>1951</v>
      </c>
      <c r="G938" s="865"/>
      <c r="H938" s="865"/>
      <c r="I938" s="865"/>
      <c r="J938" s="865" t="s">
        <v>129</v>
      </c>
      <c r="K938" s="865"/>
      <c r="L938" s="865"/>
      <c r="M938" s="865"/>
      <c r="N938" s="865"/>
      <c r="O938" s="865"/>
      <c r="P938" s="865"/>
    </row>
    <row r="939" spans="1:16" x14ac:dyDescent="0.25">
      <c r="A939" s="676"/>
      <c r="B939" s="864" t="s">
        <v>330</v>
      </c>
      <c r="C939" s="864"/>
      <c r="D939" s="864"/>
      <c r="E939" s="864"/>
      <c r="F939" s="864" t="s">
        <v>129</v>
      </c>
      <c r="G939" s="864"/>
      <c r="H939" s="864"/>
      <c r="I939" s="864"/>
      <c r="J939" s="864" t="s">
        <v>129</v>
      </c>
      <c r="K939" s="864"/>
      <c r="L939" s="864"/>
      <c r="M939" s="864"/>
      <c r="N939" s="864"/>
      <c r="O939" s="864"/>
      <c r="P939" s="864"/>
    </row>
    <row r="940" spans="1:16" x14ac:dyDescent="0.25">
      <c r="A940" s="675"/>
      <c r="B940" s="865" t="s">
        <v>1304</v>
      </c>
      <c r="C940" s="865"/>
      <c r="D940" s="865"/>
      <c r="E940" s="865"/>
      <c r="F940" s="865" t="s">
        <v>2475</v>
      </c>
      <c r="G940" s="865"/>
      <c r="H940" s="865"/>
      <c r="I940" s="865"/>
      <c r="J940" s="865" t="s">
        <v>129</v>
      </c>
      <c r="K940" s="865"/>
      <c r="L940" s="865"/>
      <c r="M940" s="865"/>
      <c r="N940" s="865"/>
      <c r="O940" s="865"/>
      <c r="P940" s="865"/>
    </row>
    <row r="941" spans="1:16" ht="149.65" customHeight="1" x14ac:dyDescent="0.25">
      <c r="A941" s="674" t="s">
        <v>753</v>
      </c>
      <c r="B941" s="781" t="s">
        <v>1332</v>
      </c>
      <c r="C941" s="782"/>
      <c r="D941" s="782"/>
      <c r="E941" s="782"/>
      <c r="F941" s="782" t="s">
        <v>1333</v>
      </c>
      <c r="G941" s="782"/>
      <c r="H941" s="782"/>
      <c r="I941" s="782"/>
      <c r="J941" s="782" t="s">
        <v>2474</v>
      </c>
      <c r="K941" s="782"/>
      <c r="L941" s="782"/>
      <c r="M941" s="866">
        <f>ROUND((11900 + 1283 * (0.4 * 20 + 0.6 * (20 / 2))) * 1 * 0.2 * 1.53 * 0.4 * 0.7 * 1.3, 0)</f>
        <v>3326</v>
      </c>
      <c r="N941" s="782"/>
      <c r="O941" s="782" t="s">
        <v>1010</v>
      </c>
      <c r="P941" s="782"/>
    </row>
    <row r="942" spans="1:16" x14ac:dyDescent="0.25">
      <c r="A942" s="676"/>
      <c r="B942" s="864" t="s">
        <v>306</v>
      </c>
      <c r="C942" s="864"/>
      <c r="D942" s="864"/>
      <c r="E942" s="864"/>
      <c r="F942" s="864" t="s">
        <v>129</v>
      </c>
      <c r="G942" s="864"/>
      <c r="H942" s="864"/>
      <c r="I942" s="864"/>
      <c r="J942" s="864" t="s">
        <v>129</v>
      </c>
      <c r="K942" s="864"/>
      <c r="L942" s="864"/>
      <c r="M942" s="864"/>
      <c r="N942" s="864"/>
      <c r="O942" s="864"/>
      <c r="P942" s="864"/>
    </row>
    <row r="943" spans="1:16" x14ac:dyDescent="0.25">
      <c r="A943" s="675"/>
      <c r="B943" s="865" t="s">
        <v>325</v>
      </c>
      <c r="C943" s="865"/>
      <c r="D943" s="865"/>
      <c r="E943" s="865"/>
      <c r="F943" s="865" t="s">
        <v>326</v>
      </c>
      <c r="G943" s="865"/>
      <c r="H943" s="865"/>
      <c r="I943" s="865"/>
      <c r="J943" s="865" t="s">
        <v>129</v>
      </c>
      <c r="K943" s="865"/>
      <c r="L943" s="865"/>
      <c r="M943" s="865"/>
      <c r="N943" s="865"/>
      <c r="O943" s="865"/>
      <c r="P943" s="865"/>
    </row>
    <row r="944" spans="1:16" ht="40.9" customHeight="1" x14ac:dyDescent="0.25">
      <c r="A944" s="675"/>
      <c r="B944" s="865" t="s">
        <v>336</v>
      </c>
      <c r="C944" s="865"/>
      <c r="D944" s="865"/>
      <c r="E944" s="865"/>
      <c r="F944" s="865" t="s">
        <v>337</v>
      </c>
      <c r="G944" s="865"/>
      <c r="H944" s="865"/>
      <c r="I944" s="865"/>
      <c r="J944" s="865" t="s">
        <v>129</v>
      </c>
      <c r="K944" s="865"/>
      <c r="L944" s="865"/>
      <c r="M944" s="865"/>
      <c r="N944" s="865"/>
      <c r="O944" s="865"/>
      <c r="P944" s="865"/>
    </row>
    <row r="945" spans="1:16" ht="95.25" customHeight="1" x14ac:dyDescent="0.25">
      <c r="A945" s="675"/>
      <c r="B945" s="865" t="s">
        <v>333</v>
      </c>
      <c r="C945" s="865"/>
      <c r="D945" s="865"/>
      <c r="E945" s="865"/>
      <c r="F945" s="865" t="s">
        <v>1153</v>
      </c>
      <c r="G945" s="865"/>
      <c r="H945" s="865"/>
      <c r="I945" s="865"/>
      <c r="J945" s="865" t="s">
        <v>129</v>
      </c>
      <c r="K945" s="865"/>
      <c r="L945" s="865"/>
      <c r="M945" s="865"/>
      <c r="N945" s="865"/>
      <c r="O945" s="865"/>
      <c r="P945" s="865"/>
    </row>
    <row r="946" spans="1:16" ht="176.85" customHeight="1" x14ac:dyDescent="0.25">
      <c r="A946" s="675"/>
      <c r="B946" s="865" t="s">
        <v>2471</v>
      </c>
      <c r="C946" s="865"/>
      <c r="D946" s="865"/>
      <c r="E946" s="865"/>
      <c r="F946" s="865" t="s">
        <v>2470</v>
      </c>
      <c r="G946" s="865"/>
      <c r="H946" s="865"/>
      <c r="I946" s="865"/>
      <c r="J946" s="865" t="s">
        <v>129</v>
      </c>
      <c r="K946" s="865"/>
      <c r="L946" s="865"/>
      <c r="M946" s="865"/>
      <c r="N946" s="865"/>
      <c r="O946" s="865"/>
      <c r="P946" s="865"/>
    </row>
    <row r="947" spans="1:16" ht="149.65" customHeight="1" x14ac:dyDescent="0.25">
      <c r="A947" s="675"/>
      <c r="B947" s="865" t="s">
        <v>329</v>
      </c>
      <c r="C947" s="865"/>
      <c r="D947" s="865"/>
      <c r="E947" s="865"/>
      <c r="F947" s="865" t="s">
        <v>1951</v>
      </c>
      <c r="G947" s="865"/>
      <c r="H947" s="865"/>
      <c r="I947" s="865"/>
      <c r="J947" s="865" t="s">
        <v>129</v>
      </c>
      <c r="K947" s="865"/>
      <c r="L947" s="865"/>
      <c r="M947" s="865"/>
      <c r="N947" s="865"/>
      <c r="O947" s="865"/>
      <c r="P947" s="865"/>
    </row>
    <row r="948" spans="1:16" x14ac:dyDescent="0.25">
      <c r="A948" s="676"/>
      <c r="B948" s="864" t="s">
        <v>330</v>
      </c>
      <c r="C948" s="864"/>
      <c r="D948" s="864"/>
      <c r="E948" s="864"/>
      <c r="F948" s="864" t="s">
        <v>129</v>
      </c>
      <c r="G948" s="864"/>
      <c r="H948" s="864"/>
      <c r="I948" s="864"/>
      <c r="J948" s="864" t="s">
        <v>129</v>
      </c>
      <c r="K948" s="864"/>
      <c r="L948" s="864"/>
      <c r="M948" s="864"/>
      <c r="N948" s="864"/>
      <c r="O948" s="864"/>
      <c r="P948" s="864"/>
    </row>
    <row r="949" spans="1:16" x14ac:dyDescent="0.25">
      <c r="A949" s="675"/>
      <c r="B949" s="865" t="s">
        <v>1304</v>
      </c>
      <c r="C949" s="865"/>
      <c r="D949" s="865"/>
      <c r="E949" s="865"/>
      <c r="F949" s="865" t="s">
        <v>2473</v>
      </c>
      <c r="G949" s="865"/>
      <c r="H949" s="865"/>
      <c r="I949" s="865"/>
      <c r="J949" s="865" t="s">
        <v>129</v>
      </c>
      <c r="K949" s="865"/>
      <c r="L949" s="865"/>
      <c r="M949" s="865"/>
      <c r="N949" s="865"/>
      <c r="O949" s="865"/>
      <c r="P949" s="865"/>
    </row>
    <row r="950" spans="1:16" ht="135.94999999999999" customHeight="1" x14ac:dyDescent="0.25">
      <c r="A950" s="674" t="s">
        <v>754</v>
      </c>
      <c r="B950" s="781" t="s">
        <v>1334</v>
      </c>
      <c r="C950" s="782"/>
      <c r="D950" s="782"/>
      <c r="E950" s="782"/>
      <c r="F950" s="782" t="s">
        <v>1335</v>
      </c>
      <c r="G950" s="782"/>
      <c r="H950" s="782"/>
      <c r="I950" s="782"/>
      <c r="J950" s="782" t="s">
        <v>2472</v>
      </c>
      <c r="K950" s="782"/>
      <c r="L950" s="782"/>
      <c r="M950" s="866">
        <f>ROUND(73000 * 1 * 1.53 * 0.4 * 0.7 * 1.3, 0)</f>
        <v>40655</v>
      </c>
      <c r="N950" s="782"/>
      <c r="O950" s="782" t="s">
        <v>1336</v>
      </c>
      <c r="P950" s="782"/>
    </row>
    <row r="951" spans="1:16" x14ac:dyDescent="0.25">
      <c r="A951" s="676"/>
      <c r="B951" s="864" t="s">
        <v>306</v>
      </c>
      <c r="C951" s="864"/>
      <c r="D951" s="864"/>
      <c r="E951" s="864"/>
      <c r="F951" s="864" t="s">
        <v>129</v>
      </c>
      <c r="G951" s="864"/>
      <c r="H951" s="864"/>
      <c r="I951" s="864"/>
      <c r="J951" s="864" t="s">
        <v>129</v>
      </c>
      <c r="K951" s="864"/>
      <c r="L951" s="864"/>
      <c r="M951" s="864"/>
      <c r="N951" s="864"/>
      <c r="O951" s="864"/>
      <c r="P951" s="864"/>
    </row>
    <row r="952" spans="1:16" x14ac:dyDescent="0.25">
      <c r="A952" s="675"/>
      <c r="B952" s="865" t="s">
        <v>325</v>
      </c>
      <c r="C952" s="865"/>
      <c r="D952" s="865"/>
      <c r="E952" s="865"/>
      <c r="F952" s="865" t="s">
        <v>326</v>
      </c>
      <c r="G952" s="865"/>
      <c r="H952" s="865"/>
      <c r="I952" s="865"/>
      <c r="J952" s="865" t="s">
        <v>129</v>
      </c>
      <c r="K952" s="865"/>
      <c r="L952" s="865"/>
      <c r="M952" s="865"/>
      <c r="N952" s="865"/>
      <c r="O952" s="865"/>
      <c r="P952" s="865"/>
    </row>
    <row r="953" spans="1:16" ht="40.9" customHeight="1" x14ac:dyDescent="0.25">
      <c r="A953" s="675"/>
      <c r="B953" s="865" t="s">
        <v>336</v>
      </c>
      <c r="C953" s="865"/>
      <c r="D953" s="865"/>
      <c r="E953" s="865"/>
      <c r="F953" s="865" t="s">
        <v>337</v>
      </c>
      <c r="G953" s="865"/>
      <c r="H953" s="865"/>
      <c r="I953" s="865"/>
      <c r="J953" s="865" t="s">
        <v>129</v>
      </c>
      <c r="K953" s="865"/>
      <c r="L953" s="865"/>
      <c r="M953" s="865"/>
      <c r="N953" s="865"/>
      <c r="O953" s="865"/>
      <c r="P953" s="865"/>
    </row>
    <row r="954" spans="1:16" ht="176.85" customHeight="1" x14ac:dyDescent="0.25">
      <c r="A954" s="675"/>
      <c r="B954" s="865" t="s">
        <v>2471</v>
      </c>
      <c r="C954" s="865"/>
      <c r="D954" s="865"/>
      <c r="E954" s="865"/>
      <c r="F954" s="865" t="s">
        <v>2470</v>
      </c>
      <c r="G954" s="865"/>
      <c r="H954" s="865"/>
      <c r="I954" s="865"/>
      <c r="J954" s="865" t="s">
        <v>129</v>
      </c>
      <c r="K954" s="865"/>
      <c r="L954" s="865"/>
      <c r="M954" s="865"/>
      <c r="N954" s="865"/>
      <c r="O954" s="865"/>
      <c r="P954" s="865"/>
    </row>
    <row r="955" spans="1:16" ht="149.65" customHeight="1" x14ac:dyDescent="0.25">
      <c r="A955" s="675"/>
      <c r="B955" s="865" t="s">
        <v>329</v>
      </c>
      <c r="C955" s="865"/>
      <c r="D955" s="865"/>
      <c r="E955" s="865"/>
      <c r="F955" s="865" t="s">
        <v>1951</v>
      </c>
      <c r="G955" s="865"/>
      <c r="H955" s="865"/>
      <c r="I955" s="865"/>
      <c r="J955" s="865" t="s">
        <v>129</v>
      </c>
      <c r="K955" s="865"/>
      <c r="L955" s="865"/>
      <c r="M955" s="865"/>
      <c r="N955" s="865"/>
      <c r="O955" s="865"/>
      <c r="P955" s="865"/>
    </row>
    <row r="956" spans="1:16" x14ac:dyDescent="0.25">
      <c r="A956" s="676"/>
      <c r="B956" s="864" t="s">
        <v>330</v>
      </c>
      <c r="C956" s="864"/>
      <c r="D956" s="864"/>
      <c r="E956" s="864"/>
      <c r="F956" s="864" t="s">
        <v>129</v>
      </c>
      <c r="G956" s="864"/>
      <c r="H956" s="864"/>
      <c r="I956" s="864"/>
      <c r="J956" s="864" t="s">
        <v>129</v>
      </c>
      <c r="K956" s="864"/>
      <c r="L956" s="864"/>
      <c r="M956" s="864"/>
      <c r="N956" s="864"/>
      <c r="O956" s="864"/>
      <c r="P956" s="864"/>
    </row>
    <row r="957" spans="1:16" x14ac:dyDescent="0.25">
      <c r="A957" s="675"/>
      <c r="B957" s="865" t="s">
        <v>1304</v>
      </c>
      <c r="C957" s="865"/>
      <c r="D957" s="865"/>
      <c r="E957" s="865"/>
      <c r="F957" s="865" t="s">
        <v>2469</v>
      </c>
      <c r="G957" s="865"/>
      <c r="H957" s="865"/>
      <c r="I957" s="865"/>
      <c r="J957" s="865" t="s">
        <v>129</v>
      </c>
      <c r="K957" s="865"/>
      <c r="L957" s="865"/>
      <c r="M957" s="865"/>
      <c r="N957" s="865"/>
      <c r="O957" s="865"/>
      <c r="P957" s="865"/>
    </row>
    <row r="958" spans="1:16" ht="135.94999999999999" customHeight="1" x14ac:dyDescent="0.25">
      <c r="A958" s="674" t="s">
        <v>755</v>
      </c>
      <c r="B958" s="781" t="s">
        <v>1337</v>
      </c>
      <c r="C958" s="782"/>
      <c r="D958" s="782"/>
      <c r="E958" s="782"/>
      <c r="F958" s="782" t="s">
        <v>1338</v>
      </c>
      <c r="G958" s="782"/>
      <c r="H958" s="782"/>
      <c r="I958" s="782"/>
      <c r="J958" s="782" t="s">
        <v>1339</v>
      </c>
      <c r="K958" s="782"/>
      <c r="L958" s="782"/>
      <c r="M958" s="866">
        <f>ROUND(2560 * 1 * 54.34 * 0.25 * 1.3, 0)</f>
        <v>45211</v>
      </c>
      <c r="N958" s="782"/>
      <c r="O958" s="782" t="s">
        <v>1340</v>
      </c>
      <c r="P958" s="782"/>
    </row>
    <row r="959" spans="1:16" x14ac:dyDescent="0.25">
      <c r="A959" s="676"/>
      <c r="B959" s="864" t="s">
        <v>306</v>
      </c>
      <c r="C959" s="864"/>
      <c r="D959" s="864"/>
      <c r="E959" s="864"/>
      <c r="F959" s="864" t="s">
        <v>129</v>
      </c>
      <c r="G959" s="864"/>
      <c r="H959" s="864"/>
      <c r="I959" s="864"/>
      <c r="J959" s="864" t="s">
        <v>129</v>
      </c>
      <c r="K959" s="864"/>
      <c r="L959" s="864"/>
      <c r="M959" s="864"/>
      <c r="N959" s="864"/>
      <c r="O959" s="864"/>
      <c r="P959" s="864"/>
    </row>
    <row r="960" spans="1:16" x14ac:dyDescent="0.25">
      <c r="A960" s="675"/>
      <c r="B960" s="865" t="s">
        <v>325</v>
      </c>
      <c r="C960" s="865"/>
      <c r="D960" s="865"/>
      <c r="E960" s="865"/>
      <c r="F960" s="865" t="s">
        <v>1341</v>
      </c>
      <c r="G960" s="865"/>
      <c r="H960" s="865"/>
      <c r="I960" s="865"/>
      <c r="J960" s="865" t="s">
        <v>129</v>
      </c>
      <c r="K960" s="865"/>
      <c r="L960" s="865"/>
      <c r="M960" s="865"/>
      <c r="N960" s="865"/>
      <c r="O960" s="865"/>
      <c r="P960" s="865"/>
    </row>
    <row r="961" spans="1:16" ht="40.9" customHeight="1" x14ac:dyDescent="0.25">
      <c r="A961" s="675"/>
      <c r="B961" s="865" t="s">
        <v>1342</v>
      </c>
      <c r="C961" s="865"/>
      <c r="D961" s="865"/>
      <c r="E961" s="865"/>
      <c r="F961" s="865" t="s">
        <v>1343</v>
      </c>
      <c r="G961" s="865"/>
      <c r="H961" s="865"/>
      <c r="I961" s="865"/>
      <c r="J961" s="865" t="s">
        <v>129</v>
      </c>
      <c r="K961" s="865"/>
      <c r="L961" s="865"/>
      <c r="M961" s="865"/>
      <c r="N961" s="865"/>
      <c r="O961" s="865"/>
      <c r="P961" s="865"/>
    </row>
    <row r="962" spans="1:16" ht="149.65" customHeight="1" x14ac:dyDescent="0.25">
      <c r="A962" s="675"/>
      <c r="B962" s="865" t="s">
        <v>329</v>
      </c>
      <c r="C962" s="865"/>
      <c r="D962" s="865"/>
      <c r="E962" s="865"/>
      <c r="F962" s="865" t="s">
        <v>1344</v>
      </c>
      <c r="G962" s="865"/>
      <c r="H962" s="865"/>
      <c r="I962" s="865"/>
      <c r="J962" s="865" t="s">
        <v>129</v>
      </c>
      <c r="K962" s="865"/>
      <c r="L962" s="865"/>
      <c r="M962" s="865"/>
      <c r="N962" s="865"/>
      <c r="O962" s="865"/>
      <c r="P962" s="865"/>
    </row>
    <row r="963" spans="1:16" x14ac:dyDescent="0.25">
      <c r="A963" s="676"/>
      <c r="B963" s="864" t="s">
        <v>330</v>
      </c>
      <c r="C963" s="864"/>
      <c r="D963" s="864"/>
      <c r="E963" s="864"/>
      <c r="F963" s="864" t="s">
        <v>129</v>
      </c>
      <c r="G963" s="864"/>
      <c r="H963" s="864"/>
      <c r="I963" s="864"/>
      <c r="J963" s="864" t="s">
        <v>129</v>
      </c>
      <c r="K963" s="864"/>
      <c r="L963" s="864"/>
      <c r="M963" s="864"/>
      <c r="N963" s="864"/>
      <c r="O963" s="864"/>
      <c r="P963" s="864"/>
    </row>
    <row r="964" spans="1:16" ht="40.9" customHeight="1" x14ac:dyDescent="0.25">
      <c r="A964" s="675"/>
      <c r="B964" s="865" t="s">
        <v>1345</v>
      </c>
      <c r="C964" s="865"/>
      <c r="D964" s="865"/>
      <c r="E964" s="865"/>
      <c r="F964" s="865" t="s">
        <v>1346</v>
      </c>
      <c r="G964" s="865"/>
      <c r="H964" s="865"/>
      <c r="I964" s="865"/>
      <c r="J964" s="865" t="s">
        <v>129</v>
      </c>
      <c r="K964" s="865"/>
      <c r="L964" s="865"/>
      <c r="M964" s="865"/>
      <c r="N964" s="865"/>
      <c r="O964" s="865"/>
      <c r="P964" s="865"/>
    </row>
    <row r="965" spans="1:16" x14ac:dyDescent="0.25">
      <c r="A965" s="675"/>
      <c r="B965" s="865" t="s">
        <v>1347</v>
      </c>
      <c r="C965" s="865"/>
      <c r="D965" s="865"/>
      <c r="E965" s="865"/>
      <c r="F965" s="865" t="s">
        <v>1348</v>
      </c>
      <c r="G965" s="865"/>
      <c r="H965" s="865"/>
      <c r="I965" s="865"/>
      <c r="J965" s="865" t="s">
        <v>129</v>
      </c>
      <c r="K965" s="865"/>
      <c r="L965" s="865"/>
      <c r="M965" s="865"/>
      <c r="N965" s="865"/>
      <c r="O965" s="865"/>
      <c r="P965" s="865"/>
    </row>
    <row r="966" spans="1:16" x14ac:dyDescent="0.25">
      <c r="A966" s="675"/>
      <c r="B966" s="865" t="s">
        <v>1349</v>
      </c>
      <c r="C966" s="865"/>
      <c r="D966" s="865"/>
      <c r="E966" s="865"/>
      <c r="F966" s="865" t="s">
        <v>1350</v>
      </c>
      <c r="G966" s="865"/>
      <c r="H966" s="865"/>
      <c r="I966" s="865"/>
      <c r="J966" s="865" t="s">
        <v>129</v>
      </c>
      <c r="K966" s="865"/>
      <c r="L966" s="865"/>
      <c r="M966" s="865"/>
      <c r="N966" s="865"/>
      <c r="O966" s="865"/>
      <c r="P966" s="865"/>
    </row>
    <row r="967" spans="1:16" x14ac:dyDescent="0.25">
      <c r="A967" s="675"/>
      <c r="B967" s="865" t="s">
        <v>1351</v>
      </c>
      <c r="C967" s="865"/>
      <c r="D967" s="865"/>
      <c r="E967" s="865"/>
      <c r="F967" s="865" t="s">
        <v>1352</v>
      </c>
      <c r="G967" s="865"/>
      <c r="H967" s="865"/>
      <c r="I967" s="865"/>
      <c r="J967" s="865" t="s">
        <v>129</v>
      </c>
      <c r="K967" s="865"/>
      <c r="L967" s="865"/>
      <c r="M967" s="865"/>
      <c r="N967" s="865"/>
      <c r="O967" s="865"/>
      <c r="P967" s="865"/>
    </row>
    <row r="968" spans="1:16" ht="135.94999999999999" customHeight="1" x14ac:dyDescent="0.25">
      <c r="A968" s="674" t="s">
        <v>756</v>
      </c>
      <c r="B968" s="781" t="s">
        <v>1353</v>
      </c>
      <c r="C968" s="782"/>
      <c r="D968" s="782"/>
      <c r="E968" s="782"/>
      <c r="F968" s="782" t="s">
        <v>1354</v>
      </c>
      <c r="G968" s="782"/>
      <c r="H968" s="782"/>
      <c r="I968" s="782"/>
      <c r="J968" s="782" t="s">
        <v>2124</v>
      </c>
      <c r="K968" s="782"/>
      <c r="L968" s="782"/>
      <c r="M968" s="866">
        <f>ROUND((32300 + 428 * 300) * 1 * 1.68 * 0.4 * 0.9 * 1.24947, 0)</f>
        <v>121438</v>
      </c>
      <c r="N968" s="782"/>
      <c r="O968" s="782" t="s">
        <v>2123</v>
      </c>
      <c r="P968" s="782"/>
    </row>
    <row r="969" spans="1:16" x14ac:dyDescent="0.25">
      <c r="A969" s="676"/>
      <c r="B969" s="864" t="s">
        <v>306</v>
      </c>
      <c r="C969" s="864"/>
      <c r="D969" s="864"/>
      <c r="E969" s="864"/>
      <c r="F969" s="864" t="s">
        <v>129</v>
      </c>
      <c r="G969" s="864"/>
      <c r="H969" s="864"/>
      <c r="I969" s="864"/>
      <c r="J969" s="864" t="s">
        <v>129</v>
      </c>
      <c r="K969" s="864"/>
      <c r="L969" s="864"/>
      <c r="M969" s="864"/>
      <c r="N969" s="864"/>
      <c r="O969" s="864"/>
      <c r="P969" s="864"/>
    </row>
    <row r="970" spans="1:16" x14ac:dyDescent="0.25">
      <c r="A970" s="675"/>
      <c r="B970" s="865" t="s">
        <v>325</v>
      </c>
      <c r="C970" s="865"/>
      <c r="D970" s="865"/>
      <c r="E970" s="865"/>
      <c r="F970" s="865" t="s">
        <v>326</v>
      </c>
      <c r="G970" s="865"/>
      <c r="H970" s="865"/>
      <c r="I970" s="865"/>
      <c r="J970" s="865" t="s">
        <v>129</v>
      </c>
      <c r="K970" s="865"/>
      <c r="L970" s="865"/>
      <c r="M970" s="865"/>
      <c r="N970" s="865"/>
      <c r="O970" s="865"/>
      <c r="P970" s="865"/>
    </row>
    <row r="971" spans="1:16" ht="40.9" customHeight="1" x14ac:dyDescent="0.25">
      <c r="A971" s="675"/>
      <c r="B971" s="865" t="s">
        <v>331</v>
      </c>
      <c r="C971" s="865"/>
      <c r="D971" s="865"/>
      <c r="E971" s="865"/>
      <c r="F971" s="865" t="s">
        <v>332</v>
      </c>
      <c r="G971" s="865"/>
      <c r="H971" s="865"/>
      <c r="I971" s="865"/>
      <c r="J971" s="865" t="s">
        <v>129</v>
      </c>
      <c r="K971" s="865"/>
      <c r="L971" s="865"/>
      <c r="M971" s="865"/>
      <c r="N971" s="865"/>
      <c r="O971" s="865"/>
      <c r="P971" s="865"/>
    </row>
    <row r="972" spans="1:16" ht="108.75" customHeight="1" x14ac:dyDescent="0.25">
      <c r="A972" s="675"/>
      <c r="B972" s="865" t="s">
        <v>1809</v>
      </c>
      <c r="C972" s="865"/>
      <c r="D972" s="865"/>
      <c r="E972" s="865"/>
      <c r="F972" s="865" t="s">
        <v>1810</v>
      </c>
      <c r="G972" s="865"/>
      <c r="H972" s="865"/>
      <c r="I972" s="865"/>
      <c r="J972" s="865" t="s">
        <v>129</v>
      </c>
      <c r="K972" s="865"/>
      <c r="L972" s="865"/>
      <c r="M972" s="865"/>
      <c r="N972" s="865"/>
      <c r="O972" s="865"/>
      <c r="P972" s="865"/>
    </row>
    <row r="973" spans="1:16" ht="149.65" customHeight="1" x14ac:dyDescent="0.25">
      <c r="A973" s="675"/>
      <c r="B973" s="865" t="s">
        <v>329</v>
      </c>
      <c r="C973" s="865"/>
      <c r="D973" s="865"/>
      <c r="E973" s="865"/>
      <c r="F973" s="865" t="s">
        <v>340</v>
      </c>
      <c r="G973" s="865"/>
      <c r="H973" s="865"/>
      <c r="I973" s="865"/>
      <c r="J973" s="865" t="s">
        <v>129</v>
      </c>
      <c r="K973" s="865"/>
      <c r="L973" s="865"/>
      <c r="M973" s="865"/>
      <c r="N973" s="865"/>
      <c r="O973" s="865"/>
      <c r="P973" s="865"/>
    </row>
    <row r="974" spans="1:16" x14ac:dyDescent="0.25">
      <c r="A974" s="676"/>
      <c r="B974" s="864" t="s">
        <v>330</v>
      </c>
      <c r="C974" s="864"/>
      <c r="D974" s="864"/>
      <c r="E974" s="864"/>
      <c r="F974" s="864" t="s">
        <v>129</v>
      </c>
      <c r="G974" s="864"/>
      <c r="H974" s="864"/>
      <c r="I974" s="864"/>
      <c r="J974" s="864" t="s">
        <v>129</v>
      </c>
      <c r="K974" s="864"/>
      <c r="L974" s="864"/>
      <c r="M974" s="864"/>
      <c r="N974" s="864"/>
      <c r="O974" s="864"/>
      <c r="P974" s="864"/>
    </row>
    <row r="975" spans="1:16" x14ac:dyDescent="0.25">
      <c r="A975" s="675"/>
      <c r="B975" s="865" t="s">
        <v>1028</v>
      </c>
      <c r="C975" s="865"/>
      <c r="D975" s="865"/>
      <c r="E975" s="865"/>
      <c r="F975" s="865" t="s">
        <v>2122</v>
      </c>
      <c r="G975" s="865"/>
      <c r="H975" s="865"/>
      <c r="I975" s="865"/>
      <c r="J975" s="865" t="s">
        <v>129</v>
      </c>
      <c r="K975" s="865"/>
      <c r="L975" s="865"/>
      <c r="M975" s="865"/>
      <c r="N975" s="865"/>
      <c r="O975" s="865"/>
      <c r="P975" s="865"/>
    </row>
    <row r="976" spans="1:16" x14ac:dyDescent="0.25">
      <c r="A976" s="675"/>
      <c r="B976" s="865" t="s">
        <v>1156</v>
      </c>
      <c r="C976" s="865"/>
      <c r="D976" s="865"/>
      <c r="E976" s="865"/>
      <c r="F976" s="865" t="s">
        <v>2121</v>
      </c>
      <c r="G976" s="865"/>
      <c r="H976" s="865"/>
      <c r="I976" s="865"/>
      <c r="J976" s="865" t="s">
        <v>129</v>
      </c>
      <c r="K976" s="865"/>
      <c r="L976" s="865"/>
      <c r="M976" s="865"/>
      <c r="N976" s="865"/>
      <c r="O976" s="865"/>
      <c r="P976" s="865"/>
    </row>
    <row r="977" spans="1:16" ht="54.4" customHeight="1" x14ac:dyDescent="0.25">
      <c r="A977" s="675"/>
      <c r="B977" s="865" t="s">
        <v>1169</v>
      </c>
      <c r="C977" s="865"/>
      <c r="D977" s="865"/>
      <c r="E977" s="865"/>
      <c r="F977" s="865" t="s">
        <v>2120</v>
      </c>
      <c r="G977" s="865"/>
      <c r="H977" s="865"/>
      <c r="I977" s="865"/>
      <c r="J977" s="865" t="s">
        <v>129</v>
      </c>
      <c r="K977" s="865"/>
      <c r="L977" s="865"/>
      <c r="M977" s="865"/>
      <c r="N977" s="865"/>
      <c r="O977" s="865"/>
      <c r="P977" s="865"/>
    </row>
    <row r="978" spans="1:16" ht="27.2" customHeight="1" x14ac:dyDescent="0.25">
      <c r="A978" s="675"/>
      <c r="B978" s="865" t="s">
        <v>1160</v>
      </c>
      <c r="C978" s="865"/>
      <c r="D978" s="865"/>
      <c r="E978" s="865"/>
      <c r="F978" s="865" t="s">
        <v>2119</v>
      </c>
      <c r="G978" s="865"/>
      <c r="H978" s="865"/>
      <c r="I978" s="865"/>
      <c r="J978" s="865" t="s">
        <v>129</v>
      </c>
      <c r="K978" s="865"/>
      <c r="L978" s="865"/>
      <c r="M978" s="865"/>
      <c r="N978" s="865"/>
      <c r="O978" s="865"/>
      <c r="P978" s="865"/>
    </row>
    <row r="979" spans="1:16" ht="27.2" customHeight="1" x14ac:dyDescent="0.25">
      <c r="A979" s="675"/>
      <c r="B979" s="865" t="s">
        <v>1162</v>
      </c>
      <c r="C979" s="865"/>
      <c r="D979" s="865"/>
      <c r="E979" s="865"/>
      <c r="F979" s="865" t="s">
        <v>2118</v>
      </c>
      <c r="G979" s="865"/>
      <c r="H979" s="865"/>
      <c r="I979" s="865"/>
      <c r="J979" s="865" t="s">
        <v>129</v>
      </c>
      <c r="K979" s="865"/>
      <c r="L979" s="865"/>
      <c r="M979" s="865"/>
      <c r="N979" s="865"/>
      <c r="O979" s="865"/>
      <c r="P979" s="865"/>
    </row>
    <row r="980" spans="1:16" ht="27.2" customHeight="1" x14ac:dyDescent="0.25">
      <c r="A980" s="675"/>
      <c r="B980" s="865" t="s">
        <v>1164</v>
      </c>
      <c r="C980" s="865"/>
      <c r="D980" s="865"/>
      <c r="E980" s="865"/>
      <c r="F980" s="865" t="s">
        <v>2117</v>
      </c>
      <c r="G980" s="865"/>
      <c r="H980" s="865"/>
      <c r="I980" s="865"/>
      <c r="J980" s="865" t="s">
        <v>129</v>
      </c>
      <c r="K980" s="865"/>
      <c r="L980" s="865"/>
      <c r="M980" s="865"/>
      <c r="N980" s="865"/>
      <c r="O980" s="865"/>
      <c r="P980" s="865"/>
    </row>
    <row r="981" spans="1:16" x14ac:dyDescent="0.25">
      <c r="A981" s="675"/>
      <c r="B981" s="865" t="s">
        <v>1170</v>
      </c>
      <c r="C981" s="865"/>
      <c r="D981" s="865"/>
      <c r="E981" s="865"/>
      <c r="F981" s="865" t="s">
        <v>2116</v>
      </c>
      <c r="G981" s="865"/>
      <c r="H981" s="865"/>
      <c r="I981" s="865"/>
      <c r="J981" s="865" t="s">
        <v>129</v>
      </c>
      <c r="K981" s="865"/>
      <c r="L981" s="865"/>
      <c r="M981" s="865"/>
      <c r="N981" s="865"/>
      <c r="O981" s="865"/>
      <c r="P981" s="865"/>
    </row>
    <row r="982" spans="1:16" ht="54.4" customHeight="1" x14ac:dyDescent="0.25">
      <c r="A982" s="673" t="s">
        <v>757</v>
      </c>
      <c r="B982" s="780" t="s">
        <v>1355</v>
      </c>
      <c r="C982" s="780"/>
      <c r="D982" s="780"/>
      <c r="E982" s="780"/>
      <c r="F982" s="780"/>
      <c r="G982" s="780"/>
      <c r="H982" s="780"/>
      <c r="I982" s="780"/>
      <c r="J982" s="780" t="s">
        <v>129</v>
      </c>
      <c r="K982" s="780"/>
      <c r="L982" s="780"/>
      <c r="M982" s="791">
        <f>ROUND(SUM($M$412:$M$968),0)</f>
        <v>9222658</v>
      </c>
      <c r="N982" s="780"/>
      <c r="O982" s="780"/>
      <c r="P982" s="780"/>
    </row>
    <row r="983" spans="1:16" ht="54.4" customHeight="1" x14ac:dyDescent="0.25">
      <c r="A983" s="673" t="s">
        <v>2115</v>
      </c>
      <c r="B983" s="780" t="s">
        <v>1356</v>
      </c>
      <c r="C983" s="780"/>
      <c r="D983" s="780"/>
      <c r="E983" s="780"/>
      <c r="F983" s="780"/>
      <c r="G983" s="780"/>
      <c r="H983" s="780"/>
      <c r="I983" s="780"/>
      <c r="J983" s="780" t="s">
        <v>129</v>
      </c>
      <c r="K983" s="780"/>
      <c r="L983" s="780"/>
      <c r="M983" s="791">
        <f>ROUND(($M$982),0)</f>
        <v>9222658</v>
      </c>
      <c r="N983" s="780"/>
      <c r="O983" s="780"/>
      <c r="P983" s="780"/>
    </row>
    <row r="984" spans="1:16" ht="54.4" customHeight="1" x14ac:dyDescent="0.25">
      <c r="A984" s="673" t="s">
        <v>138</v>
      </c>
      <c r="B984" s="780" t="s">
        <v>339</v>
      </c>
      <c r="C984" s="780"/>
      <c r="D984" s="780"/>
      <c r="E984" s="780"/>
      <c r="F984" s="780" t="s">
        <v>974</v>
      </c>
      <c r="G984" s="780"/>
      <c r="H984" s="780"/>
      <c r="I984" s="780"/>
      <c r="J984" s="780"/>
      <c r="K984" s="780"/>
      <c r="L984" s="780"/>
      <c r="M984" s="780"/>
      <c r="N984" s="780"/>
      <c r="O984" s="780"/>
      <c r="P984" s="780"/>
    </row>
    <row r="985" spans="1:16" ht="163.15" customHeight="1" x14ac:dyDescent="0.25">
      <c r="A985" s="674" t="s">
        <v>17</v>
      </c>
      <c r="B985" s="781" t="s">
        <v>1357</v>
      </c>
      <c r="C985" s="782"/>
      <c r="D985" s="782"/>
      <c r="E985" s="782"/>
      <c r="F985" s="782" t="s">
        <v>1358</v>
      </c>
      <c r="G985" s="782"/>
      <c r="H985" s="782"/>
      <c r="I985" s="782"/>
      <c r="J985" s="782" t="s">
        <v>1359</v>
      </c>
      <c r="K985" s="782"/>
      <c r="L985" s="782"/>
      <c r="M985" s="866">
        <f>ROUND((165500 + 378 * 1400) * 1 * 1.27 * 0.4 * 1.23621, 0)</f>
        <v>436268</v>
      </c>
      <c r="N985" s="782"/>
      <c r="O985" s="782" t="s">
        <v>1938</v>
      </c>
      <c r="P985" s="782"/>
    </row>
    <row r="986" spans="1:16" x14ac:dyDescent="0.25">
      <c r="A986" s="676"/>
      <c r="B986" s="864" t="s">
        <v>306</v>
      </c>
      <c r="C986" s="864"/>
      <c r="D986" s="864"/>
      <c r="E986" s="864"/>
      <c r="F986" s="864" t="s">
        <v>129</v>
      </c>
      <c r="G986" s="864"/>
      <c r="H986" s="864"/>
      <c r="I986" s="864"/>
      <c r="J986" s="864" t="s">
        <v>129</v>
      </c>
      <c r="K986" s="864"/>
      <c r="L986" s="864"/>
      <c r="M986" s="864"/>
      <c r="N986" s="864"/>
      <c r="O986" s="864"/>
      <c r="P986" s="864"/>
    </row>
    <row r="987" spans="1:16" x14ac:dyDescent="0.25">
      <c r="A987" s="675"/>
      <c r="B987" s="865" t="s">
        <v>325</v>
      </c>
      <c r="C987" s="865"/>
      <c r="D987" s="865"/>
      <c r="E987" s="865"/>
      <c r="F987" s="865" t="s">
        <v>326</v>
      </c>
      <c r="G987" s="865"/>
      <c r="H987" s="865"/>
      <c r="I987" s="865"/>
      <c r="J987" s="865" t="s">
        <v>129</v>
      </c>
      <c r="K987" s="865"/>
      <c r="L987" s="865"/>
      <c r="M987" s="865"/>
      <c r="N987" s="865"/>
      <c r="O987" s="865"/>
      <c r="P987" s="865"/>
    </row>
    <row r="988" spans="1:16" ht="40.9" customHeight="1" x14ac:dyDescent="0.25">
      <c r="A988" s="675"/>
      <c r="B988" s="865" t="s">
        <v>327</v>
      </c>
      <c r="C988" s="865"/>
      <c r="D988" s="865"/>
      <c r="E988" s="865"/>
      <c r="F988" s="865" t="s">
        <v>328</v>
      </c>
      <c r="G988" s="865"/>
      <c r="H988" s="865"/>
      <c r="I988" s="865"/>
      <c r="J988" s="865" t="s">
        <v>129</v>
      </c>
      <c r="K988" s="865"/>
      <c r="L988" s="865"/>
      <c r="M988" s="865"/>
      <c r="N988" s="865"/>
      <c r="O988" s="865"/>
      <c r="P988" s="865"/>
    </row>
    <row r="989" spans="1:16" ht="149.65" customHeight="1" x14ac:dyDescent="0.25">
      <c r="A989" s="675"/>
      <c r="B989" s="865" t="s">
        <v>329</v>
      </c>
      <c r="C989" s="865"/>
      <c r="D989" s="865"/>
      <c r="E989" s="865"/>
      <c r="F989" s="865" t="s">
        <v>1154</v>
      </c>
      <c r="G989" s="865"/>
      <c r="H989" s="865"/>
      <c r="I989" s="865"/>
      <c r="J989" s="865" t="s">
        <v>129</v>
      </c>
      <c r="K989" s="865"/>
      <c r="L989" s="865"/>
      <c r="M989" s="865"/>
      <c r="N989" s="865"/>
      <c r="O989" s="865"/>
      <c r="P989" s="865"/>
    </row>
    <row r="990" spans="1:16" x14ac:dyDescent="0.25">
      <c r="A990" s="676"/>
      <c r="B990" s="864" t="s">
        <v>330</v>
      </c>
      <c r="C990" s="864"/>
      <c r="D990" s="864"/>
      <c r="E990" s="864"/>
      <c r="F990" s="864" t="s">
        <v>129</v>
      </c>
      <c r="G990" s="864"/>
      <c r="H990" s="864"/>
      <c r="I990" s="864"/>
      <c r="J990" s="864" t="s">
        <v>129</v>
      </c>
      <c r="K990" s="864"/>
      <c r="L990" s="864"/>
      <c r="M990" s="864"/>
      <c r="N990" s="864"/>
      <c r="O990" s="864"/>
      <c r="P990" s="864"/>
    </row>
    <row r="991" spans="1:16" x14ac:dyDescent="0.25">
      <c r="A991" s="675"/>
      <c r="B991" s="865" t="s">
        <v>1028</v>
      </c>
      <c r="C991" s="865"/>
      <c r="D991" s="865"/>
      <c r="E991" s="865"/>
      <c r="F991" s="865" t="s">
        <v>1360</v>
      </c>
      <c r="G991" s="865"/>
      <c r="H991" s="865"/>
      <c r="I991" s="865"/>
      <c r="J991" s="865" t="s">
        <v>129</v>
      </c>
      <c r="K991" s="865"/>
      <c r="L991" s="865"/>
      <c r="M991" s="865"/>
      <c r="N991" s="865"/>
      <c r="O991" s="865"/>
      <c r="P991" s="865"/>
    </row>
    <row r="992" spans="1:16" x14ac:dyDescent="0.25">
      <c r="A992" s="675"/>
      <c r="B992" s="865" t="s">
        <v>1156</v>
      </c>
      <c r="C992" s="865"/>
      <c r="D992" s="865"/>
      <c r="E992" s="865"/>
      <c r="F992" s="865" t="s">
        <v>1361</v>
      </c>
      <c r="G992" s="865"/>
      <c r="H992" s="865"/>
      <c r="I992" s="865"/>
      <c r="J992" s="865" t="s">
        <v>129</v>
      </c>
      <c r="K992" s="865"/>
      <c r="L992" s="865"/>
      <c r="M992" s="865"/>
      <c r="N992" s="865"/>
      <c r="O992" s="865"/>
      <c r="P992" s="865"/>
    </row>
    <row r="993" spans="1:16" ht="54.4" customHeight="1" x14ac:dyDescent="0.25">
      <c r="A993" s="675"/>
      <c r="B993" s="865" t="s">
        <v>1169</v>
      </c>
      <c r="C993" s="865"/>
      <c r="D993" s="865"/>
      <c r="E993" s="865"/>
      <c r="F993" s="865" t="s">
        <v>1362</v>
      </c>
      <c r="G993" s="865"/>
      <c r="H993" s="865"/>
      <c r="I993" s="865"/>
      <c r="J993" s="865" t="s">
        <v>129</v>
      </c>
      <c r="K993" s="865"/>
      <c r="L993" s="865"/>
      <c r="M993" s="865"/>
      <c r="N993" s="865"/>
      <c r="O993" s="865"/>
      <c r="P993" s="865"/>
    </row>
    <row r="994" spans="1:16" ht="27.2" customHeight="1" x14ac:dyDescent="0.25">
      <c r="A994" s="675"/>
      <c r="B994" s="865" t="s">
        <v>1160</v>
      </c>
      <c r="C994" s="865"/>
      <c r="D994" s="865"/>
      <c r="E994" s="865"/>
      <c r="F994" s="865" t="s">
        <v>1363</v>
      </c>
      <c r="G994" s="865"/>
      <c r="H994" s="865"/>
      <c r="I994" s="865"/>
      <c r="J994" s="865" t="s">
        <v>129</v>
      </c>
      <c r="K994" s="865"/>
      <c r="L994" s="865"/>
      <c r="M994" s="865"/>
      <c r="N994" s="865"/>
      <c r="O994" s="865"/>
      <c r="P994" s="865"/>
    </row>
    <row r="995" spans="1:16" ht="27.2" customHeight="1" x14ac:dyDescent="0.25">
      <c r="A995" s="675"/>
      <c r="B995" s="865" t="s">
        <v>1162</v>
      </c>
      <c r="C995" s="865"/>
      <c r="D995" s="865"/>
      <c r="E995" s="865"/>
      <c r="F995" s="865" t="s">
        <v>1364</v>
      </c>
      <c r="G995" s="865"/>
      <c r="H995" s="865"/>
      <c r="I995" s="865"/>
      <c r="J995" s="865" t="s">
        <v>129</v>
      </c>
      <c r="K995" s="865"/>
      <c r="L995" s="865"/>
      <c r="M995" s="865"/>
      <c r="N995" s="865"/>
      <c r="O995" s="865"/>
      <c r="P995" s="865"/>
    </row>
    <row r="996" spans="1:16" ht="27.2" customHeight="1" x14ac:dyDescent="0.25">
      <c r="A996" s="675"/>
      <c r="B996" s="865" t="s">
        <v>1164</v>
      </c>
      <c r="C996" s="865"/>
      <c r="D996" s="865"/>
      <c r="E996" s="865"/>
      <c r="F996" s="865" t="s">
        <v>1365</v>
      </c>
      <c r="G996" s="865"/>
      <c r="H996" s="865"/>
      <c r="I996" s="865"/>
      <c r="J996" s="865" t="s">
        <v>129</v>
      </c>
      <c r="K996" s="865"/>
      <c r="L996" s="865"/>
      <c r="M996" s="865"/>
      <c r="N996" s="865"/>
      <c r="O996" s="865"/>
      <c r="P996" s="865"/>
    </row>
    <row r="997" spans="1:16" x14ac:dyDescent="0.25">
      <c r="A997" s="675"/>
      <c r="B997" s="865" t="s">
        <v>1170</v>
      </c>
      <c r="C997" s="865"/>
      <c r="D997" s="865"/>
      <c r="E997" s="865"/>
      <c r="F997" s="865" t="s">
        <v>1366</v>
      </c>
      <c r="G997" s="865"/>
      <c r="H997" s="865"/>
      <c r="I997" s="865"/>
      <c r="J997" s="865" t="s">
        <v>129</v>
      </c>
      <c r="K997" s="865"/>
      <c r="L997" s="865"/>
      <c r="M997" s="865"/>
      <c r="N997" s="865"/>
      <c r="O997" s="865"/>
      <c r="P997" s="865"/>
    </row>
    <row r="998" spans="1:16" ht="163.15" customHeight="1" x14ac:dyDescent="0.25">
      <c r="A998" s="674" t="s">
        <v>93</v>
      </c>
      <c r="B998" s="781" t="s">
        <v>1367</v>
      </c>
      <c r="C998" s="782"/>
      <c r="D998" s="782"/>
      <c r="E998" s="782"/>
      <c r="F998" s="782" t="s">
        <v>1368</v>
      </c>
      <c r="G998" s="782"/>
      <c r="H998" s="782"/>
      <c r="I998" s="782"/>
      <c r="J998" s="782" t="s">
        <v>2468</v>
      </c>
      <c r="K998" s="782"/>
      <c r="L998" s="782"/>
      <c r="M998" s="866">
        <f>ROUND((93300 + 172 * 5600) * 1 * 1.68 * 0.4 * 0.9 * 3.4 * 1.24947, 0)</f>
        <v>2714476</v>
      </c>
      <c r="N998" s="782"/>
      <c r="O998" s="782" t="s">
        <v>2114</v>
      </c>
      <c r="P998" s="782"/>
    </row>
    <row r="999" spans="1:16" x14ac:dyDescent="0.25">
      <c r="A999" s="676"/>
      <c r="B999" s="864" t="s">
        <v>306</v>
      </c>
      <c r="C999" s="864"/>
      <c r="D999" s="864"/>
      <c r="E999" s="864"/>
      <c r="F999" s="864" t="s">
        <v>129</v>
      </c>
      <c r="G999" s="864"/>
      <c r="H999" s="864"/>
      <c r="I999" s="864"/>
      <c r="J999" s="864" t="s">
        <v>129</v>
      </c>
      <c r="K999" s="864"/>
      <c r="L999" s="864"/>
      <c r="M999" s="864"/>
      <c r="N999" s="864"/>
      <c r="O999" s="864"/>
      <c r="P999" s="864"/>
    </row>
    <row r="1000" spans="1:16" x14ac:dyDescent="0.25">
      <c r="A1000" s="675"/>
      <c r="B1000" s="865" t="s">
        <v>325</v>
      </c>
      <c r="C1000" s="865"/>
      <c r="D1000" s="865"/>
      <c r="E1000" s="865"/>
      <c r="F1000" s="865" t="s">
        <v>326</v>
      </c>
      <c r="G1000" s="865"/>
      <c r="H1000" s="865"/>
      <c r="I1000" s="865"/>
      <c r="J1000" s="865" t="s">
        <v>129</v>
      </c>
      <c r="K1000" s="865"/>
      <c r="L1000" s="865"/>
      <c r="M1000" s="865"/>
      <c r="N1000" s="865"/>
      <c r="O1000" s="865"/>
      <c r="P1000" s="865"/>
    </row>
    <row r="1001" spans="1:16" ht="40.9" customHeight="1" x14ac:dyDescent="0.25">
      <c r="A1001" s="675"/>
      <c r="B1001" s="865" t="s">
        <v>331</v>
      </c>
      <c r="C1001" s="865"/>
      <c r="D1001" s="865"/>
      <c r="E1001" s="865"/>
      <c r="F1001" s="865" t="s">
        <v>332</v>
      </c>
      <c r="G1001" s="865"/>
      <c r="H1001" s="865"/>
      <c r="I1001" s="865"/>
      <c r="J1001" s="865" t="s">
        <v>129</v>
      </c>
      <c r="K1001" s="865"/>
      <c r="L1001" s="865"/>
      <c r="M1001" s="865"/>
      <c r="N1001" s="865"/>
      <c r="O1001" s="865"/>
      <c r="P1001" s="865"/>
    </row>
    <row r="1002" spans="1:16" ht="108.75" customHeight="1" x14ac:dyDescent="0.25">
      <c r="A1002" s="675"/>
      <c r="B1002" s="865" t="s">
        <v>1809</v>
      </c>
      <c r="C1002" s="865"/>
      <c r="D1002" s="865"/>
      <c r="E1002" s="865"/>
      <c r="F1002" s="865" t="s">
        <v>1810</v>
      </c>
      <c r="G1002" s="865"/>
      <c r="H1002" s="865"/>
      <c r="I1002" s="865"/>
      <c r="J1002" s="865" t="s">
        <v>129</v>
      </c>
      <c r="K1002" s="865"/>
      <c r="L1002" s="865"/>
      <c r="M1002" s="865"/>
      <c r="N1002" s="865"/>
      <c r="O1002" s="865"/>
      <c r="P1002" s="865"/>
    </row>
    <row r="1003" spans="1:16" ht="122.45" customHeight="1" x14ac:dyDescent="0.25">
      <c r="A1003" s="675"/>
      <c r="B1003" s="865" t="s">
        <v>1939</v>
      </c>
      <c r="C1003" s="865"/>
      <c r="D1003" s="865"/>
      <c r="E1003" s="865"/>
      <c r="F1003" s="865" t="s">
        <v>2467</v>
      </c>
      <c r="G1003" s="865"/>
      <c r="H1003" s="865"/>
      <c r="I1003" s="865"/>
      <c r="J1003" s="865" t="s">
        <v>129</v>
      </c>
      <c r="K1003" s="865"/>
      <c r="L1003" s="865"/>
      <c r="M1003" s="865"/>
      <c r="N1003" s="865"/>
      <c r="O1003" s="865"/>
      <c r="P1003" s="865"/>
    </row>
    <row r="1004" spans="1:16" ht="149.65" customHeight="1" x14ac:dyDescent="0.25">
      <c r="A1004" s="675"/>
      <c r="B1004" s="865" t="s">
        <v>329</v>
      </c>
      <c r="C1004" s="865"/>
      <c r="D1004" s="865"/>
      <c r="E1004" s="865"/>
      <c r="F1004" s="865" t="s">
        <v>2466</v>
      </c>
      <c r="G1004" s="865"/>
      <c r="H1004" s="865"/>
      <c r="I1004" s="865"/>
      <c r="J1004" s="865" t="s">
        <v>129</v>
      </c>
      <c r="K1004" s="865"/>
      <c r="L1004" s="865"/>
      <c r="M1004" s="865"/>
      <c r="N1004" s="865"/>
      <c r="O1004" s="865"/>
      <c r="P1004" s="865"/>
    </row>
    <row r="1005" spans="1:16" x14ac:dyDescent="0.25">
      <c r="A1005" s="676"/>
      <c r="B1005" s="864" t="s">
        <v>330</v>
      </c>
      <c r="C1005" s="864"/>
      <c r="D1005" s="864"/>
      <c r="E1005" s="864"/>
      <c r="F1005" s="864" t="s">
        <v>129</v>
      </c>
      <c r="G1005" s="864"/>
      <c r="H1005" s="864"/>
      <c r="I1005" s="864"/>
      <c r="J1005" s="864" t="s">
        <v>129</v>
      </c>
      <c r="K1005" s="864"/>
      <c r="L1005" s="864"/>
      <c r="M1005" s="864"/>
      <c r="N1005" s="864"/>
      <c r="O1005" s="864"/>
      <c r="P1005" s="864"/>
    </row>
    <row r="1006" spans="1:16" x14ac:dyDescent="0.25">
      <c r="A1006" s="675"/>
      <c r="B1006" s="865" t="s">
        <v>1028</v>
      </c>
      <c r="C1006" s="865"/>
      <c r="D1006" s="865"/>
      <c r="E1006" s="865"/>
      <c r="F1006" s="865" t="s">
        <v>2465</v>
      </c>
      <c r="G1006" s="865"/>
      <c r="H1006" s="865"/>
      <c r="I1006" s="865"/>
      <c r="J1006" s="865" t="s">
        <v>129</v>
      </c>
      <c r="K1006" s="865"/>
      <c r="L1006" s="865"/>
      <c r="M1006" s="865"/>
      <c r="N1006" s="865"/>
      <c r="O1006" s="865"/>
      <c r="P1006" s="865"/>
    </row>
    <row r="1007" spans="1:16" x14ac:dyDescent="0.25">
      <c r="A1007" s="675"/>
      <c r="B1007" s="865" t="s">
        <v>1156</v>
      </c>
      <c r="C1007" s="865"/>
      <c r="D1007" s="865"/>
      <c r="E1007" s="865"/>
      <c r="F1007" s="865" t="s">
        <v>2464</v>
      </c>
      <c r="G1007" s="865"/>
      <c r="H1007" s="865"/>
      <c r="I1007" s="865"/>
      <c r="J1007" s="865" t="s">
        <v>129</v>
      </c>
      <c r="K1007" s="865"/>
      <c r="L1007" s="865"/>
      <c r="M1007" s="865"/>
      <c r="N1007" s="865"/>
      <c r="O1007" s="865"/>
      <c r="P1007" s="865"/>
    </row>
    <row r="1008" spans="1:16" ht="54.4" customHeight="1" x14ac:dyDescent="0.25">
      <c r="A1008" s="675"/>
      <c r="B1008" s="865" t="s">
        <v>1169</v>
      </c>
      <c r="C1008" s="865"/>
      <c r="D1008" s="865"/>
      <c r="E1008" s="865"/>
      <c r="F1008" s="865" t="s">
        <v>2463</v>
      </c>
      <c r="G1008" s="865"/>
      <c r="H1008" s="865"/>
      <c r="I1008" s="865"/>
      <c r="J1008" s="865" t="s">
        <v>129</v>
      </c>
      <c r="K1008" s="865"/>
      <c r="L1008" s="865"/>
      <c r="M1008" s="865"/>
      <c r="N1008" s="865"/>
      <c r="O1008" s="865"/>
      <c r="P1008" s="865"/>
    </row>
    <row r="1009" spans="1:16" ht="27.2" customHeight="1" x14ac:dyDescent="0.25">
      <c r="A1009" s="675"/>
      <c r="B1009" s="865" t="s">
        <v>1160</v>
      </c>
      <c r="C1009" s="865"/>
      <c r="D1009" s="865"/>
      <c r="E1009" s="865"/>
      <c r="F1009" s="865" t="s">
        <v>2462</v>
      </c>
      <c r="G1009" s="865"/>
      <c r="H1009" s="865"/>
      <c r="I1009" s="865"/>
      <c r="J1009" s="865" t="s">
        <v>129</v>
      </c>
      <c r="K1009" s="865"/>
      <c r="L1009" s="865"/>
      <c r="M1009" s="865"/>
      <c r="N1009" s="865"/>
      <c r="O1009" s="865"/>
      <c r="P1009" s="865"/>
    </row>
    <row r="1010" spans="1:16" ht="27.2" customHeight="1" x14ac:dyDescent="0.25">
      <c r="A1010" s="675"/>
      <c r="B1010" s="865" t="s">
        <v>1162</v>
      </c>
      <c r="C1010" s="865"/>
      <c r="D1010" s="865"/>
      <c r="E1010" s="865"/>
      <c r="F1010" s="865" t="s">
        <v>2461</v>
      </c>
      <c r="G1010" s="865"/>
      <c r="H1010" s="865"/>
      <c r="I1010" s="865"/>
      <c r="J1010" s="865" t="s">
        <v>129</v>
      </c>
      <c r="K1010" s="865"/>
      <c r="L1010" s="865"/>
      <c r="M1010" s="865"/>
      <c r="N1010" s="865"/>
      <c r="O1010" s="865"/>
      <c r="P1010" s="865"/>
    </row>
    <row r="1011" spans="1:16" ht="27.2" customHeight="1" x14ac:dyDescent="0.25">
      <c r="A1011" s="675"/>
      <c r="B1011" s="865" t="s">
        <v>1164</v>
      </c>
      <c r="C1011" s="865"/>
      <c r="D1011" s="865"/>
      <c r="E1011" s="865"/>
      <c r="F1011" s="865" t="s">
        <v>2460</v>
      </c>
      <c r="G1011" s="865"/>
      <c r="H1011" s="865"/>
      <c r="I1011" s="865"/>
      <c r="J1011" s="865" t="s">
        <v>129</v>
      </c>
      <c r="K1011" s="865"/>
      <c r="L1011" s="865"/>
      <c r="M1011" s="865"/>
      <c r="N1011" s="865"/>
      <c r="O1011" s="865"/>
      <c r="P1011" s="865"/>
    </row>
    <row r="1012" spans="1:16" x14ac:dyDescent="0.25">
      <c r="A1012" s="675"/>
      <c r="B1012" s="865" t="s">
        <v>1170</v>
      </c>
      <c r="C1012" s="865"/>
      <c r="D1012" s="865"/>
      <c r="E1012" s="865"/>
      <c r="F1012" s="865" t="s">
        <v>2459</v>
      </c>
      <c r="G1012" s="865"/>
      <c r="H1012" s="865"/>
      <c r="I1012" s="865"/>
      <c r="J1012" s="865" t="s">
        <v>129</v>
      </c>
      <c r="K1012" s="865"/>
      <c r="L1012" s="865"/>
      <c r="M1012" s="865"/>
      <c r="N1012" s="865"/>
      <c r="O1012" s="865"/>
      <c r="P1012" s="865"/>
    </row>
    <row r="1013" spans="1:16" ht="204" customHeight="1" x14ac:dyDescent="0.25">
      <c r="A1013" s="674" t="s">
        <v>94</v>
      </c>
      <c r="B1013" s="781" t="s">
        <v>1369</v>
      </c>
      <c r="C1013" s="782"/>
      <c r="D1013" s="782"/>
      <c r="E1013" s="782"/>
      <c r="F1013" s="782" t="s">
        <v>1370</v>
      </c>
      <c r="G1013" s="782"/>
      <c r="H1013" s="782"/>
      <c r="I1013" s="782"/>
      <c r="J1013" s="782" t="s">
        <v>2458</v>
      </c>
      <c r="K1013" s="782"/>
      <c r="L1013" s="782"/>
      <c r="M1013" s="866">
        <f>ROUND(1094000 * 1 * 1.68 * 0.4 * 0.9 * 1.24474, 0)</f>
        <v>823584</v>
      </c>
      <c r="N1013" s="782"/>
      <c r="O1013" s="782" t="s">
        <v>2113</v>
      </c>
      <c r="P1013" s="782"/>
    </row>
    <row r="1014" spans="1:16" x14ac:dyDescent="0.25">
      <c r="A1014" s="676"/>
      <c r="B1014" s="864" t="s">
        <v>306</v>
      </c>
      <c r="C1014" s="864"/>
      <c r="D1014" s="864"/>
      <c r="E1014" s="864"/>
      <c r="F1014" s="864" t="s">
        <v>129</v>
      </c>
      <c r="G1014" s="864"/>
      <c r="H1014" s="864"/>
      <c r="I1014" s="864"/>
      <c r="J1014" s="864" t="s">
        <v>129</v>
      </c>
      <c r="K1014" s="864"/>
      <c r="L1014" s="864"/>
      <c r="M1014" s="864"/>
      <c r="N1014" s="864"/>
      <c r="O1014" s="864"/>
      <c r="P1014" s="864"/>
    </row>
    <row r="1015" spans="1:16" x14ac:dyDescent="0.25">
      <c r="A1015" s="675"/>
      <c r="B1015" s="865" t="s">
        <v>325</v>
      </c>
      <c r="C1015" s="865"/>
      <c r="D1015" s="865"/>
      <c r="E1015" s="865"/>
      <c r="F1015" s="865" t="s">
        <v>326</v>
      </c>
      <c r="G1015" s="865"/>
      <c r="H1015" s="865"/>
      <c r="I1015" s="865"/>
      <c r="J1015" s="865" t="s">
        <v>129</v>
      </c>
      <c r="K1015" s="865"/>
      <c r="L1015" s="865"/>
      <c r="M1015" s="865"/>
      <c r="N1015" s="865"/>
      <c r="O1015" s="865"/>
      <c r="P1015" s="865"/>
    </row>
    <row r="1016" spans="1:16" ht="40.9" customHeight="1" x14ac:dyDescent="0.25">
      <c r="A1016" s="675"/>
      <c r="B1016" s="865" t="s">
        <v>331</v>
      </c>
      <c r="C1016" s="865"/>
      <c r="D1016" s="865"/>
      <c r="E1016" s="865"/>
      <c r="F1016" s="865" t="s">
        <v>332</v>
      </c>
      <c r="G1016" s="865"/>
      <c r="H1016" s="865"/>
      <c r="I1016" s="865"/>
      <c r="J1016" s="865" t="s">
        <v>129</v>
      </c>
      <c r="K1016" s="865"/>
      <c r="L1016" s="865"/>
      <c r="M1016" s="865"/>
      <c r="N1016" s="865"/>
      <c r="O1016" s="865"/>
      <c r="P1016" s="865"/>
    </row>
    <row r="1017" spans="1:16" ht="108.75" customHeight="1" x14ac:dyDescent="0.25">
      <c r="A1017" s="675"/>
      <c r="B1017" s="865" t="s">
        <v>1809</v>
      </c>
      <c r="C1017" s="865"/>
      <c r="D1017" s="865"/>
      <c r="E1017" s="865"/>
      <c r="F1017" s="865" t="s">
        <v>1810</v>
      </c>
      <c r="G1017" s="865"/>
      <c r="H1017" s="865"/>
      <c r="I1017" s="865"/>
      <c r="J1017" s="865" t="s">
        <v>129</v>
      </c>
      <c r="K1017" s="865"/>
      <c r="L1017" s="865"/>
      <c r="M1017" s="865"/>
      <c r="N1017" s="865"/>
      <c r="O1017" s="865"/>
      <c r="P1017" s="865"/>
    </row>
    <row r="1018" spans="1:16" ht="149.65" customHeight="1" x14ac:dyDescent="0.25">
      <c r="A1018" s="675"/>
      <c r="B1018" s="865" t="s">
        <v>329</v>
      </c>
      <c r="C1018" s="865"/>
      <c r="D1018" s="865"/>
      <c r="E1018" s="865"/>
      <c r="F1018" s="865" t="s">
        <v>341</v>
      </c>
      <c r="G1018" s="865"/>
      <c r="H1018" s="865"/>
      <c r="I1018" s="865"/>
      <c r="J1018" s="865" t="s">
        <v>129</v>
      </c>
      <c r="K1018" s="865"/>
      <c r="L1018" s="865"/>
      <c r="M1018" s="865"/>
      <c r="N1018" s="865"/>
      <c r="O1018" s="865"/>
      <c r="P1018" s="865"/>
    </row>
    <row r="1019" spans="1:16" x14ac:dyDescent="0.25">
      <c r="A1019" s="676"/>
      <c r="B1019" s="864" t="s">
        <v>330</v>
      </c>
      <c r="C1019" s="864"/>
      <c r="D1019" s="864"/>
      <c r="E1019" s="864"/>
      <c r="F1019" s="864" t="s">
        <v>129</v>
      </c>
      <c r="G1019" s="864"/>
      <c r="H1019" s="864"/>
      <c r="I1019" s="864"/>
      <c r="J1019" s="864" t="s">
        <v>129</v>
      </c>
      <c r="K1019" s="864"/>
      <c r="L1019" s="864"/>
      <c r="M1019" s="864"/>
      <c r="N1019" s="864"/>
      <c r="O1019" s="864"/>
      <c r="P1019" s="864"/>
    </row>
    <row r="1020" spans="1:16" x14ac:dyDescent="0.25">
      <c r="A1020" s="675"/>
      <c r="B1020" s="865" t="s">
        <v>1028</v>
      </c>
      <c r="C1020" s="865"/>
      <c r="D1020" s="865"/>
      <c r="E1020" s="865"/>
      <c r="F1020" s="865" t="s">
        <v>2457</v>
      </c>
      <c r="G1020" s="865"/>
      <c r="H1020" s="865"/>
      <c r="I1020" s="865"/>
      <c r="J1020" s="865" t="s">
        <v>129</v>
      </c>
      <c r="K1020" s="865"/>
      <c r="L1020" s="865"/>
      <c r="M1020" s="865"/>
      <c r="N1020" s="865"/>
      <c r="O1020" s="865"/>
      <c r="P1020" s="865"/>
    </row>
    <row r="1021" spans="1:16" ht="27.2" customHeight="1" x14ac:dyDescent="0.25">
      <c r="A1021" s="675"/>
      <c r="B1021" s="865" t="s">
        <v>1082</v>
      </c>
      <c r="C1021" s="865"/>
      <c r="D1021" s="865"/>
      <c r="E1021" s="865"/>
      <c r="F1021" s="865" t="s">
        <v>2456</v>
      </c>
      <c r="G1021" s="865"/>
      <c r="H1021" s="865"/>
      <c r="I1021" s="865"/>
      <c r="J1021" s="865" t="s">
        <v>129</v>
      </c>
      <c r="K1021" s="865"/>
      <c r="L1021" s="865"/>
      <c r="M1021" s="865"/>
      <c r="N1021" s="865"/>
      <c r="O1021" s="865"/>
      <c r="P1021" s="865"/>
    </row>
    <row r="1022" spans="1:16" x14ac:dyDescent="0.25">
      <c r="A1022" s="675"/>
      <c r="B1022" s="865" t="s">
        <v>1083</v>
      </c>
      <c r="C1022" s="865"/>
      <c r="D1022" s="865"/>
      <c r="E1022" s="865"/>
      <c r="F1022" s="865" t="s">
        <v>2455</v>
      </c>
      <c r="G1022" s="865"/>
      <c r="H1022" s="865"/>
      <c r="I1022" s="865"/>
      <c r="J1022" s="865" t="s">
        <v>129</v>
      </c>
      <c r="K1022" s="865"/>
      <c r="L1022" s="865"/>
      <c r="M1022" s="865"/>
      <c r="N1022" s="865"/>
      <c r="O1022" s="865"/>
      <c r="P1022" s="865"/>
    </row>
    <row r="1023" spans="1:16" ht="27.2" customHeight="1" x14ac:dyDescent="0.25">
      <c r="A1023" s="675"/>
      <c r="B1023" s="865" t="s">
        <v>1084</v>
      </c>
      <c r="C1023" s="865"/>
      <c r="D1023" s="865"/>
      <c r="E1023" s="865"/>
      <c r="F1023" s="865" t="s">
        <v>2454</v>
      </c>
      <c r="G1023" s="865"/>
      <c r="H1023" s="865"/>
      <c r="I1023" s="865"/>
      <c r="J1023" s="865" t="s">
        <v>129</v>
      </c>
      <c r="K1023" s="865"/>
      <c r="L1023" s="865"/>
      <c r="M1023" s="865"/>
      <c r="N1023" s="865"/>
      <c r="O1023" s="865"/>
      <c r="P1023" s="865"/>
    </row>
    <row r="1024" spans="1:16" ht="81.599999999999994" customHeight="1" x14ac:dyDescent="0.25">
      <c r="A1024" s="675"/>
      <c r="B1024" s="865" t="s">
        <v>1085</v>
      </c>
      <c r="C1024" s="865"/>
      <c r="D1024" s="865"/>
      <c r="E1024" s="865"/>
      <c r="F1024" s="865" t="s">
        <v>2453</v>
      </c>
      <c r="G1024" s="865"/>
      <c r="H1024" s="865"/>
      <c r="I1024" s="865"/>
      <c r="J1024" s="865" t="s">
        <v>129</v>
      </c>
      <c r="K1024" s="865"/>
      <c r="L1024" s="865"/>
      <c r="M1024" s="865"/>
      <c r="N1024" s="865"/>
      <c r="O1024" s="865"/>
      <c r="P1024" s="865"/>
    </row>
    <row r="1025" spans="1:16" ht="27.2" customHeight="1" x14ac:dyDescent="0.25">
      <c r="A1025" s="675"/>
      <c r="B1025" s="865" t="s">
        <v>1033</v>
      </c>
      <c r="C1025" s="865"/>
      <c r="D1025" s="865"/>
      <c r="E1025" s="865"/>
      <c r="F1025" s="865" t="s">
        <v>2452</v>
      </c>
      <c r="G1025" s="865"/>
      <c r="H1025" s="865"/>
      <c r="I1025" s="865"/>
      <c r="J1025" s="865" t="s">
        <v>129</v>
      </c>
      <c r="K1025" s="865"/>
      <c r="L1025" s="865"/>
      <c r="M1025" s="865"/>
      <c r="N1025" s="865"/>
      <c r="O1025" s="865"/>
      <c r="P1025" s="865"/>
    </row>
    <row r="1026" spans="1:16" ht="27.2" customHeight="1" x14ac:dyDescent="0.25">
      <c r="A1026" s="675"/>
      <c r="B1026" s="865" t="s">
        <v>1087</v>
      </c>
      <c r="C1026" s="865"/>
      <c r="D1026" s="865"/>
      <c r="E1026" s="865"/>
      <c r="F1026" s="865" t="s">
        <v>2451</v>
      </c>
      <c r="G1026" s="865"/>
      <c r="H1026" s="865"/>
      <c r="I1026" s="865"/>
      <c r="J1026" s="865" t="s">
        <v>129</v>
      </c>
      <c r="K1026" s="865"/>
      <c r="L1026" s="865"/>
      <c r="M1026" s="865"/>
      <c r="N1026" s="865"/>
      <c r="O1026" s="865"/>
      <c r="P1026" s="865"/>
    </row>
    <row r="1027" spans="1:16" ht="27.2" customHeight="1" x14ac:dyDescent="0.25">
      <c r="A1027" s="675"/>
      <c r="B1027" s="865" t="s">
        <v>1088</v>
      </c>
      <c r="C1027" s="865"/>
      <c r="D1027" s="865"/>
      <c r="E1027" s="865"/>
      <c r="F1027" s="865" t="s">
        <v>2451</v>
      </c>
      <c r="G1027" s="865"/>
      <c r="H1027" s="865"/>
      <c r="I1027" s="865"/>
      <c r="J1027" s="865" t="s">
        <v>129</v>
      </c>
      <c r="K1027" s="865"/>
      <c r="L1027" s="865"/>
      <c r="M1027" s="865"/>
      <c r="N1027" s="865"/>
      <c r="O1027" s="865"/>
      <c r="P1027" s="865"/>
    </row>
    <row r="1028" spans="1:16" ht="27.2" customHeight="1" x14ac:dyDescent="0.25">
      <c r="A1028" s="675"/>
      <c r="B1028" s="865" t="s">
        <v>1038</v>
      </c>
      <c r="C1028" s="865"/>
      <c r="D1028" s="865"/>
      <c r="E1028" s="865"/>
      <c r="F1028" s="865" t="s">
        <v>2450</v>
      </c>
      <c r="G1028" s="865"/>
      <c r="H1028" s="865"/>
      <c r="I1028" s="865"/>
      <c r="J1028" s="865" t="s">
        <v>129</v>
      </c>
      <c r="K1028" s="865"/>
      <c r="L1028" s="865"/>
      <c r="M1028" s="865"/>
      <c r="N1028" s="865"/>
      <c r="O1028" s="865"/>
      <c r="P1028" s="865"/>
    </row>
    <row r="1029" spans="1:16" ht="27.2" customHeight="1" x14ac:dyDescent="0.25">
      <c r="A1029" s="675"/>
      <c r="B1029" s="865" t="s">
        <v>1039</v>
      </c>
      <c r="C1029" s="865"/>
      <c r="D1029" s="865"/>
      <c r="E1029" s="865"/>
      <c r="F1029" s="865" t="s">
        <v>2449</v>
      </c>
      <c r="G1029" s="865"/>
      <c r="H1029" s="865"/>
      <c r="I1029" s="865"/>
      <c r="J1029" s="865" t="s">
        <v>129</v>
      </c>
      <c r="K1029" s="865"/>
      <c r="L1029" s="865"/>
      <c r="M1029" s="865"/>
      <c r="N1029" s="865"/>
      <c r="O1029" s="865"/>
      <c r="P1029" s="865"/>
    </row>
    <row r="1030" spans="1:16" ht="27.2" customHeight="1" x14ac:dyDescent="0.25">
      <c r="A1030" s="675"/>
      <c r="B1030" s="865" t="s">
        <v>1040</v>
      </c>
      <c r="C1030" s="865"/>
      <c r="D1030" s="865"/>
      <c r="E1030" s="865"/>
      <c r="F1030" s="865" t="s">
        <v>2449</v>
      </c>
      <c r="G1030" s="865"/>
      <c r="H1030" s="865"/>
      <c r="I1030" s="865"/>
      <c r="J1030" s="865" t="s">
        <v>129</v>
      </c>
      <c r="K1030" s="865"/>
      <c r="L1030" s="865"/>
      <c r="M1030" s="865"/>
      <c r="N1030" s="865"/>
      <c r="O1030" s="865"/>
      <c r="P1030" s="865"/>
    </row>
    <row r="1031" spans="1:16" x14ac:dyDescent="0.25">
      <c r="A1031" s="675"/>
      <c r="B1031" s="865" t="s">
        <v>1144</v>
      </c>
      <c r="C1031" s="865"/>
      <c r="D1031" s="865"/>
      <c r="E1031" s="865"/>
      <c r="F1031" s="865" t="s">
        <v>2448</v>
      </c>
      <c r="G1031" s="865"/>
      <c r="H1031" s="865"/>
      <c r="I1031" s="865"/>
      <c r="J1031" s="865" t="s">
        <v>129</v>
      </c>
      <c r="K1031" s="865"/>
      <c r="L1031" s="865"/>
      <c r="M1031" s="865"/>
      <c r="N1031" s="865"/>
      <c r="O1031" s="865"/>
      <c r="P1031" s="865"/>
    </row>
    <row r="1032" spans="1:16" ht="204" customHeight="1" x14ac:dyDescent="0.25">
      <c r="A1032" s="674" t="s">
        <v>95</v>
      </c>
      <c r="B1032" s="781" t="s">
        <v>1369</v>
      </c>
      <c r="C1032" s="782"/>
      <c r="D1032" s="782"/>
      <c r="E1032" s="782"/>
      <c r="F1032" s="782" t="s">
        <v>1370</v>
      </c>
      <c r="G1032" s="782"/>
      <c r="H1032" s="782"/>
      <c r="I1032" s="782"/>
      <c r="J1032" s="782" t="s">
        <v>2447</v>
      </c>
      <c r="K1032" s="782"/>
      <c r="L1032" s="782"/>
      <c r="M1032" s="866">
        <f>ROUND(1094000 * 1 * 1.68 * 0.4 * 0.9 * 0.35 * 1.24474, 0)</f>
        <v>288254</v>
      </c>
      <c r="N1032" s="782"/>
      <c r="O1032" s="782" t="s">
        <v>2112</v>
      </c>
      <c r="P1032" s="782"/>
    </row>
    <row r="1033" spans="1:16" x14ac:dyDescent="0.25">
      <c r="A1033" s="676"/>
      <c r="B1033" s="864" t="s">
        <v>306</v>
      </c>
      <c r="C1033" s="864"/>
      <c r="D1033" s="864"/>
      <c r="E1033" s="864"/>
      <c r="F1033" s="864" t="s">
        <v>129</v>
      </c>
      <c r="G1033" s="864"/>
      <c r="H1033" s="864"/>
      <c r="I1033" s="864"/>
      <c r="J1033" s="864" t="s">
        <v>129</v>
      </c>
      <c r="K1033" s="864"/>
      <c r="L1033" s="864"/>
      <c r="M1033" s="864"/>
      <c r="N1033" s="864"/>
      <c r="O1033" s="864"/>
      <c r="P1033" s="864"/>
    </row>
    <row r="1034" spans="1:16" x14ac:dyDescent="0.25">
      <c r="A1034" s="675"/>
      <c r="B1034" s="865" t="s">
        <v>325</v>
      </c>
      <c r="C1034" s="865"/>
      <c r="D1034" s="865"/>
      <c r="E1034" s="865"/>
      <c r="F1034" s="865" t="s">
        <v>326</v>
      </c>
      <c r="G1034" s="865"/>
      <c r="H1034" s="865"/>
      <c r="I1034" s="865"/>
      <c r="J1034" s="865" t="s">
        <v>129</v>
      </c>
      <c r="K1034" s="865"/>
      <c r="L1034" s="865"/>
      <c r="M1034" s="865"/>
      <c r="N1034" s="865"/>
      <c r="O1034" s="865"/>
      <c r="P1034" s="865"/>
    </row>
    <row r="1035" spans="1:16" ht="40.9" customHeight="1" x14ac:dyDescent="0.25">
      <c r="A1035" s="675"/>
      <c r="B1035" s="865" t="s">
        <v>331</v>
      </c>
      <c r="C1035" s="865"/>
      <c r="D1035" s="865"/>
      <c r="E1035" s="865"/>
      <c r="F1035" s="865" t="s">
        <v>332</v>
      </c>
      <c r="G1035" s="865"/>
      <c r="H1035" s="865"/>
      <c r="I1035" s="865"/>
      <c r="J1035" s="865" t="s">
        <v>129</v>
      </c>
      <c r="K1035" s="865"/>
      <c r="L1035" s="865"/>
      <c r="M1035" s="865"/>
      <c r="N1035" s="865"/>
      <c r="O1035" s="865"/>
      <c r="P1035" s="865"/>
    </row>
    <row r="1036" spans="1:16" ht="108.75" customHeight="1" x14ac:dyDescent="0.25">
      <c r="A1036" s="675"/>
      <c r="B1036" s="865" t="s">
        <v>1809</v>
      </c>
      <c r="C1036" s="865"/>
      <c r="D1036" s="865"/>
      <c r="E1036" s="865"/>
      <c r="F1036" s="865" t="s">
        <v>1810</v>
      </c>
      <c r="G1036" s="865"/>
      <c r="H1036" s="865"/>
      <c r="I1036" s="865"/>
      <c r="J1036" s="865" t="s">
        <v>129</v>
      </c>
      <c r="K1036" s="865"/>
      <c r="L1036" s="865"/>
      <c r="M1036" s="865"/>
      <c r="N1036" s="865"/>
      <c r="O1036" s="865"/>
      <c r="P1036" s="865"/>
    </row>
    <row r="1037" spans="1:16" ht="135.94999999999999" customHeight="1" x14ac:dyDescent="0.25">
      <c r="A1037" s="675"/>
      <c r="B1037" s="865" t="s">
        <v>1371</v>
      </c>
      <c r="C1037" s="865"/>
      <c r="D1037" s="865"/>
      <c r="E1037" s="865"/>
      <c r="F1037" s="865" t="s">
        <v>2446</v>
      </c>
      <c r="G1037" s="865"/>
      <c r="H1037" s="865"/>
      <c r="I1037" s="865"/>
      <c r="J1037" s="865" t="s">
        <v>129</v>
      </c>
      <c r="K1037" s="865"/>
      <c r="L1037" s="865"/>
      <c r="M1037" s="865"/>
      <c r="N1037" s="865"/>
      <c r="O1037" s="865"/>
      <c r="P1037" s="865"/>
    </row>
    <row r="1038" spans="1:16" ht="149.65" customHeight="1" x14ac:dyDescent="0.25">
      <c r="A1038" s="675"/>
      <c r="B1038" s="865" t="s">
        <v>329</v>
      </c>
      <c r="C1038" s="865"/>
      <c r="D1038" s="865"/>
      <c r="E1038" s="865"/>
      <c r="F1038" s="865" t="s">
        <v>2445</v>
      </c>
      <c r="G1038" s="865"/>
      <c r="H1038" s="865"/>
      <c r="I1038" s="865"/>
      <c r="J1038" s="865" t="s">
        <v>129</v>
      </c>
      <c r="K1038" s="865"/>
      <c r="L1038" s="865"/>
      <c r="M1038" s="865"/>
      <c r="N1038" s="865"/>
      <c r="O1038" s="865"/>
      <c r="P1038" s="865"/>
    </row>
    <row r="1039" spans="1:16" x14ac:dyDescent="0.25">
      <c r="A1039" s="676"/>
      <c r="B1039" s="864" t="s">
        <v>330</v>
      </c>
      <c r="C1039" s="864"/>
      <c r="D1039" s="864"/>
      <c r="E1039" s="864"/>
      <c r="F1039" s="864" t="s">
        <v>129</v>
      </c>
      <c r="G1039" s="864"/>
      <c r="H1039" s="864"/>
      <c r="I1039" s="864"/>
      <c r="J1039" s="864" t="s">
        <v>129</v>
      </c>
      <c r="K1039" s="864"/>
      <c r="L1039" s="864"/>
      <c r="M1039" s="864"/>
      <c r="N1039" s="864"/>
      <c r="O1039" s="864"/>
      <c r="P1039" s="864"/>
    </row>
    <row r="1040" spans="1:16" x14ac:dyDescent="0.25">
      <c r="A1040" s="675"/>
      <c r="B1040" s="865" t="s">
        <v>1028</v>
      </c>
      <c r="C1040" s="865"/>
      <c r="D1040" s="865"/>
      <c r="E1040" s="865"/>
      <c r="F1040" s="865" t="s">
        <v>2444</v>
      </c>
      <c r="G1040" s="865"/>
      <c r="H1040" s="865"/>
      <c r="I1040" s="865"/>
      <c r="J1040" s="865" t="s">
        <v>129</v>
      </c>
      <c r="K1040" s="865"/>
      <c r="L1040" s="865"/>
      <c r="M1040" s="865"/>
      <c r="N1040" s="865"/>
      <c r="O1040" s="865"/>
      <c r="P1040" s="865"/>
    </row>
    <row r="1041" spans="1:16" ht="27.2" customHeight="1" x14ac:dyDescent="0.25">
      <c r="A1041" s="675"/>
      <c r="B1041" s="865" t="s">
        <v>1082</v>
      </c>
      <c r="C1041" s="865"/>
      <c r="D1041" s="865"/>
      <c r="E1041" s="865"/>
      <c r="F1041" s="865" t="s">
        <v>2443</v>
      </c>
      <c r="G1041" s="865"/>
      <c r="H1041" s="865"/>
      <c r="I1041" s="865"/>
      <c r="J1041" s="865" t="s">
        <v>129</v>
      </c>
      <c r="K1041" s="865"/>
      <c r="L1041" s="865"/>
      <c r="M1041" s="865"/>
      <c r="N1041" s="865"/>
      <c r="O1041" s="865"/>
      <c r="P1041" s="865"/>
    </row>
    <row r="1042" spans="1:16" x14ac:dyDescent="0.25">
      <c r="A1042" s="675"/>
      <c r="B1042" s="865" t="s">
        <v>1083</v>
      </c>
      <c r="C1042" s="865"/>
      <c r="D1042" s="865"/>
      <c r="E1042" s="865"/>
      <c r="F1042" s="865" t="s">
        <v>2442</v>
      </c>
      <c r="G1042" s="865"/>
      <c r="H1042" s="865"/>
      <c r="I1042" s="865"/>
      <c r="J1042" s="865" t="s">
        <v>129</v>
      </c>
      <c r="K1042" s="865"/>
      <c r="L1042" s="865"/>
      <c r="M1042" s="865"/>
      <c r="N1042" s="865"/>
      <c r="O1042" s="865"/>
      <c r="P1042" s="865"/>
    </row>
    <row r="1043" spans="1:16" ht="27.2" customHeight="1" x14ac:dyDescent="0.25">
      <c r="A1043" s="675"/>
      <c r="B1043" s="865" t="s">
        <v>1084</v>
      </c>
      <c r="C1043" s="865"/>
      <c r="D1043" s="865"/>
      <c r="E1043" s="865"/>
      <c r="F1043" s="865" t="s">
        <v>2441</v>
      </c>
      <c r="G1043" s="865"/>
      <c r="H1043" s="865"/>
      <c r="I1043" s="865"/>
      <c r="J1043" s="865" t="s">
        <v>129</v>
      </c>
      <c r="K1043" s="865"/>
      <c r="L1043" s="865"/>
      <c r="M1043" s="865"/>
      <c r="N1043" s="865"/>
      <c r="O1043" s="865"/>
      <c r="P1043" s="865"/>
    </row>
    <row r="1044" spans="1:16" ht="81.599999999999994" customHeight="1" x14ac:dyDescent="0.25">
      <c r="A1044" s="675"/>
      <c r="B1044" s="865" t="s">
        <v>1085</v>
      </c>
      <c r="C1044" s="865"/>
      <c r="D1044" s="865"/>
      <c r="E1044" s="865"/>
      <c r="F1044" s="865" t="s">
        <v>2440</v>
      </c>
      <c r="G1044" s="865"/>
      <c r="H1044" s="865"/>
      <c r="I1044" s="865"/>
      <c r="J1044" s="865" t="s">
        <v>129</v>
      </c>
      <c r="K1044" s="865"/>
      <c r="L1044" s="865"/>
      <c r="M1044" s="865"/>
      <c r="N1044" s="865"/>
      <c r="O1044" s="865"/>
      <c r="P1044" s="865"/>
    </row>
    <row r="1045" spans="1:16" ht="27.2" customHeight="1" x14ac:dyDescent="0.25">
      <c r="A1045" s="675"/>
      <c r="B1045" s="865" t="s">
        <v>1033</v>
      </c>
      <c r="C1045" s="865"/>
      <c r="D1045" s="865"/>
      <c r="E1045" s="865"/>
      <c r="F1045" s="865" t="s">
        <v>2439</v>
      </c>
      <c r="G1045" s="865"/>
      <c r="H1045" s="865"/>
      <c r="I1045" s="865"/>
      <c r="J1045" s="865" t="s">
        <v>129</v>
      </c>
      <c r="K1045" s="865"/>
      <c r="L1045" s="865"/>
      <c r="M1045" s="865"/>
      <c r="N1045" s="865"/>
      <c r="O1045" s="865"/>
      <c r="P1045" s="865"/>
    </row>
    <row r="1046" spans="1:16" ht="27.2" customHeight="1" x14ac:dyDescent="0.25">
      <c r="A1046" s="675"/>
      <c r="B1046" s="865" t="s">
        <v>1087</v>
      </c>
      <c r="C1046" s="865"/>
      <c r="D1046" s="865"/>
      <c r="E1046" s="865"/>
      <c r="F1046" s="865" t="s">
        <v>2438</v>
      </c>
      <c r="G1046" s="865"/>
      <c r="H1046" s="865"/>
      <c r="I1046" s="865"/>
      <c r="J1046" s="865" t="s">
        <v>129</v>
      </c>
      <c r="K1046" s="865"/>
      <c r="L1046" s="865"/>
      <c r="M1046" s="865"/>
      <c r="N1046" s="865"/>
      <c r="O1046" s="865"/>
      <c r="P1046" s="865"/>
    </row>
    <row r="1047" spans="1:16" ht="27.2" customHeight="1" x14ac:dyDescent="0.25">
      <c r="A1047" s="675"/>
      <c r="B1047" s="865" t="s">
        <v>1088</v>
      </c>
      <c r="C1047" s="865"/>
      <c r="D1047" s="865"/>
      <c r="E1047" s="865"/>
      <c r="F1047" s="865" t="s">
        <v>2438</v>
      </c>
      <c r="G1047" s="865"/>
      <c r="H1047" s="865"/>
      <c r="I1047" s="865"/>
      <c r="J1047" s="865" t="s">
        <v>129</v>
      </c>
      <c r="K1047" s="865"/>
      <c r="L1047" s="865"/>
      <c r="M1047" s="865"/>
      <c r="N1047" s="865"/>
      <c r="O1047" s="865"/>
      <c r="P1047" s="865"/>
    </row>
    <row r="1048" spans="1:16" ht="27.2" customHeight="1" x14ac:dyDescent="0.25">
      <c r="A1048" s="675"/>
      <c r="B1048" s="865" t="s">
        <v>1038</v>
      </c>
      <c r="C1048" s="865"/>
      <c r="D1048" s="865"/>
      <c r="E1048" s="865"/>
      <c r="F1048" s="865" t="s">
        <v>2437</v>
      </c>
      <c r="G1048" s="865"/>
      <c r="H1048" s="865"/>
      <c r="I1048" s="865"/>
      <c r="J1048" s="865" t="s">
        <v>129</v>
      </c>
      <c r="K1048" s="865"/>
      <c r="L1048" s="865"/>
      <c r="M1048" s="865"/>
      <c r="N1048" s="865"/>
      <c r="O1048" s="865"/>
      <c r="P1048" s="865"/>
    </row>
    <row r="1049" spans="1:16" ht="27.2" customHeight="1" x14ac:dyDescent="0.25">
      <c r="A1049" s="675"/>
      <c r="B1049" s="865" t="s">
        <v>1039</v>
      </c>
      <c r="C1049" s="865"/>
      <c r="D1049" s="865"/>
      <c r="E1049" s="865"/>
      <c r="F1049" s="865" t="s">
        <v>2436</v>
      </c>
      <c r="G1049" s="865"/>
      <c r="H1049" s="865"/>
      <c r="I1049" s="865"/>
      <c r="J1049" s="865" t="s">
        <v>129</v>
      </c>
      <c r="K1049" s="865"/>
      <c r="L1049" s="865"/>
      <c r="M1049" s="865"/>
      <c r="N1049" s="865"/>
      <c r="O1049" s="865"/>
      <c r="P1049" s="865"/>
    </row>
    <row r="1050" spans="1:16" ht="27.2" customHeight="1" x14ac:dyDescent="0.25">
      <c r="A1050" s="675"/>
      <c r="B1050" s="865" t="s">
        <v>1040</v>
      </c>
      <c r="C1050" s="865"/>
      <c r="D1050" s="865"/>
      <c r="E1050" s="865"/>
      <c r="F1050" s="865" t="s">
        <v>2436</v>
      </c>
      <c r="G1050" s="865"/>
      <c r="H1050" s="865"/>
      <c r="I1050" s="865"/>
      <c r="J1050" s="865" t="s">
        <v>129</v>
      </c>
      <c r="K1050" s="865"/>
      <c r="L1050" s="865"/>
      <c r="M1050" s="865"/>
      <c r="N1050" s="865"/>
      <c r="O1050" s="865"/>
      <c r="P1050" s="865"/>
    </row>
    <row r="1051" spans="1:16" x14ac:dyDescent="0.25">
      <c r="A1051" s="675"/>
      <c r="B1051" s="865" t="s">
        <v>1144</v>
      </c>
      <c r="C1051" s="865"/>
      <c r="D1051" s="865"/>
      <c r="E1051" s="865"/>
      <c r="F1051" s="865" t="s">
        <v>2435</v>
      </c>
      <c r="G1051" s="865"/>
      <c r="H1051" s="865"/>
      <c r="I1051" s="865"/>
      <c r="J1051" s="865" t="s">
        <v>129</v>
      </c>
      <c r="K1051" s="865"/>
      <c r="L1051" s="865"/>
      <c r="M1051" s="865"/>
      <c r="N1051" s="865"/>
      <c r="O1051" s="865"/>
      <c r="P1051" s="865"/>
    </row>
    <row r="1052" spans="1:16" ht="54.4" customHeight="1" x14ac:dyDescent="0.25">
      <c r="A1052" s="673" t="s">
        <v>162</v>
      </c>
      <c r="B1052" s="780" t="s">
        <v>1372</v>
      </c>
      <c r="C1052" s="780"/>
      <c r="D1052" s="780"/>
      <c r="E1052" s="780"/>
      <c r="F1052" s="780"/>
      <c r="G1052" s="780"/>
      <c r="H1052" s="780"/>
      <c r="I1052" s="780"/>
      <c r="J1052" s="780" t="s">
        <v>129</v>
      </c>
      <c r="K1052" s="780"/>
      <c r="L1052" s="780"/>
      <c r="M1052" s="791">
        <f>ROUND(SUM($M$985:$M$1032),0)</f>
        <v>4262582</v>
      </c>
      <c r="N1052" s="780"/>
      <c r="O1052" s="780"/>
      <c r="P1052" s="780"/>
    </row>
    <row r="1053" spans="1:16" ht="54.4" customHeight="1" x14ac:dyDescent="0.25">
      <c r="A1053" s="673" t="s">
        <v>163</v>
      </c>
      <c r="B1053" s="780" t="s">
        <v>1373</v>
      </c>
      <c r="C1053" s="780"/>
      <c r="D1053" s="780"/>
      <c r="E1053" s="780"/>
      <c r="F1053" s="780"/>
      <c r="G1053" s="780"/>
      <c r="H1053" s="780"/>
      <c r="I1053" s="780"/>
      <c r="J1053" s="780" t="s">
        <v>129</v>
      </c>
      <c r="K1053" s="780"/>
      <c r="L1053" s="780"/>
      <c r="M1053" s="791">
        <f>ROUND(($M$1052),0)</f>
        <v>4262582</v>
      </c>
      <c r="N1053" s="780"/>
      <c r="O1053" s="780"/>
      <c r="P1053" s="780"/>
    </row>
    <row r="1054" spans="1:16" x14ac:dyDescent="0.25">
      <c r="A1054" s="673" t="s">
        <v>12</v>
      </c>
      <c r="B1054" s="780" t="s">
        <v>339</v>
      </c>
      <c r="C1054" s="780"/>
      <c r="D1054" s="780"/>
      <c r="E1054" s="780"/>
      <c r="F1054" s="780" t="s">
        <v>1374</v>
      </c>
      <c r="G1054" s="780"/>
      <c r="H1054" s="780"/>
      <c r="I1054" s="780"/>
      <c r="J1054" s="780"/>
      <c r="K1054" s="780"/>
      <c r="L1054" s="780"/>
      <c r="M1054" s="780"/>
      <c r="N1054" s="780"/>
      <c r="O1054" s="780"/>
      <c r="P1054" s="780"/>
    </row>
    <row r="1055" spans="1:16" ht="95.25" customHeight="1" x14ac:dyDescent="0.25">
      <c r="A1055" s="674" t="s">
        <v>14</v>
      </c>
      <c r="B1055" s="781" t="s">
        <v>1375</v>
      </c>
      <c r="C1055" s="782"/>
      <c r="D1055" s="782"/>
      <c r="E1055" s="782"/>
      <c r="F1055" s="782" t="s">
        <v>1376</v>
      </c>
      <c r="G1055" s="782"/>
      <c r="H1055" s="782"/>
      <c r="I1055" s="782"/>
      <c r="J1055" s="782" t="s">
        <v>1377</v>
      </c>
      <c r="K1055" s="782"/>
      <c r="L1055" s="782"/>
      <c r="M1055" s="866">
        <f>ROUND((25500 + 7250 * 1) * 1 * 1.53 * 1, 0)</f>
        <v>50108</v>
      </c>
      <c r="N1055" s="782"/>
      <c r="O1055" s="782" t="s">
        <v>129</v>
      </c>
      <c r="P1055" s="782"/>
    </row>
    <row r="1056" spans="1:16" x14ac:dyDescent="0.25">
      <c r="A1056" s="676"/>
      <c r="B1056" s="864" t="s">
        <v>306</v>
      </c>
      <c r="C1056" s="864"/>
      <c r="D1056" s="864"/>
      <c r="E1056" s="864"/>
      <c r="F1056" s="864" t="s">
        <v>129</v>
      </c>
      <c r="G1056" s="864"/>
      <c r="H1056" s="864"/>
      <c r="I1056" s="864"/>
      <c r="J1056" s="864" t="s">
        <v>129</v>
      </c>
      <c r="K1056" s="864"/>
      <c r="L1056" s="864"/>
      <c r="M1056" s="864"/>
      <c r="N1056" s="864"/>
      <c r="O1056" s="864"/>
      <c r="P1056" s="864"/>
    </row>
    <row r="1057" spans="1:16" x14ac:dyDescent="0.25">
      <c r="A1057" s="675"/>
      <c r="B1057" s="865" t="s">
        <v>325</v>
      </c>
      <c r="C1057" s="865"/>
      <c r="D1057" s="865"/>
      <c r="E1057" s="865"/>
      <c r="F1057" s="865" t="s">
        <v>1378</v>
      </c>
      <c r="G1057" s="865"/>
      <c r="H1057" s="865"/>
      <c r="I1057" s="865"/>
      <c r="J1057" s="865" t="s">
        <v>129</v>
      </c>
      <c r="K1057" s="865"/>
      <c r="L1057" s="865"/>
      <c r="M1057" s="865"/>
      <c r="N1057" s="865"/>
      <c r="O1057" s="865"/>
      <c r="P1057" s="865"/>
    </row>
    <row r="1058" spans="1:16" ht="40.9" customHeight="1" x14ac:dyDescent="0.25">
      <c r="A1058" s="675"/>
      <c r="B1058" s="865" t="s">
        <v>336</v>
      </c>
      <c r="C1058" s="865"/>
      <c r="D1058" s="865"/>
      <c r="E1058" s="865"/>
      <c r="F1058" s="865" t="s">
        <v>337</v>
      </c>
      <c r="G1058" s="865"/>
      <c r="H1058" s="865"/>
      <c r="I1058" s="865"/>
      <c r="J1058" s="865" t="s">
        <v>129</v>
      </c>
      <c r="K1058" s="865"/>
      <c r="L1058" s="865"/>
      <c r="M1058" s="865"/>
      <c r="N1058" s="865"/>
      <c r="O1058" s="865"/>
      <c r="P1058" s="865"/>
    </row>
    <row r="1059" spans="1:16" x14ac:dyDescent="0.25">
      <c r="A1059" s="676"/>
      <c r="B1059" s="864" t="s">
        <v>330</v>
      </c>
      <c r="C1059" s="864"/>
      <c r="D1059" s="864"/>
      <c r="E1059" s="864"/>
      <c r="F1059" s="864" t="s">
        <v>129</v>
      </c>
      <c r="G1059" s="864"/>
      <c r="H1059" s="864"/>
      <c r="I1059" s="864"/>
      <c r="J1059" s="864" t="s">
        <v>129</v>
      </c>
      <c r="K1059" s="864"/>
      <c r="L1059" s="864"/>
      <c r="M1059" s="864"/>
      <c r="N1059" s="864"/>
      <c r="O1059" s="864"/>
      <c r="P1059" s="864"/>
    </row>
    <row r="1060" spans="1:16" x14ac:dyDescent="0.25">
      <c r="A1060" s="675"/>
      <c r="B1060" s="865" t="s">
        <v>1028</v>
      </c>
      <c r="C1060" s="865"/>
      <c r="D1060" s="865"/>
      <c r="E1060" s="865"/>
      <c r="F1060" s="865" t="s">
        <v>1379</v>
      </c>
      <c r="G1060" s="865"/>
      <c r="H1060" s="865"/>
      <c r="I1060" s="865"/>
      <c r="J1060" s="865" t="s">
        <v>129</v>
      </c>
      <c r="K1060" s="865"/>
      <c r="L1060" s="865"/>
      <c r="M1060" s="865"/>
      <c r="N1060" s="865"/>
      <c r="O1060" s="865"/>
      <c r="P1060" s="865"/>
    </row>
    <row r="1061" spans="1:16" ht="27.2" customHeight="1" x14ac:dyDescent="0.25">
      <c r="A1061" s="675"/>
      <c r="B1061" s="865" t="s">
        <v>1380</v>
      </c>
      <c r="C1061" s="865"/>
      <c r="D1061" s="865"/>
      <c r="E1061" s="865"/>
      <c r="F1061" s="865" t="s">
        <v>1381</v>
      </c>
      <c r="G1061" s="865"/>
      <c r="H1061" s="865"/>
      <c r="I1061" s="865"/>
      <c r="J1061" s="865" t="s">
        <v>129</v>
      </c>
      <c r="K1061" s="865"/>
      <c r="L1061" s="865"/>
      <c r="M1061" s="865"/>
      <c r="N1061" s="865"/>
      <c r="O1061" s="865"/>
      <c r="P1061" s="865"/>
    </row>
    <row r="1062" spans="1:16" ht="27.2" customHeight="1" x14ac:dyDescent="0.25">
      <c r="A1062" s="675"/>
      <c r="B1062" s="865" t="s">
        <v>1382</v>
      </c>
      <c r="C1062" s="865"/>
      <c r="D1062" s="865"/>
      <c r="E1062" s="865"/>
      <c r="F1062" s="865" t="s">
        <v>1383</v>
      </c>
      <c r="G1062" s="865"/>
      <c r="H1062" s="865"/>
      <c r="I1062" s="865"/>
      <c r="J1062" s="865" t="s">
        <v>129</v>
      </c>
      <c r="K1062" s="865"/>
      <c r="L1062" s="865"/>
      <c r="M1062" s="865"/>
      <c r="N1062" s="865"/>
      <c r="O1062" s="865"/>
      <c r="P1062" s="865"/>
    </row>
    <row r="1063" spans="1:16" ht="40.9" customHeight="1" x14ac:dyDescent="0.25">
      <c r="A1063" s="675"/>
      <c r="B1063" s="865" t="s">
        <v>1384</v>
      </c>
      <c r="C1063" s="865"/>
      <c r="D1063" s="865"/>
      <c r="E1063" s="865"/>
      <c r="F1063" s="865" t="s">
        <v>1385</v>
      </c>
      <c r="G1063" s="865"/>
      <c r="H1063" s="865"/>
      <c r="I1063" s="865"/>
      <c r="J1063" s="865" t="s">
        <v>129</v>
      </c>
      <c r="K1063" s="865"/>
      <c r="L1063" s="865"/>
      <c r="M1063" s="865"/>
      <c r="N1063" s="865"/>
      <c r="O1063" s="865"/>
      <c r="P1063" s="865"/>
    </row>
    <row r="1064" spans="1:16" ht="95.25" customHeight="1" x14ac:dyDescent="0.25">
      <c r="A1064" s="674" t="s">
        <v>96</v>
      </c>
      <c r="B1064" s="781" t="s">
        <v>1386</v>
      </c>
      <c r="C1064" s="782"/>
      <c r="D1064" s="782"/>
      <c r="E1064" s="782"/>
      <c r="F1064" s="782" t="s">
        <v>1387</v>
      </c>
      <c r="G1064" s="782"/>
      <c r="H1064" s="782"/>
      <c r="I1064" s="782"/>
      <c r="J1064" s="782" t="s">
        <v>1388</v>
      </c>
      <c r="K1064" s="782"/>
      <c r="L1064" s="782"/>
      <c r="M1064" s="866">
        <f>ROUND(660100 * 1 * 1.53 * 1, 0)</f>
        <v>1009953</v>
      </c>
      <c r="N1064" s="782"/>
      <c r="O1064" s="782" t="s">
        <v>129</v>
      </c>
      <c r="P1064" s="782"/>
    </row>
    <row r="1065" spans="1:16" x14ac:dyDescent="0.25">
      <c r="A1065" s="676"/>
      <c r="B1065" s="864" t="s">
        <v>306</v>
      </c>
      <c r="C1065" s="864"/>
      <c r="D1065" s="864"/>
      <c r="E1065" s="864"/>
      <c r="F1065" s="864" t="s">
        <v>129</v>
      </c>
      <c r="G1065" s="864"/>
      <c r="H1065" s="864"/>
      <c r="I1065" s="864"/>
      <c r="J1065" s="864" t="s">
        <v>129</v>
      </c>
      <c r="K1065" s="864"/>
      <c r="L1065" s="864"/>
      <c r="M1065" s="864"/>
      <c r="N1065" s="864"/>
      <c r="O1065" s="864"/>
      <c r="P1065" s="864"/>
    </row>
    <row r="1066" spans="1:16" x14ac:dyDescent="0.25">
      <c r="A1066" s="675"/>
      <c r="B1066" s="865" t="s">
        <v>325</v>
      </c>
      <c r="C1066" s="865"/>
      <c r="D1066" s="865"/>
      <c r="E1066" s="865"/>
      <c r="F1066" s="865" t="s">
        <v>1378</v>
      </c>
      <c r="G1066" s="865"/>
      <c r="H1066" s="865"/>
      <c r="I1066" s="865"/>
      <c r="J1066" s="865" t="s">
        <v>129</v>
      </c>
      <c r="K1066" s="865"/>
      <c r="L1066" s="865"/>
      <c r="M1066" s="865"/>
      <c r="N1066" s="865"/>
      <c r="O1066" s="865"/>
      <c r="P1066" s="865"/>
    </row>
    <row r="1067" spans="1:16" ht="40.9" customHeight="1" x14ac:dyDescent="0.25">
      <c r="A1067" s="675"/>
      <c r="B1067" s="865" t="s">
        <v>336</v>
      </c>
      <c r="C1067" s="865"/>
      <c r="D1067" s="865"/>
      <c r="E1067" s="865"/>
      <c r="F1067" s="865" t="s">
        <v>337</v>
      </c>
      <c r="G1067" s="865"/>
      <c r="H1067" s="865"/>
      <c r="I1067" s="865"/>
      <c r="J1067" s="865" t="s">
        <v>129</v>
      </c>
      <c r="K1067" s="865"/>
      <c r="L1067" s="865"/>
      <c r="M1067" s="865"/>
      <c r="N1067" s="865"/>
      <c r="O1067" s="865"/>
      <c r="P1067" s="865"/>
    </row>
    <row r="1068" spans="1:16" x14ac:dyDescent="0.25">
      <c r="A1068" s="676"/>
      <c r="B1068" s="864" t="s">
        <v>330</v>
      </c>
      <c r="C1068" s="864"/>
      <c r="D1068" s="864"/>
      <c r="E1068" s="864"/>
      <c r="F1068" s="864" t="s">
        <v>129</v>
      </c>
      <c r="G1068" s="864"/>
      <c r="H1068" s="864"/>
      <c r="I1068" s="864"/>
      <c r="J1068" s="864" t="s">
        <v>129</v>
      </c>
      <c r="K1068" s="864"/>
      <c r="L1068" s="864"/>
      <c r="M1068" s="864"/>
      <c r="N1068" s="864"/>
      <c r="O1068" s="864"/>
      <c r="P1068" s="864"/>
    </row>
    <row r="1069" spans="1:16" ht="27.2" customHeight="1" x14ac:dyDescent="0.25">
      <c r="A1069" s="675"/>
      <c r="B1069" s="865" t="s">
        <v>1389</v>
      </c>
      <c r="C1069" s="865"/>
      <c r="D1069" s="865"/>
      <c r="E1069" s="865"/>
      <c r="F1069" s="865" t="s">
        <v>1390</v>
      </c>
      <c r="G1069" s="865"/>
      <c r="H1069" s="865"/>
      <c r="I1069" s="865"/>
      <c r="J1069" s="865" t="s">
        <v>129</v>
      </c>
      <c r="K1069" s="865"/>
      <c r="L1069" s="865"/>
      <c r="M1069" s="865"/>
      <c r="N1069" s="865"/>
      <c r="O1069" s="865"/>
      <c r="P1069" s="865"/>
    </row>
    <row r="1070" spans="1:16" ht="27.2" customHeight="1" x14ac:dyDescent="0.25">
      <c r="A1070" s="675"/>
      <c r="B1070" s="865" t="s">
        <v>1391</v>
      </c>
      <c r="C1070" s="865"/>
      <c r="D1070" s="865"/>
      <c r="E1070" s="865"/>
      <c r="F1070" s="865" t="s">
        <v>1392</v>
      </c>
      <c r="G1070" s="865"/>
      <c r="H1070" s="865"/>
      <c r="I1070" s="865"/>
      <c r="J1070" s="865" t="s">
        <v>129</v>
      </c>
      <c r="K1070" s="865"/>
      <c r="L1070" s="865"/>
      <c r="M1070" s="865"/>
      <c r="N1070" s="865"/>
      <c r="O1070" s="865"/>
      <c r="P1070" s="865"/>
    </row>
    <row r="1071" spans="1:16" ht="27.2" customHeight="1" x14ac:dyDescent="0.25">
      <c r="A1071" s="675"/>
      <c r="B1071" s="865" t="s">
        <v>1393</v>
      </c>
      <c r="C1071" s="865"/>
      <c r="D1071" s="865"/>
      <c r="E1071" s="865"/>
      <c r="F1071" s="865" t="s">
        <v>1394</v>
      </c>
      <c r="G1071" s="865"/>
      <c r="H1071" s="865"/>
      <c r="I1071" s="865"/>
      <c r="J1071" s="865" t="s">
        <v>129</v>
      </c>
      <c r="K1071" s="865"/>
      <c r="L1071" s="865"/>
      <c r="M1071" s="865"/>
      <c r="N1071" s="865"/>
      <c r="O1071" s="865"/>
      <c r="P1071" s="865"/>
    </row>
    <row r="1072" spans="1:16" ht="54.4" customHeight="1" x14ac:dyDescent="0.25">
      <c r="A1072" s="675"/>
      <c r="B1072" s="865" t="s">
        <v>1395</v>
      </c>
      <c r="C1072" s="865"/>
      <c r="D1072" s="865"/>
      <c r="E1072" s="865"/>
      <c r="F1072" s="865" t="s">
        <v>1396</v>
      </c>
      <c r="G1072" s="865"/>
      <c r="H1072" s="865"/>
      <c r="I1072" s="865"/>
      <c r="J1072" s="865" t="s">
        <v>129</v>
      </c>
      <c r="K1072" s="865"/>
      <c r="L1072" s="865"/>
      <c r="M1072" s="865"/>
      <c r="N1072" s="865"/>
      <c r="O1072" s="865"/>
      <c r="P1072" s="865"/>
    </row>
    <row r="1073" spans="1:16" ht="27.2" customHeight="1" x14ac:dyDescent="0.25">
      <c r="A1073" s="675"/>
      <c r="B1073" s="865" t="s">
        <v>1397</v>
      </c>
      <c r="C1073" s="865"/>
      <c r="D1073" s="865"/>
      <c r="E1073" s="865"/>
      <c r="F1073" s="865" t="s">
        <v>1398</v>
      </c>
      <c r="G1073" s="865"/>
      <c r="H1073" s="865"/>
      <c r="I1073" s="865"/>
      <c r="J1073" s="865" t="s">
        <v>129</v>
      </c>
      <c r="K1073" s="865"/>
      <c r="L1073" s="865"/>
      <c r="M1073" s="865"/>
      <c r="N1073" s="865"/>
      <c r="O1073" s="865"/>
      <c r="P1073" s="865"/>
    </row>
    <row r="1074" spans="1:16" x14ac:dyDescent="0.25">
      <c r="A1074" s="673" t="s">
        <v>188</v>
      </c>
      <c r="B1074" s="780" t="s">
        <v>1399</v>
      </c>
      <c r="C1074" s="780"/>
      <c r="D1074" s="780"/>
      <c r="E1074" s="780"/>
      <c r="F1074" s="780"/>
      <c r="G1074" s="780"/>
      <c r="H1074" s="780"/>
      <c r="I1074" s="780"/>
      <c r="J1074" s="780" t="s">
        <v>129</v>
      </c>
      <c r="K1074" s="780"/>
      <c r="L1074" s="780"/>
      <c r="M1074" s="791">
        <f>ROUND(SUM($M$1055:$M$1064),0)</f>
        <v>1060061</v>
      </c>
      <c r="N1074" s="780"/>
      <c r="O1074" s="780"/>
      <c r="P1074" s="780"/>
    </row>
    <row r="1075" spans="1:16" x14ac:dyDescent="0.25">
      <c r="A1075" s="673" t="s">
        <v>189</v>
      </c>
      <c r="B1075" s="780" t="s">
        <v>1400</v>
      </c>
      <c r="C1075" s="780"/>
      <c r="D1075" s="780"/>
      <c r="E1075" s="780"/>
      <c r="F1075" s="780"/>
      <c r="G1075" s="780"/>
      <c r="H1075" s="780"/>
      <c r="I1075" s="780"/>
      <c r="J1075" s="780" t="s">
        <v>129</v>
      </c>
      <c r="K1075" s="780"/>
      <c r="L1075" s="780"/>
      <c r="M1075" s="791">
        <f>ROUND(($M$1074),0)</f>
        <v>1060061</v>
      </c>
      <c r="N1075" s="780"/>
      <c r="O1075" s="780"/>
      <c r="P1075" s="780"/>
    </row>
    <row r="1076" spans="1:16" x14ac:dyDescent="0.25">
      <c r="A1076" s="673" t="s">
        <v>13</v>
      </c>
      <c r="B1076" s="780" t="s">
        <v>362</v>
      </c>
      <c r="C1076" s="780"/>
      <c r="D1076" s="780"/>
      <c r="E1076" s="780"/>
      <c r="F1076" s="780"/>
      <c r="G1076" s="780"/>
      <c r="H1076" s="780"/>
      <c r="I1076" s="780"/>
      <c r="J1076" s="780" t="s">
        <v>129</v>
      </c>
      <c r="K1076" s="780"/>
      <c r="L1076" s="780"/>
      <c r="M1076" s="791">
        <f>ROUND($M$410+$M$983+$M$1053+$M$1075,0)</f>
        <v>19300107</v>
      </c>
      <c r="N1076" s="780"/>
      <c r="O1076" s="780"/>
      <c r="P1076" s="780"/>
    </row>
    <row r="1077" spans="1:16" x14ac:dyDescent="0.25">
      <c r="A1077" s="673" t="s">
        <v>15</v>
      </c>
      <c r="B1077" s="780" t="s">
        <v>363</v>
      </c>
      <c r="C1077" s="780"/>
      <c r="D1077" s="780"/>
      <c r="E1077" s="780"/>
      <c r="F1077" s="780"/>
      <c r="G1077" s="780"/>
      <c r="H1077" s="780"/>
      <c r="I1077" s="780"/>
      <c r="J1077" s="780" t="s">
        <v>129</v>
      </c>
      <c r="K1077" s="780"/>
      <c r="L1077" s="780"/>
      <c r="M1077" s="791">
        <f>ROUND(($M$1076),0)</f>
        <v>19300107</v>
      </c>
      <c r="N1077" s="780"/>
      <c r="O1077" s="780"/>
      <c r="P1077" s="780"/>
    </row>
    <row r="1079" spans="1:16" ht="30" customHeight="1" x14ac:dyDescent="0.25">
      <c r="A1079" s="767" t="s">
        <v>364</v>
      </c>
      <c r="B1079" s="767"/>
      <c r="C1079" s="767"/>
      <c r="D1079" s="767"/>
      <c r="E1079" s="767"/>
      <c r="F1079" s="793">
        <f>$M$1077</f>
        <v>19300107</v>
      </c>
      <c r="G1079" s="793"/>
      <c r="H1079" s="793"/>
      <c r="I1079" s="793"/>
      <c r="J1079" s="793"/>
      <c r="K1079" s="793"/>
      <c r="L1079" s="793"/>
      <c r="M1079" s="793"/>
      <c r="N1079" s="793"/>
      <c r="O1079" s="793"/>
      <c r="P1079" s="793"/>
    </row>
    <row r="1081" spans="1:16" x14ac:dyDescent="0.25">
      <c r="A1081" s="767" t="s">
        <v>501</v>
      </c>
      <c r="B1081" s="767"/>
      <c r="C1081" s="767"/>
      <c r="D1081" s="767"/>
      <c r="E1081" s="767"/>
      <c r="F1081" s="867"/>
      <c r="G1081" s="867"/>
      <c r="H1081" s="867"/>
      <c r="I1081" s="867"/>
      <c r="J1081" s="867"/>
      <c r="K1081" s="867"/>
      <c r="L1081" s="867"/>
      <c r="M1081" s="867"/>
      <c r="N1081" s="867"/>
      <c r="O1081" s="867"/>
      <c r="P1081" s="867"/>
    </row>
    <row r="1082" spans="1:16" x14ac:dyDescent="0.25">
      <c r="F1082" s="766" t="s">
        <v>502</v>
      </c>
      <c r="G1082" s="766"/>
      <c r="H1082" s="766"/>
      <c r="I1082" s="766"/>
      <c r="J1082" s="766"/>
      <c r="K1082" s="766"/>
      <c r="L1082" s="766"/>
      <c r="M1082" s="766"/>
      <c r="N1082" s="766"/>
      <c r="O1082" s="766"/>
      <c r="P1082" s="766"/>
    </row>
    <row r="1084" spans="1:16" x14ac:dyDescent="0.25">
      <c r="A1084" s="767" t="s">
        <v>503</v>
      </c>
      <c r="B1084" s="767"/>
      <c r="C1084" s="767"/>
      <c r="D1084" s="767"/>
      <c r="E1084" s="767"/>
      <c r="F1084" s="867"/>
      <c r="G1084" s="867"/>
      <c r="H1084" s="867"/>
      <c r="I1084" s="867"/>
      <c r="J1084" s="867"/>
      <c r="K1084" s="867"/>
      <c r="L1084" s="867"/>
      <c r="M1084" s="867"/>
      <c r="N1084" s="867"/>
      <c r="O1084" s="867"/>
      <c r="P1084" s="867"/>
    </row>
    <row r="1085" spans="1:16" x14ac:dyDescent="0.25">
      <c r="F1085" s="766" t="s">
        <v>502</v>
      </c>
      <c r="G1085" s="766"/>
      <c r="H1085" s="766"/>
      <c r="I1085" s="766"/>
      <c r="J1085" s="766"/>
      <c r="K1085" s="766"/>
      <c r="L1085" s="766"/>
      <c r="M1085" s="766"/>
      <c r="N1085" s="766"/>
      <c r="O1085" s="766"/>
      <c r="P1085" s="766"/>
    </row>
    <row r="1087" spans="1:16" x14ac:dyDescent="0.25">
      <c r="A1087" s="767" t="s">
        <v>504</v>
      </c>
      <c r="B1087" s="767"/>
      <c r="C1087" s="767"/>
      <c r="D1087" s="767"/>
      <c r="E1087" s="767"/>
      <c r="F1087" s="867"/>
      <c r="G1087" s="867"/>
      <c r="H1087" s="867"/>
      <c r="I1087" s="867"/>
      <c r="J1087" s="671" t="s">
        <v>505</v>
      </c>
      <c r="K1087" s="867"/>
      <c r="L1087" s="867"/>
      <c r="M1087" s="867"/>
      <c r="N1087" s="867"/>
      <c r="O1087" s="867"/>
      <c r="P1087" s="867"/>
    </row>
    <row r="1088" spans="1:16" x14ac:dyDescent="0.25">
      <c r="F1088" s="766" t="s">
        <v>506</v>
      </c>
      <c r="G1088" s="766"/>
      <c r="H1088" s="766"/>
      <c r="I1088" s="766"/>
      <c r="K1088" s="766" t="s">
        <v>502</v>
      </c>
      <c r="L1088" s="766"/>
      <c r="M1088" s="766"/>
      <c r="N1088" s="766"/>
      <c r="O1088" s="766"/>
      <c r="P1088" s="766"/>
    </row>
    <row r="1090" spans="1:16" x14ac:dyDescent="0.25">
      <c r="A1090" s="767" t="s">
        <v>145</v>
      </c>
      <c r="B1090" s="767"/>
      <c r="C1090" s="767"/>
      <c r="D1090" s="767"/>
      <c r="E1090" s="767"/>
      <c r="F1090" s="867"/>
      <c r="G1090" s="867"/>
      <c r="H1090" s="867"/>
      <c r="I1090" s="867"/>
      <c r="J1090" s="867"/>
      <c r="K1090" s="867"/>
      <c r="L1090" s="867"/>
      <c r="M1090" s="867"/>
      <c r="N1090" s="867"/>
      <c r="O1090" s="867"/>
      <c r="P1090" s="867"/>
    </row>
    <row r="1091" spans="1:16" x14ac:dyDescent="0.25">
      <c r="F1091" s="766" t="s">
        <v>502</v>
      </c>
      <c r="G1091" s="766"/>
      <c r="H1091" s="766"/>
      <c r="I1091" s="766"/>
      <c r="J1091" s="766"/>
      <c r="K1091" s="766"/>
      <c r="L1091" s="766"/>
      <c r="M1091" s="766"/>
      <c r="N1091" s="766"/>
      <c r="O1091" s="766"/>
      <c r="P1091" s="766"/>
    </row>
  </sheetData>
  <mergeCells count="5335">
    <mergeCell ref="F1085:P1085"/>
    <mergeCell ref="A1079:E1079"/>
    <mergeCell ref="F1079:P1079"/>
    <mergeCell ref="B1071:E1071"/>
    <mergeCell ref="F1071:I1071"/>
    <mergeCell ref="J1071:L1071"/>
    <mergeCell ref="M1071:N1071"/>
    <mergeCell ref="O1071:P1071"/>
    <mergeCell ref="B1072:E1072"/>
    <mergeCell ref="F1072:I1072"/>
    <mergeCell ref="J1072:L1072"/>
    <mergeCell ref="O1076:P1076"/>
    <mergeCell ref="B1077:E1077"/>
    <mergeCell ref="F1077:I1077"/>
    <mergeCell ref="J1077:L1077"/>
    <mergeCell ref="M1077:N1077"/>
    <mergeCell ref="O1077:P1077"/>
    <mergeCell ref="M1072:N1072"/>
    <mergeCell ref="O1072:P1072"/>
    <mergeCell ref="B1073:E1073"/>
    <mergeCell ref="F1073:I1073"/>
    <mergeCell ref="J1073:L1073"/>
    <mergeCell ref="M1073:N1073"/>
    <mergeCell ref="O1073:P1073"/>
    <mergeCell ref="B1070:E1070"/>
    <mergeCell ref="F1070:I1070"/>
    <mergeCell ref="J1070:L1070"/>
    <mergeCell ref="M1070:N1070"/>
    <mergeCell ref="O1070:P1070"/>
    <mergeCell ref="F1091:P1091"/>
    <mergeCell ref="B1075:E1075"/>
    <mergeCell ref="F1075:I1075"/>
    <mergeCell ref="J1075:L1075"/>
    <mergeCell ref="M1075:N1075"/>
    <mergeCell ref="O1075:P1075"/>
    <mergeCell ref="B1076:E1076"/>
    <mergeCell ref="F1076:I1076"/>
    <mergeCell ref="J1076:L1076"/>
    <mergeCell ref="M1076:N1076"/>
    <mergeCell ref="A1087:E1087"/>
    <mergeCell ref="F1087:I1087"/>
    <mergeCell ref="F1088:I1088"/>
    <mergeCell ref="K1087:P1087"/>
    <mergeCell ref="K1088:P1088"/>
    <mergeCell ref="A1090:E1090"/>
    <mergeCell ref="B1074:E1074"/>
    <mergeCell ref="F1074:I1074"/>
    <mergeCell ref="J1074:L1074"/>
    <mergeCell ref="M1074:N1074"/>
    <mergeCell ref="O1074:P1074"/>
    <mergeCell ref="F1090:P1090"/>
    <mergeCell ref="A1081:E1081"/>
    <mergeCell ref="F1081:P1081"/>
    <mergeCell ref="F1082:P1082"/>
    <mergeCell ref="A1084:E1084"/>
    <mergeCell ref="F1084:P1084"/>
    <mergeCell ref="B1068:E1068"/>
    <mergeCell ref="F1068:I1068"/>
    <mergeCell ref="J1068:L1068"/>
    <mergeCell ref="M1068:N1068"/>
    <mergeCell ref="O1068:P1068"/>
    <mergeCell ref="B1069:E1069"/>
    <mergeCell ref="F1069:I1069"/>
    <mergeCell ref="J1069:L1069"/>
    <mergeCell ref="M1069:N1069"/>
    <mergeCell ref="O1069:P1069"/>
    <mergeCell ref="B1066:E1066"/>
    <mergeCell ref="F1066:I1066"/>
    <mergeCell ref="J1066:L1066"/>
    <mergeCell ref="M1066:N1066"/>
    <mergeCell ref="O1066:P1066"/>
    <mergeCell ref="B1067:E1067"/>
    <mergeCell ref="F1067:I1067"/>
    <mergeCell ref="J1067:L1067"/>
    <mergeCell ref="M1067:N1067"/>
    <mergeCell ref="O1067:P1067"/>
    <mergeCell ref="B1064:E1064"/>
    <mergeCell ref="F1064:I1064"/>
    <mergeCell ref="J1064:L1064"/>
    <mergeCell ref="M1064:N1064"/>
    <mergeCell ref="O1064:P1064"/>
    <mergeCell ref="B1065:E1065"/>
    <mergeCell ref="F1065:I1065"/>
    <mergeCell ref="J1065:L1065"/>
    <mergeCell ref="M1065:N1065"/>
    <mergeCell ref="O1065:P1065"/>
    <mergeCell ref="B1062:E1062"/>
    <mergeCell ref="F1062:I1062"/>
    <mergeCell ref="J1062:L1062"/>
    <mergeCell ref="M1062:N1062"/>
    <mergeCell ref="O1062:P1062"/>
    <mergeCell ref="B1063:E1063"/>
    <mergeCell ref="F1063:I1063"/>
    <mergeCell ref="J1063:L1063"/>
    <mergeCell ref="M1063:N1063"/>
    <mergeCell ref="O1063:P1063"/>
    <mergeCell ref="B1060:E1060"/>
    <mergeCell ref="F1060:I1060"/>
    <mergeCell ref="J1060:L1060"/>
    <mergeCell ref="M1060:N1060"/>
    <mergeCell ref="O1060:P1060"/>
    <mergeCell ref="B1061:E1061"/>
    <mergeCell ref="F1061:I1061"/>
    <mergeCell ref="J1061:L1061"/>
    <mergeCell ref="M1061:N1061"/>
    <mergeCell ref="O1061:P1061"/>
    <mergeCell ref="B1058:E1058"/>
    <mergeCell ref="F1058:I1058"/>
    <mergeCell ref="J1058:L1058"/>
    <mergeCell ref="M1058:N1058"/>
    <mergeCell ref="O1058:P1058"/>
    <mergeCell ref="B1059:E1059"/>
    <mergeCell ref="F1059:I1059"/>
    <mergeCell ref="J1059:L1059"/>
    <mergeCell ref="M1059:N1059"/>
    <mergeCell ref="O1059:P1059"/>
    <mergeCell ref="B1056:E1056"/>
    <mergeCell ref="F1056:I1056"/>
    <mergeCell ref="J1056:L1056"/>
    <mergeCell ref="M1056:N1056"/>
    <mergeCell ref="O1056:P1056"/>
    <mergeCell ref="B1057:E1057"/>
    <mergeCell ref="F1057:I1057"/>
    <mergeCell ref="J1057:L1057"/>
    <mergeCell ref="M1057:N1057"/>
    <mergeCell ref="O1057:P1057"/>
    <mergeCell ref="B1054:E1054"/>
    <mergeCell ref="F1054:I1054"/>
    <mergeCell ref="J1054:L1054"/>
    <mergeCell ref="M1054:N1054"/>
    <mergeCell ref="O1054:P1054"/>
    <mergeCell ref="B1055:E1055"/>
    <mergeCell ref="F1055:I1055"/>
    <mergeCell ref="J1055:L1055"/>
    <mergeCell ref="M1055:N1055"/>
    <mergeCell ref="O1055:P1055"/>
    <mergeCell ref="B1052:E1052"/>
    <mergeCell ref="F1052:I1052"/>
    <mergeCell ref="J1052:L1052"/>
    <mergeCell ref="M1052:N1052"/>
    <mergeCell ref="O1052:P1052"/>
    <mergeCell ref="B1053:E1053"/>
    <mergeCell ref="F1053:I1053"/>
    <mergeCell ref="J1053:L1053"/>
    <mergeCell ref="M1053:N1053"/>
    <mergeCell ref="O1053:P1053"/>
    <mergeCell ref="B1050:E1050"/>
    <mergeCell ref="F1050:I1050"/>
    <mergeCell ref="J1050:L1050"/>
    <mergeCell ref="M1050:N1050"/>
    <mergeCell ref="O1050:P1050"/>
    <mergeCell ref="B1051:E1051"/>
    <mergeCell ref="F1051:I1051"/>
    <mergeCell ref="J1051:L1051"/>
    <mergeCell ref="M1051:N1051"/>
    <mergeCell ref="O1051:P1051"/>
    <mergeCell ref="B1048:E1048"/>
    <mergeCell ref="F1048:I1048"/>
    <mergeCell ref="J1048:L1048"/>
    <mergeCell ref="M1048:N1048"/>
    <mergeCell ref="O1048:P1048"/>
    <mergeCell ref="B1049:E1049"/>
    <mergeCell ref="F1049:I1049"/>
    <mergeCell ref="J1049:L1049"/>
    <mergeCell ref="M1049:N1049"/>
    <mergeCell ref="O1049:P1049"/>
    <mergeCell ref="B1046:E1046"/>
    <mergeCell ref="F1046:I1046"/>
    <mergeCell ref="J1046:L1046"/>
    <mergeCell ref="M1046:N1046"/>
    <mergeCell ref="O1046:P1046"/>
    <mergeCell ref="B1047:E1047"/>
    <mergeCell ref="F1047:I1047"/>
    <mergeCell ref="J1047:L1047"/>
    <mergeCell ref="M1047:N1047"/>
    <mergeCell ref="O1047:P1047"/>
    <mergeCell ref="B1044:E1044"/>
    <mergeCell ref="F1044:I1044"/>
    <mergeCell ref="J1044:L1044"/>
    <mergeCell ref="M1044:N1044"/>
    <mergeCell ref="O1044:P1044"/>
    <mergeCell ref="B1045:E1045"/>
    <mergeCell ref="F1045:I1045"/>
    <mergeCell ref="J1045:L1045"/>
    <mergeCell ref="M1045:N1045"/>
    <mergeCell ref="O1045:P1045"/>
    <mergeCell ref="B1042:E1042"/>
    <mergeCell ref="F1042:I1042"/>
    <mergeCell ref="J1042:L1042"/>
    <mergeCell ref="M1042:N1042"/>
    <mergeCell ref="O1042:P1042"/>
    <mergeCell ref="B1043:E1043"/>
    <mergeCell ref="F1043:I1043"/>
    <mergeCell ref="J1043:L1043"/>
    <mergeCell ref="M1043:N1043"/>
    <mergeCell ref="O1043:P1043"/>
    <mergeCell ref="B1040:E1040"/>
    <mergeCell ref="F1040:I1040"/>
    <mergeCell ref="J1040:L1040"/>
    <mergeCell ref="M1040:N1040"/>
    <mergeCell ref="O1040:P1040"/>
    <mergeCell ref="B1041:E1041"/>
    <mergeCell ref="F1041:I1041"/>
    <mergeCell ref="J1041:L1041"/>
    <mergeCell ref="M1041:N1041"/>
    <mergeCell ref="O1041:P1041"/>
    <mergeCell ref="B1038:E1038"/>
    <mergeCell ref="F1038:I1038"/>
    <mergeCell ref="J1038:L1038"/>
    <mergeCell ref="M1038:N1038"/>
    <mergeCell ref="O1038:P1038"/>
    <mergeCell ref="B1039:E1039"/>
    <mergeCell ref="F1039:I1039"/>
    <mergeCell ref="J1039:L1039"/>
    <mergeCell ref="M1039:N1039"/>
    <mergeCell ref="O1039:P1039"/>
    <mergeCell ref="B1036:E1036"/>
    <mergeCell ref="F1036:I1036"/>
    <mergeCell ref="J1036:L1036"/>
    <mergeCell ref="M1036:N1036"/>
    <mergeCell ref="O1036:P1036"/>
    <mergeCell ref="B1037:E1037"/>
    <mergeCell ref="F1037:I1037"/>
    <mergeCell ref="J1037:L1037"/>
    <mergeCell ref="M1037:N1037"/>
    <mergeCell ref="O1037:P1037"/>
    <mergeCell ref="B1034:E1034"/>
    <mergeCell ref="F1034:I1034"/>
    <mergeCell ref="J1034:L1034"/>
    <mergeCell ref="M1034:N1034"/>
    <mergeCell ref="O1034:P1034"/>
    <mergeCell ref="B1035:E1035"/>
    <mergeCell ref="F1035:I1035"/>
    <mergeCell ref="J1035:L1035"/>
    <mergeCell ref="M1035:N1035"/>
    <mergeCell ref="O1035:P1035"/>
    <mergeCell ref="B1032:E1032"/>
    <mergeCell ref="F1032:I1032"/>
    <mergeCell ref="J1032:L1032"/>
    <mergeCell ref="M1032:N1032"/>
    <mergeCell ref="O1032:P1032"/>
    <mergeCell ref="B1033:E1033"/>
    <mergeCell ref="F1033:I1033"/>
    <mergeCell ref="J1033:L1033"/>
    <mergeCell ref="M1033:N1033"/>
    <mergeCell ref="O1033:P1033"/>
    <mergeCell ref="B1030:E1030"/>
    <mergeCell ref="F1030:I1030"/>
    <mergeCell ref="J1030:L1030"/>
    <mergeCell ref="M1030:N1030"/>
    <mergeCell ref="O1030:P1030"/>
    <mergeCell ref="B1031:E1031"/>
    <mergeCell ref="F1031:I1031"/>
    <mergeCell ref="J1031:L1031"/>
    <mergeCell ref="M1031:N1031"/>
    <mergeCell ref="O1031:P1031"/>
    <mergeCell ref="B1028:E1028"/>
    <mergeCell ref="F1028:I1028"/>
    <mergeCell ref="J1028:L1028"/>
    <mergeCell ref="M1028:N1028"/>
    <mergeCell ref="O1028:P1028"/>
    <mergeCell ref="B1029:E1029"/>
    <mergeCell ref="F1029:I1029"/>
    <mergeCell ref="J1029:L1029"/>
    <mergeCell ref="M1029:N1029"/>
    <mergeCell ref="O1029:P1029"/>
    <mergeCell ref="B1026:E1026"/>
    <mergeCell ref="F1026:I1026"/>
    <mergeCell ref="J1026:L1026"/>
    <mergeCell ref="M1026:N1026"/>
    <mergeCell ref="O1026:P1026"/>
    <mergeCell ref="B1027:E1027"/>
    <mergeCell ref="F1027:I1027"/>
    <mergeCell ref="J1027:L1027"/>
    <mergeCell ref="M1027:N1027"/>
    <mergeCell ref="O1027:P1027"/>
    <mergeCell ref="B1024:E1024"/>
    <mergeCell ref="F1024:I1024"/>
    <mergeCell ref="J1024:L1024"/>
    <mergeCell ref="M1024:N1024"/>
    <mergeCell ref="O1024:P1024"/>
    <mergeCell ref="B1025:E1025"/>
    <mergeCell ref="F1025:I1025"/>
    <mergeCell ref="J1025:L1025"/>
    <mergeCell ref="M1025:N1025"/>
    <mergeCell ref="O1025:P1025"/>
    <mergeCell ref="B1022:E1022"/>
    <mergeCell ref="F1022:I1022"/>
    <mergeCell ref="J1022:L1022"/>
    <mergeCell ref="M1022:N1022"/>
    <mergeCell ref="O1022:P1022"/>
    <mergeCell ref="B1023:E1023"/>
    <mergeCell ref="F1023:I1023"/>
    <mergeCell ref="J1023:L1023"/>
    <mergeCell ref="M1023:N1023"/>
    <mergeCell ref="O1023:P1023"/>
    <mergeCell ref="B1020:E1020"/>
    <mergeCell ref="F1020:I1020"/>
    <mergeCell ref="J1020:L1020"/>
    <mergeCell ref="M1020:N1020"/>
    <mergeCell ref="O1020:P1020"/>
    <mergeCell ref="B1021:E1021"/>
    <mergeCell ref="F1021:I1021"/>
    <mergeCell ref="J1021:L1021"/>
    <mergeCell ref="M1021:N1021"/>
    <mergeCell ref="O1021:P1021"/>
    <mergeCell ref="B1018:E1018"/>
    <mergeCell ref="F1018:I1018"/>
    <mergeCell ref="J1018:L1018"/>
    <mergeCell ref="M1018:N1018"/>
    <mergeCell ref="O1018:P1018"/>
    <mergeCell ref="B1019:E1019"/>
    <mergeCell ref="F1019:I1019"/>
    <mergeCell ref="J1019:L1019"/>
    <mergeCell ref="M1019:N1019"/>
    <mergeCell ref="O1019:P1019"/>
    <mergeCell ref="B1016:E1016"/>
    <mergeCell ref="F1016:I1016"/>
    <mergeCell ref="J1016:L1016"/>
    <mergeCell ref="M1016:N1016"/>
    <mergeCell ref="O1016:P1016"/>
    <mergeCell ref="B1017:E1017"/>
    <mergeCell ref="F1017:I1017"/>
    <mergeCell ref="J1017:L1017"/>
    <mergeCell ref="M1017:N1017"/>
    <mergeCell ref="O1017:P1017"/>
    <mergeCell ref="B1014:E1014"/>
    <mergeCell ref="F1014:I1014"/>
    <mergeCell ref="J1014:L1014"/>
    <mergeCell ref="M1014:N1014"/>
    <mergeCell ref="O1014:P1014"/>
    <mergeCell ref="B1015:E1015"/>
    <mergeCell ref="F1015:I1015"/>
    <mergeCell ref="J1015:L1015"/>
    <mergeCell ref="M1015:N1015"/>
    <mergeCell ref="O1015:P1015"/>
    <mergeCell ref="B1012:E1012"/>
    <mergeCell ref="F1012:I1012"/>
    <mergeCell ref="J1012:L1012"/>
    <mergeCell ref="M1012:N1012"/>
    <mergeCell ref="O1012:P1012"/>
    <mergeCell ref="B1013:E1013"/>
    <mergeCell ref="F1013:I1013"/>
    <mergeCell ref="J1013:L1013"/>
    <mergeCell ref="M1013:N1013"/>
    <mergeCell ref="O1013:P1013"/>
    <mergeCell ref="B1010:E1010"/>
    <mergeCell ref="F1010:I1010"/>
    <mergeCell ref="J1010:L1010"/>
    <mergeCell ref="M1010:N1010"/>
    <mergeCell ref="O1010:P1010"/>
    <mergeCell ref="B1011:E1011"/>
    <mergeCell ref="F1011:I1011"/>
    <mergeCell ref="J1011:L1011"/>
    <mergeCell ref="M1011:N1011"/>
    <mergeCell ref="O1011:P1011"/>
    <mergeCell ref="B1008:E1008"/>
    <mergeCell ref="F1008:I1008"/>
    <mergeCell ref="J1008:L1008"/>
    <mergeCell ref="M1008:N1008"/>
    <mergeCell ref="O1008:P1008"/>
    <mergeCell ref="B1009:E1009"/>
    <mergeCell ref="F1009:I1009"/>
    <mergeCell ref="J1009:L1009"/>
    <mergeCell ref="M1009:N1009"/>
    <mergeCell ref="O1009:P1009"/>
    <mergeCell ref="B1006:E1006"/>
    <mergeCell ref="F1006:I1006"/>
    <mergeCell ref="J1006:L1006"/>
    <mergeCell ref="M1006:N1006"/>
    <mergeCell ref="O1006:P1006"/>
    <mergeCell ref="B1007:E1007"/>
    <mergeCell ref="F1007:I1007"/>
    <mergeCell ref="J1007:L1007"/>
    <mergeCell ref="M1007:N1007"/>
    <mergeCell ref="O1007:P1007"/>
    <mergeCell ref="B1004:E1004"/>
    <mergeCell ref="F1004:I1004"/>
    <mergeCell ref="J1004:L1004"/>
    <mergeCell ref="M1004:N1004"/>
    <mergeCell ref="O1004:P1004"/>
    <mergeCell ref="B1005:E1005"/>
    <mergeCell ref="F1005:I1005"/>
    <mergeCell ref="J1005:L1005"/>
    <mergeCell ref="M1005:N1005"/>
    <mergeCell ref="O1005:P1005"/>
    <mergeCell ref="B1002:E1002"/>
    <mergeCell ref="F1002:I1002"/>
    <mergeCell ref="J1002:L1002"/>
    <mergeCell ref="M1002:N1002"/>
    <mergeCell ref="O1002:P1002"/>
    <mergeCell ref="B1003:E1003"/>
    <mergeCell ref="F1003:I1003"/>
    <mergeCell ref="J1003:L1003"/>
    <mergeCell ref="M1003:N1003"/>
    <mergeCell ref="O1003:P1003"/>
    <mergeCell ref="B1000:E1000"/>
    <mergeCell ref="F1000:I1000"/>
    <mergeCell ref="J1000:L1000"/>
    <mergeCell ref="M1000:N1000"/>
    <mergeCell ref="O1000:P1000"/>
    <mergeCell ref="B1001:E1001"/>
    <mergeCell ref="F1001:I1001"/>
    <mergeCell ref="J1001:L1001"/>
    <mergeCell ref="M1001:N1001"/>
    <mergeCell ref="O1001:P1001"/>
    <mergeCell ref="B998:E998"/>
    <mergeCell ref="F998:I998"/>
    <mergeCell ref="J998:L998"/>
    <mergeCell ref="M998:N998"/>
    <mergeCell ref="O998:P998"/>
    <mergeCell ref="B999:E999"/>
    <mergeCell ref="F999:I999"/>
    <mergeCell ref="J999:L999"/>
    <mergeCell ref="M999:N999"/>
    <mergeCell ref="O999:P999"/>
    <mergeCell ref="B996:E996"/>
    <mergeCell ref="F996:I996"/>
    <mergeCell ref="J996:L996"/>
    <mergeCell ref="M996:N996"/>
    <mergeCell ref="O996:P996"/>
    <mergeCell ref="B997:E997"/>
    <mergeCell ref="F997:I997"/>
    <mergeCell ref="J997:L997"/>
    <mergeCell ref="M997:N997"/>
    <mergeCell ref="O997:P997"/>
    <mergeCell ref="B994:E994"/>
    <mergeCell ref="F994:I994"/>
    <mergeCell ref="J994:L994"/>
    <mergeCell ref="M994:N994"/>
    <mergeCell ref="O994:P994"/>
    <mergeCell ref="B995:E995"/>
    <mergeCell ref="F995:I995"/>
    <mergeCell ref="J995:L995"/>
    <mergeCell ref="M995:N995"/>
    <mergeCell ref="O995:P995"/>
    <mergeCell ref="B992:E992"/>
    <mergeCell ref="F992:I992"/>
    <mergeCell ref="J992:L992"/>
    <mergeCell ref="M992:N992"/>
    <mergeCell ref="O992:P992"/>
    <mergeCell ref="B993:E993"/>
    <mergeCell ref="F993:I993"/>
    <mergeCell ref="J993:L993"/>
    <mergeCell ref="M993:N993"/>
    <mergeCell ref="O993:P993"/>
    <mergeCell ref="B990:E990"/>
    <mergeCell ref="F990:I990"/>
    <mergeCell ref="J990:L990"/>
    <mergeCell ref="M990:N990"/>
    <mergeCell ref="O990:P990"/>
    <mergeCell ref="B991:E991"/>
    <mergeCell ref="F991:I991"/>
    <mergeCell ref="J991:L991"/>
    <mergeCell ref="M991:N991"/>
    <mergeCell ref="O991:P991"/>
    <mergeCell ref="B988:E988"/>
    <mergeCell ref="F988:I988"/>
    <mergeCell ref="J988:L988"/>
    <mergeCell ref="M988:N988"/>
    <mergeCell ref="O988:P988"/>
    <mergeCell ref="B989:E989"/>
    <mergeCell ref="F989:I989"/>
    <mergeCell ref="J989:L989"/>
    <mergeCell ref="M989:N989"/>
    <mergeCell ref="O989:P989"/>
    <mergeCell ref="B986:E986"/>
    <mergeCell ref="F986:I986"/>
    <mergeCell ref="J986:L986"/>
    <mergeCell ref="M986:N986"/>
    <mergeCell ref="O986:P986"/>
    <mergeCell ref="B987:E987"/>
    <mergeCell ref="F987:I987"/>
    <mergeCell ref="J987:L987"/>
    <mergeCell ref="M987:N987"/>
    <mergeCell ref="O987:P987"/>
    <mergeCell ref="B984:E984"/>
    <mergeCell ref="F984:I984"/>
    <mergeCell ref="J984:L984"/>
    <mergeCell ref="M984:N984"/>
    <mergeCell ref="O984:P984"/>
    <mergeCell ref="B985:E985"/>
    <mergeCell ref="F985:I985"/>
    <mergeCell ref="J985:L985"/>
    <mergeCell ref="M985:N985"/>
    <mergeCell ref="O985:P985"/>
    <mergeCell ref="B982:E982"/>
    <mergeCell ref="F982:I982"/>
    <mergeCell ref="J982:L982"/>
    <mergeCell ref="M982:N982"/>
    <mergeCell ref="O982:P982"/>
    <mergeCell ref="B983:E983"/>
    <mergeCell ref="F983:I983"/>
    <mergeCell ref="J983:L983"/>
    <mergeCell ref="M983:N983"/>
    <mergeCell ref="O983:P983"/>
    <mergeCell ref="B980:E980"/>
    <mergeCell ref="F980:I980"/>
    <mergeCell ref="J980:L980"/>
    <mergeCell ref="M980:N980"/>
    <mergeCell ref="O980:P980"/>
    <mergeCell ref="B981:E981"/>
    <mergeCell ref="F981:I981"/>
    <mergeCell ref="J981:L981"/>
    <mergeCell ref="M981:N981"/>
    <mergeCell ref="O981:P981"/>
    <mergeCell ref="B978:E978"/>
    <mergeCell ref="F978:I978"/>
    <mergeCell ref="J978:L978"/>
    <mergeCell ref="M978:N978"/>
    <mergeCell ref="O978:P978"/>
    <mergeCell ref="B979:E979"/>
    <mergeCell ref="F979:I979"/>
    <mergeCell ref="J979:L979"/>
    <mergeCell ref="M979:N979"/>
    <mergeCell ref="O979:P979"/>
    <mergeCell ref="B976:E976"/>
    <mergeCell ref="F976:I976"/>
    <mergeCell ref="J976:L976"/>
    <mergeCell ref="M976:N976"/>
    <mergeCell ref="O976:P976"/>
    <mergeCell ref="B977:E977"/>
    <mergeCell ref="F977:I977"/>
    <mergeCell ref="J977:L977"/>
    <mergeCell ref="M977:N977"/>
    <mergeCell ref="O977:P977"/>
    <mergeCell ref="B974:E974"/>
    <mergeCell ref="F974:I974"/>
    <mergeCell ref="J974:L974"/>
    <mergeCell ref="M974:N974"/>
    <mergeCell ref="O974:P974"/>
    <mergeCell ref="B975:E975"/>
    <mergeCell ref="F975:I975"/>
    <mergeCell ref="J975:L975"/>
    <mergeCell ref="M975:N975"/>
    <mergeCell ref="O975:P975"/>
    <mergeCell ref="B972:E972"/>
    <mergeCell ref="F972:I972"/>
    <mergeCell ref="J972:L972"/>
    <mergeCell ref="M972:N972"/>
    <mergeCell ref="O972:P972"/>
    <mergeCell ref="B973:E973"/>
    <mergeCell ref="F973:I973"/>
    <mergeCell ref="J973:L973"/>
    <mergeCell ref="M973:N973"/>
    <mergeCell ref="O973:P973"/>
    <mergeCell ref="B970:E970"/>
    <mergeCell ref="F970:I970"/>
    <mergeCell ref="J970:L970"/>
    <mergeCell ref="M970:N970"/>
    <mergeCell ref="O970:P970"/>
    <mergeCell ref="B971:E971"/>
    <mergeCell ref="F971:I971"/>
    <mergeCell ref="J971:L971"/>
    <mergeCell ref="M971:N971"/>
    <mergeCell ref="O971:P971"/>
    <mergeCell ref="B968:E968"/>
    <mergeCell ref="F968:I968"/>
    <mergeCell ref="J968:L968"/>
    <mergeCell ref="M968:N968"/>
    <mergeCell ref="O968:P968"/>
    <mergeCell ref="B969:E969"/>
    <mergeCell ref="F969:I969"/>
    <mergeCell ref="J969:L969"/>
    <mergeCell ref="M969:N969"/>
    <mergeCell ref="O969:P969"/>
    <mergeCell ref="B966:E966"/>
    <mergeCell ref="F966:I966"/>
    <mergeCell ref="J966:L966"/>
    <mergeCell ref="M966:N966"/>
    <mergeCell ref="O966:P966"/>
    <mergeCell ref="B967:E967"/>
    <mergeCell ref="F967:I967"/>
    <mergeCell ref="J967:L967"/>
    <mergeCell ref="M967:N967"/>
    <mergeCell ref="O967:P967"/>
    <mergeCell ref="B964:E964"/>
    <mergeCell ref="F964:I964"/>
    <mergeCell ref="J964:L964"/>
    <mergeCell ref="M964:N964"/>
    <mergeCell ref="O964:P964"/>
    <mergeCell ref="B965:E965"/>
    <mergeCell ref="F965:I965"/>
    <mergeCell ref="J965:L965"/>
    <mergeCell ref="M965:N965"/>
    <mergeCell ref="O965:P965"/>
    <mergeCell ref="B962:E962"/>
    <mergeCell ref="F962:I962"/>
    <mergeCell ref="J962:L962"/>
    <mergeCell ref="M962:N962"/>
    <mergeCell ref="O962:P962"/>
    <mergeCell ref="B963:E963"/>
    <mergeCell ref="F963:I963"/>
    <mergeCell ref="J963:L963"/>
    <mergeCell ref="M963:N963"/>
    <mergeCell ref="O963:P963"/>
    <mergeCell ref="B960:E960"/>
    <mergeCell ref="F960:I960"/>
    <mergeCell ref="J960:L960"/>
    <mergeCell ref="M960:N960"/>
    <mergeCell ref="O960:P960"/>
    <mergeCell ref="B961:E961"/>
    <mergeCell ref="F961:I961"/>
    <mergeCell ref="J961:L961"/>
    <mergeCell ref="M961:N961"/>
    <mergeCell ref="O961:P961"/>
    <mergeCell ref="B958:E958"/>
    <mergeCell ref="F958:I958"/>
    <mergeCell ref="J958:L958"/>
    <mergeCell ref="M958:N958"/>
    <mergeCell ref="O958:P958"/>
    <mergeCell ref="B959:E959"/>
    <mergeCell ref="F959:I959"/>
    <mergeCell ref="J959:L959"/>
    <mergeCell ref="M959:N959"/>
    <mergeCell ref="O959:P959"/>
    <mergeCell ref="B956:E956"/>
    <mergeCell ref="F956:I956"/>
    <mergeCell ref="J956:L956"/>
    <mergeCell ref="M956:N956"/>
    <mergeCell ref="O956:P956"/>
    <mergeCell ref="B957:E957"/>
    <mergeCell ref="F957:I957"/>
    <mergeCell ref="J957:L957"/>
    <mergeCell ref="M957:N957"/>
    <mergeCell ref="O957:P957"/>
    <mergeCell ref="B954:E954"/>
    <mergeCell ref="F954:I954"/>
    <mergeCell ref="J954:L954"/>
    <mergeCell ref="M954:N954"/>
    <mergeCell ref="O954:P954"/>
    <mergeCell ref="B955:E955"/>
    <mergeCell ref="F955:I955"/>
    <mergeCell ref="J955:L955"/>
    <mergeCell ref="M955:N955"/>
    <mergeCell ref="O955:P955"/>
    <mergeCell ref="B952:E952"/>
    <mergeCell ref="F952:I952"/>
    <mergeCell ref="J952:L952"/>
    <mergeCell ref="M952:N952"/>
    <mergeCell ref="O952:P952"/>
    <mergeCell ref="B953:E953"/>
    <mergeCell ref="F953:I953"/>
    <mergeCell ref="J953:L953"/>
    <mergeCell ref="M953:N953"/>
    <mergeCell ref="O953:P953"/>
    <mergeCell ref="B950:E950"/>
    <mergeCell ref="F950:I950"/>
    <mergeCell ref="J950:L950"/>
    <mergeCell ref="M950:N950"/>
    <mergeCell ref="O950:P950"/>
    <mergeCell ref="B951:E951"/>
    <mergeCell ref="F951:I951"/>
    <mergeCell ref="J951:L951"/>
    <mergeCell ref="M951:N951"/>
    <mergeCell ref="O951:P951"/>
    <mergeCell ref="B948:E948"/>
    <mergeCell ref="F948:I948"/>
    <mergeCell ref="J948:L948"/>
    <mergeCell ref="M948:N948"/>
    <mergeCell ref="O948:P948"/>
    <mergeCell ref="B949:E949"/>
    <mergeCell ref="F949:I949"/>
    <mergeCell ref="J949:L949"/>
    <mergeCell ref="M949:N949"/>
    <mergeCell ref="O949:P949"/>
    <mergeCell ref="B946:E946"/>
    <mergeCell ref="F946:I946"/>
    <mergeCell ref="J946:L946"/>
    <mergeCell ref="M946:N946"/>
    <mergeCell ref="O946:P946"/>
    <mergeCell ref="B947:E947"/>
    <mergeCell ref="F947:I947"/>
    <mergeCell ref="J947:L947"/>
    <mergeCell ref="M947:N947"/>
    <mergeCell ref="O947:P947"/>
    <mergeCell ref="B944:E944"/>
    <mergeCell ref="F944:I944"/>
    <mergeCell ref="J944:L944"/>
    <mergeCell ref="M944:N944"/>
    <mergeCell ref="O944:P944"/>
    <mergeCell ref="B945:E945"/>
    <mergeCell ref="F945:I945"/>
    <mergeCell ref="J945:L945"/>
    <mergeCell ref="M945:N945"/>
    <mergeCell ref="O945:P945"/>
    <mergeCell ref="B942:E942"/>
    <mergeCell ref="F942:I942"/>
    <mergeCell ref="J942:L942"/>
    <mergeCell ref="M942:N942"/>
    <mergeCell ref="O942:P942"/>
    <mergeCell ref="B943:E943"/>
    <mergeCell ref="F943:I943"/>
    <mergeCell ref="J943:L943"/>
    <mergeCell ref="M943:N943"/>
    <mergeCell ref="O943:P943"/>
    <mergeCell ref="B940:E940"/>
    <mergeCell ref="F940:I940"/>
    <mergeCell ref="J940:L940"/>
    <mergeCell ref="M940:N940"/>
    <mergeCell ref="O940:P940"/>
    <mergeCell ref="B941:E941"/>
    <mergeCell ref="F941:I941"/>
    <mergeCell ref="J941:L941"/>
    <mergeCell ref="M941:N941"/>
    <mergeCell ref="O941:P941"/>
    <mergeCell ref="B938:E938"/>
    <mergeCell ref="F938:I938"/>
    <mergeCell ref="J938:L938"/>
    <mergeCell ref="M938:N938"/>
    <mergeCell ref="O938:P938"/>
    <mergeCell ref="B939:E939"/>
    <mergeCell ref="F939:I939"/>
    <mergeCell ref="J939:L939"/>
    <mergeCell ref="M939:N939"/>
    <mergeCell ref="O939:P939"/>
    <mergeCell ref="B936:E936"/>
    <mergeCell ref="F936:I936"/>
    <mergeCell ref="J936:L936"/>
    <mergeCell ref="M936:N936"/>
    <mergeCell ref="O936:P936"/>
    <mergeCell ref="B937:E937"/>
    <mergeCell ref="F937:I937"/>
    <mergeCell ref="J937:L937"/>
    <mergeCell ref="M937:N937"/>
    <mergeCell ref="O937:P937"/>
    <mergeCell ref="B934:E934"/>
    <mergeCell ref="F934:I934"/>
    <mergeCell ref="J934:L934"/>
    <mergeCell ref="M934:N934"/>
    <mergeCell ref="O934:P934"/>
    <mergeCell ref="B935:E935"/>
    <mergeCell ref="F935:I935"/>
    <mergeCell ref="J935:L935"/>
    <mergeCell ref="M935:N935"/>
    <mergeCell ref="O935:P935"/>
    <mergeCell ref="B932:E932"/>
    <mergeCell ref="F932:I932"/>
    <mergeCell ref="J932:L932"/>
    <mergeCell ref="M932:N932"/>
    <mergeCell ref="O932:P932"/>
    <mergeCell ref="B933:E933"/>
    <mergeCell ref="F933:I933"/>
    <mergeCell ref="J933:L933"/>
    <mergeCell ref="M933:N933"/>
    <mergeCell ref="O933:P933"/>
    <mergeCell ref="B930:E930"/>
    <mergeCell ref="F930:I930"/>
    <mergeCell ref="J930:L930"/>
    <mergeCell ref="M930:N930"/>
    <mergeCell ref="O930:P930"/>
    <mergeCell ref="B931:E931"/>
    <mergeCell ref="F931:I931"/>
    <mergeCell ref="J931:L931"/>
    <mergeCell ref="M931:N931"/>
    <mergeCell ref="O931:P931"/>
    <mergeCell ref="B928:E928"/>
    <mergeCell ref="F928:I928"/>
    <mergeCell ref="J928:L928"/>
    <mergeCell ref="M928:N928"/>
    <mergeCell ref="O928:P928"/>
    <mergeCell ref="B929:E929"/>
    <mergeCell ref="F929:I929"/>
    <mergeCell ref="J929:L929"/>
    <mergeCell ref="M929:N929"/>
    <mergeCell ref="O929:P929"/>
    <mergeCell ref="B926:E926"/>
    <mergeCell ref="F926:I926"/>
    <mergeCell ref="J926:L926"/>
    <mergeCell ref="M926:N926"/>
    <mergeCell ref="O926:P926"/>
    <mergeCell ref="B927:E927"/>
    <mergeCell ref="F927:I927"/>
    <mergeCell ref="J927:L927"/>
    <mergeCell ref="M927:N927"/>
    <mergeCell ref="O927:P927"/>
    <mergeCell ref="B924:E924"/>
    <mergeCell ref="F924:I924"/>
    <mergeCell ref="J924:L924"/>
    <mergeCell ref="M924:N924"/>
    <mergeCell ref="O924:P924"/>
    <mergeCell ref="B925:E925"/>
    <mergeCell ref="F925:I925"/>
    <mergeCell ref="J925:L925"/>
    <mergeCell ref="M925:N925"/>
    <mergeCell ref="O925:P925"/>
    <mergeCell ref="B922:E922"/>
    <mergeCell ref="F922:I922"/>
    <mergeCell ref="J922:L922"/>
    <mergeCell ref="M922:N922"/>
    <mergeCell ref="O922:P922"/>
    <mergeCell ref="B923:E923"/>
    <mergeCell ref="F923:I923"/>
    <mergeCell ref="J923:L923"/>
    <mergeCell ref="M923:N923"/>
    <mergeCell ref="O923:P923"/>
    <mergeCell ref="B920:E920"/>
    <mergeCell ref="F920:I920"/>
    <mergeCell ref="J920:L920"/>
    <mergeCell ref="M920:N920"/>
    <mergeCell ref="O920:P920"/>
    <mergeCell ref="B921:E921"/>
    <mergeCell ref="F921:I921"/>
    <mergeCell ref="J921:L921"/>
    <mergeCell ref="M921:N921"/>
    <mergeCell ref="O921:P921"/>
    <mergeCell ref="B918:E918"/>
    <mergeCell ref="F918:I918"/>
    <mergeCell ref="J918:L918"/>
    <mergeCell ref="M918:N918"/>
    <mergeCell ref="O918:P918"/>
    <mergeCell ref="B919:E919"/>
    <mergeCell ref="F919:I919"/>
    <mergeCell ref="J919:L919"/>
    <mergeCell ref="M919:N919"/>
    <mergeCell ref="O919:P919"/>
    <mergeCell ref="B916:E916"/>
    <mergeCell ref="F916:I916"/>
    <mergeCell ref="J916:L916"/>
    <mergeCell ref="M916:N916"/>
    <mergeCell ref="O916:P916"/>
    <mergeCell ref="B917:E917"/>
    <mergeCell ref="F917:I917"/>
    <mergeCell ref="J917:L917"/>
    <mergeCell ref="M917:N917"/>
    <mergeCell ref="O917:P917"/>
    <mergeCell ref="B914:E914"/>
    <mergeCell ref="F914:I914"/>
    <mergeCell ref="J914:L914"/>
    <mergeCell ref="M914:N914"/>
    <mergeCell ref="O914:P914"/>
    <mergeCell ref="B915:E915"/>
    <mergeCell ref="F915:I915"/>
    <mergeCell ref="J915:L915"/>
    <mergeCell ref="M915:N915"/>
    <mergeCell ref="O915:P915"/>
    <mergeCell ref="B912:E912"/>
    <mergeCell ref="F912:I912"/>
    <mergeCell ref="J912:L912"/>
    <mergeCell ref="M912:N912"/>
    <mergeCell ref="O912:P912"/>
    <mergeCell ref="B913:E913"/>
    <mergeCell ref="F913:I913"/>
    <mergeCell ref="J913:L913"/>
    <mergeCell ref="M913:N913"/>
    <mergeCell ref="O913:P913"/>
    <mergeCell ref="B910:E910"/>
    <mergeCell ref="F910:I910"/>
    <mergeCell ref="J910:L910"/>
    <mergeCell ref="M910:N910"/>
    <mergeCell ref="O910:P910"/>
    <mergeCell ref="B911:E911"/>
    <mergeCell ref="F911:I911"/>
    <mergeCell ref="J911:L911"/>
    <mergeCell ref="M911:N911"/>
    <mergeCell ref="O911:P911"/>
    <mergeCell ref="B908:E908"/>
    <mergeCell ref="F908:I908"/>
    <mergeCell ref="J908:L908"/>
    <mergeCell ref="M908:N908"/>
    <mergeCell ref="O908:P908"/>
    <mergeCell ref="B909:E909"/>
    <mergeCell ref="F909:I909"/>
    <mergeCell ref="J909:L909"/>
    <mergeCell ref="M909:N909"/>
    <mergeCell ref="O909:P909"/>
    <mergeCell ref="B906:E906"/>
    <mergeCell ref="F906:I906"/>
    <mergeCell ref="J906:L906"/>
    <mergeCell ref="M906:N906"/>
    <mergeCell ref="O906:P906"/>
    <mergeCell ref="B907:E907"/>
    <mergeCell ref="F907:I907"/>
    <mergeCell ref="J907:L907"/>
    <mergeCell ref="M907:N907"/>
    <mergeCell ref="O907:P907"/>
    <mergeCell ref="B904:E904"/>
    <mergeCell ref="F904:I904"/>
    <mergeCell ref="J904:L904"/>
    <mergeCell ref="M904:N904"/>
    <mergeCell ref="O904:P904"/>
    <mergeCell ref="B905:E905"/>
    <mergeCell ref="F905:I905"/>
    <mergeCell ref="J905:L905"/>
    <mergeCell ref="M905:N905"/>
    <mergeCell ref="O905:P905"/>
    <mergeCell ref="J897:L897"/>
    <mergeCell ref="M897:N897"/>
    <mergeCell ref="O897:P897"/>
    <mergeCell ref="B902:E902"/>
    <mergeCell ref="F902:I902"/>
    <mergeCell ref="J902:L902"/>
    <mergeCell ref="M902:N902"/>
    <mergeCell ref="O902:P902"/>
    <mergeCell ref="J898:L898"/>
    <mergeCell ref="M898:N898"/>
    <mergeCell ref="O898:P898"/>
    <mergeCell ref="B903:E903"/>
    <mergeCell ref="F903:I903"/>
    <mergeCell ref="J903:L903"/>
    <mergeCell ref="M903:N903"/>
    <mergeCell ref="O903:P903"/>
    <mergeCell ref="B900:E900"/>
    <mergeCell ref="F900:I900"/>
    <mergeCell ref="J900:L900"/>
    <mergeCell ref="M900:N900"/>
    <mergeCell ref="O900:P900"/>
    <mergeCell ref="B901:E901"/>
    <mergeCell ref="F901:I901"/>
    <mergeCell ref="J901:L901"/>
    <mergeCell ref="M901:N901"/>
    <mergeCell ref="O901:P901"/>
    <mergeCell ref="B886:E886"/>
    <mergeCell ref="F886:I886"/>
    <mergeCell ref="J886:L886"/>
    <mergeCell ref="M886:N886"/>
    <mergeCell ref="O886:P886"/>
    <mergeCell ref="B892:E892"/>
    <mergeCell ref="F892:I892"/>
    <mergeCell ref="J892:L892"/>
    <mergeCell ref="M892:N892"/>
    <mergeCell ref="O892:P892"/>
    <mergeCell ref="B893:E893"/>
    <mergeCell ref="F893:I893"/>
    <mergeCell ref="J893:L893"/>
    <mergeCell ref="M893:N893"/>
    <mergeCell ref="O893:P893"/>
    <mergeCell ref="B898:E898"/>
    <mergeCell ref="F898:I898"/>
    <mergeCell ref="B899:E899"/>
    <mergeCell ref="F899:I899"/>
    <mergeCell ref="J899:L899"/>
    <mergeCell ref="M899:N899"/>
    <mergeCell ref="O899:P899"/>
    <mergeCell ref="B896:E896"/>
    <mergeCell ref="F896:I896"/>
    <mergeCell ref="J896:L896"/>
    <mergeCell ref="M896:N896"/>
    <mergeCell ref="O896:P896"/>
    <mergeCell ref="B897:E897"/>
    <mergeCell ref="F897:I897"/>
    <mergeCell ref="A889:P889"/>
    <mergeCell ref="B890:E890"/>
    <mergeCell ref="F890:I890"/>
    <mergeCell ref="J890:L890"/>
    <mergeCell ref="M890:N890"/>
    <mergeCell ref="O890:P890"/>
    <mergeCell ref="B895:E895"/>
    <mergeCell ref="F895:I895"/>
    <mergeCell ref="J895:L895"/>
    <mergeCell ref="M895:N895"/>
    <mergeCell ref="O895:P895"/>
    <mergeCell ref="B887:E887"/>
    <mergeCell ref="F887:I887"/>
    <mergeCell ref="J887:L887"/>
    <mergeCell ref="M887:N887"/>
    <mergeCell ref="O887:P887"/>
    <mergeCell ref="B888:E888"/>
    <mergeCell ref="F888:I888"/>
    <mergeCell ref="J888:L888"/>
    <mergeCell ref="M888:N888"/>
    <mergeCell ref="O888:P888"/>
    <mergeCell ref="B894:E894"/>
    <mergeCell ref="F894:I894"/>
    <mergeCell ref="J894:L894"/>
    <mergeCell ref="M894:N894"/>
    <mergeCell ref="O894:P894"/>
    <mergeCell ref="B884:E884"/>
    <mergeCell ref="F884:I884"/>
    <mergeCell ref="J884:L884"/>
    <mergeCell ref="M884:N884"/>
    <mergeCell ref="O884:P884"/>
    <mergeCell ref="B885:E885"/>
    <mergeCell ref="F885:I885"/>
    <mergeCell ref="J885:L885"/>
    <mergeCell ref="M885:N885"/>
    <mergeCell ref="O885:P885"/>
    <mergeCell ref="B891:E891"/>
    <mergeCell ref="F891:I891"/>
    <mergeCell ref="J891:L891"/>
    <mergeCell ref="M891:N891"/>
    <mergeCell ref="O891:P891"/>
    <mergeCell ref="B882:E882"/>
    <mergeCell ref="F882:I882"/>
    <mergeCell ref="J882:L882"/>
    <mergeCell ref="M882:N882"/>
    <mergeCell ref="O882:P882"/>
    <mergeCell ref="B883:E883"/>
    <mergeCell ref="F883:I883"/>
    <mergeCell ref="J883:L883"/>
    <mergeCell ref="M883:N883"/>
    <mergeCell ref="O883:P883"/>
    <mergeCell ref="B880:E880"/>
    <mergeCell ref="F880:I880"/>
    <mergeCell ref="J880:L880"/>
    <mergeCell ref="M880:N880"/>
    <mergeCell ref="O880:P880"/>
    <mergeCell ref="B881:E881"/>
    <mergeCell ref="F881:I881"/>
    <mergeCell ref="J881:L881"/>
    <mergeCell ref="M881:N881"/>
    <mergeCell ref="O881:P881"/>
    <mergeCell ref="B878:E878"/>
    <mergeCell ref="F878:I878"/>
    <mergeCell ref="J878:L878"/>
    <mergeCell ref="M878:N878"/>
    <mergeCell ref="O878:P878"/>
    <mergeCell ref="B879:E879"/>
    <mergeCell ref="F879:I879"/>
    <mergeCell ref="J879:L879"/>
    <mergeCell ref="M879:N879"/>
    <mergeCell ref="O879:P879"/>
    <mergeCell ref="B876:E876"/>
    <mergeCell ref="F876:I876"/>
    <mergeCell ref="J876:L876"/>
    <mergeCell ref="M876:N876"/>
    <mergeCell ref="O876:P876"/>
    <mergeCell ref="B877:E877"/>
    <mergeCell ref="F877:I877"/>
    <mergeCell ref="J877:L877"/>
    <mergeCell ref="M877:N877"/>
    <mergeCell ref="O877:P877"/>
    <mergeCell ref="B874:E874"/>
    <mergeCell ref="F874:I874"/>
    <mergeCell ref="J874:L874"/>
    <mergeCell ref="M874:N874"/>
    <mergeCell ref="O874:P874"/>
    <mergeCell ref="B875:E875"/>
    <mergeCell ref="F875:I875"/>
    <mergeCell ref="J875:L875"/>
    <mergeCell ref="M875:N875"/>
    <mergeCell ref="O875:P875"/>
    <mergeCell ref="B872:E872"/>
    <mergeCell ref="F872:I872"/>
    <mergeCell ref="J872:L872"/>
    <mergeCell ref="M872:N872"/>
    <mergeCell ref="O872:P872"/>
    <mergeCell ref="B873:E873"/>
    <mergeCell ref="F873:I873"/>
    <mergeCell ref="J873:L873"/>
    <mergeCell ref="M873:N873"/>
    <mergeCell ref="O873:P873"/>
    <mergeCell ref="B870:E870"/>
    <mergeCell ref="F870:I870"/>
    <mergeCell ref="J870:L870"/>
    <mergeCell ref="M870:N870"/>
    <mergeCell ref="O870:P870"/>
    <mergeCell ref="B871:E871"/>
    <mergeCell ref="F871:I871"/>
    <mergeCell ref="J871:L871"/>
    <mergeCell ref="M871:N871"/>
    <mergeCell ref="O871:P871"/>
    <mergeCell ref="B868:E868"/>
    <mergeCell ref="F868:I868"/>
    <mergeCell ref="J868:L868"/>
    <mergeCell ref="M868:N868"/>
    <mergeCell ref="O868:P868"/>
    <mergeCell ref="B869:E869"/>
    <mergeCell ref="F869:I869"/>
    <mergeCell ref="J869:L869"/>
    <mergeCell ref="M869:N869"/>
    <mergeCell ref="O869:P869"/>
    <mergeCell ref="B866:E866"/>
    <mergeCell ref="F866:I866"/>
    <mergeCell ref="J866:L866"/>
    <mergeCell ref="M866:N866"/>
    <mergeCell ref="O866:P866"/>
    <mergeCell ref="B867:E867"/>
    <mergeCell ref="F867:I867"/>
    <mergeCell ref="J867:L867"/>
    <mergeCell ref="M867:N867"/>
    <mergeCell ref="O867:P867"/>
    <mergeCell ref="B864:E864"/>
    <mergeCell ref="F864:I864"/>
    <mergeCell ref="J864:L864"/>
    <mergeCell ref="M864:N864"/>
    <mergeCell ref="O864:P864"/>
    <mergeCell ref="B865:E865"/>
    <mergeCell ref="F865:I865"/>
    <mergeCell ref="J865:L865"/>
    <mergeCell ref="M865:N865"/>
    <mergeCell ref="O865:P865"/>
    <mergeCell ref="B862:E862"/>
    <mergeCell ref="F862:I862"/>
    <mergeCell ref="J862:L862"/>
    <mergeCell ref="M862:N862"/>
    <mergeCell ref="O862:P862"/>
    <mergeCell ref="B863:E863"/>
    <mergeCell ref="F863:I863"/>
    <mergeCell ref="J863:L863"/>
    <mergeCell ref="M863:N863"/>
    <mergeCell ref="O863:P863"/>
    <mergeCell ref="B860:E860"/>
    <mergeCell ref="F860:I860"/>
    <mergeCell ref="J860:L860"/>
    <mergeCell ref="M860:N860"/>
    <mergeCell ref="O860:P860"/>
    <mergeCell ref="B861:E861"/>
    <mergeCell ref="F861:I861"/>
    <mergeCell ref="J861:L861"/>
    <mergeCell ref="M861:N861"/>
    <mergeCell ref="O861:P861"/>
    <mergeCell ref="B858:E858"/>
    <mergeCell ref="F858:I858"/>
    <mergeCell ref="J858:L858"/>
    <mergeCell ref="M858:N858"/>
    <mergeCell ref="O858:P858"/>
    <mergeCell ref="B859:E859"/>
    <mergeCell ref="F859:I859"/>
    <mergeCell ref="J859:L859"/>
    <mergeCell ref="M859:N859"/>
    <mergeCell ref="O859:P859"/>
    <mergeCell ref="B856:E856"/>
    <mergeCell ref="F856:I856"/>
    <mergeCell ref="J856:L856"/>
    <mergeCell ref="M856:N856"/>
    <mergeCell ref="O856:P856"/>
    <mergeCell ref="B857:E857"/>
    <mergeCell ref="F857:I857"/>
    <mergeCell ref="J857:L857"/>
    <mergeCell ref="M857:N857"/>
    <mergeCell ref="O857:P857"/>
    <mergeCell ref="B854:E854"/>
    <mergeCell ref="F854:I854"/>
    <mergeCell ref="J854:L854"/>
    <mergeCell ref="M854:N854"/>
    <mergeCell ref="O854:P854"/>
    <mergeCell ref="B855:E855"/>
    <mergeCell ref="F855:I855"/>
    <mergeCell ref="J855:L855"/>
    <mergeCell ref="M855:N855"/>
    <mergeCell ref="O855:P855"/>
    <mergeCell ref="B852:E852"/>
    <mergeCell ref="F852:I852"/>
    <mergeCell ref="J852:L852"/>
    <mergeCell ref="M852:N852"/>
    <mergeCell ref="O852:P852"/>
    <mergeCell ref="B853:E853"/>
    <mergeCell ref="F853:I853"/>
    <mergeCell ref="J853:L853"/>
    <mergeCell ref="M853:N853"/>
    <mergeCell ref="O853:P853"/>
    <mergeCell ref="B850:E850"/>
    <mergeCell ref="F850:I850"/>
    <mergeCell ref="J850:L850"/>
    <mergeCell ref="M850:N850"/>
    <mergeCell ref="O850:P850"/>
    <mergeCell ref="B851:E851"/>
    <mergeCell ref="F851:I851"/>
    <mergeCell ref="J851:L851"/>
    <mergeCell ref="M851:N851"/>
    <mergeCell ref="O851:P851"/>
    <mergeCell ref="B848:E848"/>
    <mergeCell ref="F848:I848"/>
    <mergeCell ref="J848:L848"/>
    <mergeCell ref="M848:N848"/>
    <mergeCell ref="O848:P848"/>
    <mergeCell ref="B849:E849"/>
    <mergeCell ref="F849:I849"/>
    <mergeCell ref="J849:L849"/>
    <mergeCell ref="M849:N849"/>
    <mergeCell ref="O849:P849"/>
    <mergeCell ref="B846:E846"/>
    <mergeCell ref="F846:I846"/>
    <mergeCell ref="J846:L846"/>
    <mergeCell ref="M846:N846"/>
    <mergeCell ref="O846:P846"/>
    <mergeCell ref="B847:E847"/>
    <mergeCell ref="F847:I847"/>
    <mergeCell ref="J847:L847"/>
    <mergeCell ref="M847:N847"/>
    <mergeCell ref="O847:P847"/>
    <mergeCell ref="B844:E844"/>
    <mergeCell ref="F844:I844"/>
    <mergeCell ref="J844:L844"/>
    <mergeCell ref="M844:N844"/>
    <mergeCell ref="O844:P844"/>
    <mergeCell ref="B845:E845"/>
    <mergeCell ref="F845:I845"/>
    <mergeCell ref="J845:L845"/>
    <mergeCell ref="M845:N845"/>
    <mergeCell ref="O845:P845"/>
    <mergeCell ref="B842:E842"/>
    <mergeCell ref="F842:I842"/>
    <mergeCell ref="J842:L842"/>
    <mergeCell ref="M842:N842"/>
    <mergeCell ref="O842:P842"/>
    <mergeCell ref="B843:E843"/>
    <mergeCell ref="F843:I843"/>
    <mergeCell ref="J843:L843"/>
    <mergeCell ref="M843:N843"/>
    <mergeCell ref="O843:P843"/>
    <mergeCell ref="B840:E840"/>
    <mergeCell ref="F840:I840"/>
    <mergeCell ref="J840:L840"/>
    <mergeCell ref="M840:N840"/>
    <mergeCell ref="O840:P840"/>
    <mergeCell ref="B841:E841"/>
    <mergeCell ref="F841:I841"/>
    <mergeCell ref="J841:L841"/>
    <mergeCell ref="M841:N841"/>
    <mergeCell ref="O841:P841"/>
    <mergeCell ref="B838:E838"/>
    <mergeCell ref="F838:I838"/>
    <mergeCell ref="J838:L838"/>
    <mergeCell ref="M838:N838"/>
    <mergeCell ref="O838:P838"/>
    <mergeCell ref="B839:E839"/>
    <mergeCell ref="F839:I839"/>
    <mergeCell ref="J839:L839"/>
    <mergeCell ref="M839:N839"/>
    <mergeCell ref="O839:P839"/>
    <mergeCell ref="B836:E836"/>
    <mergeCell ref="F836:I836"/>
    <mergeCell ref="J836:L836"/>
    <mergeCell ref="M836:N836"/>
    <mergeCell ref="O836:P836"/>
    <mergeCell ref="B837:E837"/>
    <mergeCell ref="F837:I837"/>
    <mergeCell ref="J837:L837"/>
    <mergeCell ref="M837:N837"/>
    <mergeCell ref="O837:P837"/>
    <mergeCell ref="B834:E834"/>
    <mergeCell ref="F834:I834"/>
    <mergeCell ref="J834:L834"/>
    <mergeCell ref="M834:N834"/>
    <mergeCell ref="O834:P834"/>
    <mergeCell ref="B835:E835"/>
    <mergeCell ref="F835:I835"/>
    <mergeCell ref="J835:L835"/>
    <mergeCell ref="M835:N835"/>
    <mergeCell ref="O835:P835"/>
    <mergeCell ref="B832:E832"/>
    <mergeCell ref="F832:I832"/>
    <mergeCell ref="J832:L832"/>
    <mergeCell ref="M832:N832"/>
    <mergeCell ref="O832:P832"/>
    <mergeCell ref="B833:E833"/>
    <mergeCell ref="F833:I833"/>
    <mergeCell ref="J833:L833"/>
    <mergeCell ref="M833:N833"/>
    <mergeCell ref="O833:P833"/>
    <mergeCell ref="B830:E830"/>
    <mergeCell ref="F830:I830"/>
    <mergeCell ref="J830:L830"/>
    <mergeCell ref="M830:N830"/>
    <mergeCell ref="O830:P830"/>
    <mergeCell ref="B831:E831"/>
    <mergeCell ref="F831:I831"/>
    <mergeCell ref="J831:L831"/>
    <mergeCell ref="M831:N831"/>
    <mergeCell ref="O831:P831"/>
    <mergeCell ref="B828:E828"/>
    <mergeCell ref="F828:I828"/>
    <mergeCell ref="J828:L828"/>
    <mergeCell ref="M828:N828"/>
    <mergeCell ref="O828:P828"/>
    <mergeCell ref="B829:E829"/>
    <mergeCell ref="F829:I829"/>
    <mergeCell ref="J829:L829"/>
    <mergeCell ref="M829:N829"/>
    <mergeCell ref="O829:P829"/>
    <mergeCell ref="B826:E826"/>
    <mergeCell ref="F826:I826"/>
    <mergeCell ref="J826:L826"/>
    <mergeCell ref="M826:N826"/>
    <mergeCell ref="O826:P826"/>
    <mergeCell ref="B827:E827"/>
    <mergeCell ref="F827:I827"/>
    <mergeCell ref="J827:L827"/>
    <mergeCell ref="M827:N827"/>
    <mergeCell ref="O827:P827"/>
    <mergeCell ref="B824:E824"/>
    <mergeCell ref="F824:I824"/>
    <mergeCell ref="J824:L824"/>
    <mergeCell ref="M824:N824"/>
    <mergeCell ref="O824:P824"/>
    <mergeCell ref="B825:E825"/>
    <mergeCell ref="F825:I825"/>
    <mergeCell ref="J825:L825"/>
    <mergeCell ref="M825:N825"/>
    <mergeCell ref="O825:P825"/>
    <mergeCell ref="B822:E822"/>
    <mergeCell ref="F822:I822"/>
    <mergeCell ref="J822:L822"/>
    <mergeCell ref="M822:N822"/>
    <mergeCell ref="O822:P822"/>
    <mergeCell ref="B823:E823"/>
    <mergeCell ref="F823:I823"/>
    <mergeCell ref="J823:L823"/>
    <mergeCell ref="M823:N823"/>
    <mergeCell ref="O823:P823"/>
    <mergeCell ref="B820:E820"/>
    <mergeCell ref="F820:I820"/>
    <mergeCell ref="J820:L820"/>
    <mergeCell ref="M820:N820"/>
    <mergeCell ref="O820:P820"/>
    <mergeCell ref="B821:E821"/>
    <mergeCell ref="F821:I821"/>
    <mergeCell ref="J821:L821"/>
    <mergeCell ref="M821:N821"/>
    <mergeCell ref="O821:P821"/>
    <mergeCell ref="B818:E818"/>
    <mergeCell ref="F818:I818"/>
    <mergeCell ref="J818:L818"/>
    <mergeCell ref="M818:N818"/>
    <mergeCell ref="O818:P818"/>
    <mergeCell ref="B819:E819"/>
    <mergeCell ref="F819:I819"/>
    <mergeCell ref="J819:L819"/>
    <mergeCell ref="M819:N819"/>
    <mergeCell ref="O819:P819"/>
    <mergeCell ref="B816:E816"/>
    <mergeCell ref="F816:I816"/>
    <mergeCell ref="J816:L816"/>
    <mergeCell ref="M816:N816"/>
    <mergeCell ref="O816:P816"/>
    <mergeCell ref="B817:E817"/>
    <mergeCell ref="F817:I817"/>
    <mergeCell ref="J817:L817"/>
    <mergeCell ref="M817:N817"/>
    <mergeCell ref="O817:P817"/>
    <mergeCell ref="B814:E814"/>
    <mergeCell ref="F814:I814"/>
    <mergeCell ref="J814:L814"/>
    <mergeCell ref="M814:N814"/>
    <mergeCell ref="O814:P814"/>
    <mergeCell ref="B815:E815"/>
    <mergeCell ref="F815:I815"/>
    <mergeCell ref="J815:L815"/>
    <mergeCell ref="M815:N815"/>
    <mergeCell ref="O815:P815"/>
    <mergeCell ref="B812:E812"/>
    <mergeCell ref="F812:I812"/>
    <mergeCell ref="J812:L812"/>
    <mergeCell ref="M812:N812"/>
    <mergeCell ref="O812:P812"/>
    <mergeCell ref="B813:E813"/>
    <mergeCell ref="F813:I813"/>
    <mergeCell ref="J813:L813"/>
    <mergeCell ref="M813:N813"/>
    <mergeCell ref="O813:P813"/>
    <mergeCell ref="B810:E810"/>
    <mergeCell ref="F810:I810"/>
    <mergeCell ref="J810:L810"/>
    <mergeCell ref="M810:N810"/>
    <mergeCell ref="O810:P810"/>
    <mergeCell ref="B811:E811"/>
    <mergeCell ref="F811:I811"/>
    <mergeCell ref="J811:L811"/>
    <mergeCell ref="M811:N811"/>
    <mergeCell ref="O811:P811"/>
    <mergeCell ref="B808:E808"/>
    <mergeCell ref="F808:I808"/>
    <mergeCell ref="J808:L808"/>
    <mergeCell ref="M808:N808"/>
    <mergeCell ref="O808:P808"/>
    <mergeCell ref="B809:E809"/>
    <mergeCell ref="F809:I809"/>
    <mergeCell ref="J809:L809"/>
    <mergeCell ref="M809:N809"/>
    <mergeCell ref="O809:P809"/>
    <mergeCell ref="B806:E806"/>
    <mergeCell ref="F806:I806"/>
    <mergeCell ref="J806:L806"/>
    <mergeCell ref="M806:N806"/>
    <mergeCell ref="O806:P806"/>
    <mergeCell ref="B807:E807"/>
    <mergeCell ref="F807:I807"/>
    <mergeCell ref="J807:L807"/>
    <mergeCell ref="M807:N807"/>
    <mergeCell ref="O807:P807"/>
    <mergeCell ref="B804:E804"/>
    <mergeCell ref="F804:I804"/>
    <mergeCell ref="J804:L804"/>
    <mergeCell ref="M804:N804"/>
    <mergeCell ref="O804:P804"/>
    <mergeCell ref="B805:E805"/>
    <mergeCell ref="F805:I805"/>
    <mergeCell ref="J805:L805"/>
    <mergeCell ref="M805:N805"/>
    <mergeCell ref="O805:P805"/>
    <mergeCell ref="B802:E802"/>
    <mergeCell ref="F802:I802"/>
    <mergeCell ref="J802:L802"/>
    <mergeCell ref="M802:N802"/>
    <mergeCell ref="O802:P802"/>
    <mergeCell ref="B803:E803"/>
    <mergeCell ref="F803:I803"/>
    <mergeCell ref="J803:L803"/>
    <mergeCell ref="M803:N803"/>
    <mergeCell ref="O803:P803"/>
    <mergeCell ref="B800:E800"/>
    <mergeCell ref="F800:I800"/>
    <mergeCell ref="J800:L800"/>
    <mergeCell ref="M800:N800"/>
    <mergeCell ref="O800:P800"/>
    <mergeCell ref="B801:E801"/>
    <mergeCell ref="F801:I801"/>
    <mergeCell ref="J801:L801"/>
    <mergeCell ref="M801:N801"/>
    <mergeCell ref="O801:P801"/>
    <mergeCell ref="B798:E798"/>
    <mergeCell ref="F798:I798"/>
    <mergeCell ref="J798:L798"/>
    <mergeCell ref="M798:N798"/>
    <mergeCell ref="O798:P798"/>
    <mergeCell ref="B799:E799"/>
    <mergeCell ref="F799:I799"/>
    <mergeCell ref="J799:L799"/>
    <mergeCell ref="M799:N799"/>
    <mergeCell ref="O799:P799"/>
    <mergeCell ref="B796:E796"/>
    <mergeCell ref="F796:I796"/>
    <mergeCell ref="J796:L796"/>
    <mergeCell ref="M796:N796"/>
    <mergeCell ref="O796:P796"/>
    <mergeCell ref="B797:E797"/>
    <mergeCell ref="F797:I797"/>
    <mergeCell ref="J797:L797"/>
    <mergeCell ref="M797:N797"/>
    <mergeCell ref="O797:P797"/>
    <mergeCell ref="B794:E794"/>
    <mergeCell ref="F794:I794"/>
    <mergeCell ref="J794:L794"/>
    <mergeCell ref="M794:N794"/>
    <mergeCell ref="O794:P794"/>
    <mergeCell ref="B795:E795"/>
    <mergeCell ref="F795:I795"/>
    <mergeCell ref="J795:L795"/>
    <mergeCell ref="M795:N795"/>
    <mergeCell ref="O795:P795"/>
    <mergeCell ref="B792:E792"/>
    <mergeCell ref="F792:I792"/>
    <mergeCell ref="J792:L792"/>
    <mergeCell ref="M792:N792"/>
    <mergeCell ref="O792:P792"/>
    <mergeCell ref="B793:E793"/>
    <mergeCell ref="F793:I793"/>
    <mergeCell ref="J793:L793"/>
    <mergeCell ref="M793:N793"/>
    <mergeCell ref="O793:P793"/>
    <mergeCell ref="B790:E790"/>
    <mergeCell ref="F790:I790"/>
    <mergeCell ref="J790:L790"/>
    <mergeCell ref="M790:N790"/>
    <mergeCell ref="O790:P790"/>
    <mergeCell ref="B791:E791"/>
    <mergeCell ref="F791:I791"/>
    <mergeCell ref="J791:L791"/>
    <mergeCell ref="M791:N791"/>
    <mergeCell ref="O791:P791"/>
    <mergeCell ref="B788:E788"/>
    <mergeCell ref="F788:I788"/>
    <mergeCell ref="J788:L788"/>
    <mergeCell ref="M788:N788"/>
    <mergeCell ref="O788:P788"/>
    <mergeCell ref="B789:E789"/>
    <mergeCell ref="F789:I789"/>
    <mergeCell ref="J789:L789"/>
    <mergeCell ref="M789:N789"/>
    <mergeCell ref="O789:P789"/>
    <mergeCell ref="B786:E786"/>
    <mergeCell ref="F786:I786"/>
    <mergeCell ref="J786:L786"/>
    <mergeCell ref="M786:N786"/>
    <mergeCell ref="O786:P786"/>
    <mergeCell ref="B787:E787"/>
    <mergeCell ref="F787:I787"/>
    <mergeCell ref="J787:L787"/>
    <mergeCell ref="M787:N787"/>
    <mergeCell ref="O787:P787"/>
    <mergeCell ref="B784:E784"/>
    <mergeCell ref="F784:I784"/>
    <mergeCell ref="J784:L784"/>
    <mergeCell ref="M784:N784"/>
    <mergeCell ref="O784:P784"/>
    <mergeCell ref="B785:E785"/>
    <mergeCell ref="F785:I785"/>
    <mergeCell ref="J785:L785"/>
    <mergeCell ref="M785:N785"/>
    <mergeCell ref="O785:P785"/>
    <mergeCell ref="B782:E782"/>
    <mergeCell ref="F782:I782"/>
    <mergeCell ref="J782:L782"/>
    <mergeCell ref="M782:N782"/>
    <mergeCell ref="O782:P782"/>
    <mergeCell ref="B783:E783"/>
    <mergeCell ref="F783:I783"/>
    <mergeCell ref="J783:L783"/>
    <mergeCell ref="M783:N783"/>
    <mergeCell ref="O783:P783"/>
    <mergeCell ref="B780:E780"/>
    <mergeCell ref="F780:I780"/>
    <mergeCell ref="J780:L780"/>
    <mergeCell ref="M780:N780"/>
    <mergeCell ref="O780:P780"/>
    <mergeCell ref="B781:E781"/>
    <mergeCell ref="F781:I781"/>
    <mergeCell ref="J781:L781"/>
    <mergeCell ref="M781:N781"/>
    <mergeCell ref="O781:P781"/>
    <mergeCell ref="B778:E778"/>
    <mergeCell ref="F778:I778"/>
    <mergeCell ref="J778:L778"/>
    <mergeCell ref="M778:N778"/>
    <mergeCell ref="O778:P778"/>
    <mergeCell ref="B779:E779"/>
    <mergeCell ref="F779:I779"/>
    <mergeCell ref="J779:L779"/>
    <mergeCell ref="M779:N779"/>
    <mergeCell ref="O779:P779"/>
    <mergeCell ref="B776:E776"/>
    <mergeCell ref="F776:I776"/>
    <mergeCell ref="J776:L776"/>
    <mergeCell ref="M776:N776"/>
    <mergeCell ref="O776:P776"/>
    <mergeCell ref="B777:E777"/>
    <mergeCell ref="F777:I777"/>
    <mergeCell ref="J777:L777"/>
    <mergeCell ref="M777:N777"/>
    <mergeCell ref="O777:P777"/>
    <mergeCell ref="B774:E774"/>
    <mergeCell ref="F774:I774"/>
    <mergeCell ref="J774:L774"/>
    <mergeCell ref="M774:N774"/>
    <mergeCell ref="O774:P774"/>
    <mergeCell ref="B775:E775"/>
    <mergeCell ref="F775:I775"/>
    <mergeCell ref="J775:L775"/>
    <mergeCell ref="M775:N775"/>
    <mergeCell ref="O775:P775"/>
    <mergeCell ref="B772:E772"/>
    <mergeCell ref="F772:I772"/>
    <mergeCell ref="J772:L772"/>
    <mergeCell ref="M772:N772"/>
    <mergeCell ref="O772:P772"/>
    <mergeCell ref="B773:E773"/>
    <mergeCell ref="F773:I773"/>
    <mergeCell ref="J773:L773"/>
    <mergeCell ref="M773:N773"/>
    <mergeCell ref="O773:P773"/>
    <mergeCell ref="B770:E770"/>
    <mergeCell ref="F770:I770"/>
    <mergeCell ref="J770:L770"/>
    <mergeCell ref="M770:N770"/>
    <mergeCell ref="O770:P770"/>
    <mergeCell ref="B771:E771"/>
    <mergeCell ref="F771:I771"/>
    <mergeCell ref="J771:L771"/>
    <mergeCell ref="M771:N771"/>
    <mergeCell ref="O771:P771"/>
    <mergeCell ref="B768:E768"/>
    <mergeCell ref="F768:I768"/>
    <mergeCell ref="J768:L768"/>
    <mergeCell ref="M768:N768"/>
    <mergeCell ref="O768:P768"/>
    <mergeCell ref="B769:E769"/>
    <mergeCell ref="F769:I769"/>
    <mergeCell ref="J769:L769"/>
    <mergeCell ref="M769:N769"/>
    <mergeCell ref="O769:P769"/>
    <mergeCell ref="B766:E766"/>
    <mergeCell ref="F766:I766"/>
    <mergeCell ref="J766:L766"/>
    <mergeCell ref="M766:N766"/>
    <mergeCell ref="O766:P766"/>
    <mergeCell ref="B767:E767"/>
    <mergeCell ref="F767:I767"/>
    <mergeCell ref="J767:L767"/>
    <mergeCell ref="M767:N767"/>
    <mergeCell ref="O767:P767"/>
    <mergeCell ref="B764:E764"/>
    <mergeCell ref="F764:I764"/>
    <mergeCell ref="J764:L764"/>
    <mergeCell ref="M764:N764"/>
    <mergeCell ref="O764:P764"/>
    <mergeCell ref="B765:E765"/>
    <mergeCell ref="F765:I765"/>
    <mergeCell ref="J765:L765"/>
    <mergeCell ref="M765:N765"/>
    <mergeCell ref="O765:P765"/>
    <mergeCell ref="B762:E762"/>
    <mergeCell ref="F762:I762"/>
    <mergeCell ref="J762:L762"/>
    <mergeCell ref="M762:N762"/>
    <mergeCell ref="O762:P762"/>
    <mergeCell ref="B763:E763"/>
    <mergeCell ref="F763:I763"/>
    <mergeCell ref="J763:L763"/>
    <mergeCell ref="M763:N763"/>
    <mergeCell ref="O763:P763"/>
    <mergeCell ref="B760:E760"/>
    <mergeCell ref="F760:I760"/>
    <mergeCell ref="J760:L760"/>
    <mergeCell ref="M760:N760"/>
    <mergeCell ref="O760:P760"/>
    <mergeCell ref="B761:E761"/>
    <mergeCell ref="F761:I761"/>
    <mergeCell ref="J761:L761"/>
    <mergeCell ref="M761:N761"/>
    <mergeCell ref="O761:P761"/>
    <mergeCell ref="B758:E758"/>
    <mergeCell ref="F758:I758"/>
    <mergeCell ref="J758:L758"/>
    <mergeCell ref="M758:N758"/>
    <mergeCell ref="O758:P758"/>
    <mergeCell ref="B759:E759"/>
    <mergeCell ref="F759:I759"/>
    <mergeCell ref="J759:L759"/>
    <mergeCell ref="M759:N759"/>
    <mergeCell ref="O759:P759"/>
    <mergeCell ref="B756:E756"/>
    <mergeCell ref="F756:I756"/>
    <mergeCell ref="J756:L756"/>
    <mergeCell ref="M756:N756"/>
    <mergeCell ref="O756:P756"/>
    <mergeCell ref="B757:E757"/>
    <mergeCell ref="F757:I757"/>
    <mergeCell ref="J757:L757"/>
    <mergeCell ref="M757:N757"/>
    <mergeCell ref="O757:P757"/>
    <mergeCell ref="B754:E754"/>
    <mergeCell ref="F754:I754"/>
    <mergeCell ref="J754:L754"/>
    <mergeCell ref="M754:N754"/>
    <mergeCell ref="O754:P754"/>
    <mergeCell ref="B755:E755"/>
    <mergeCell ref="F755:I755"/>
    <mergeCell ref="J755:L755"/>
    <mergeCell ref="M755:N755"/>
    <mergeCell ref="O755:P755"/>
    <mergeCell ref="B752:E752"/>
    <mergeCell ref="F752:I752"/>
    <mergeCell ref="J752:L752"/>
    <mergeCell ref="M752:N752"/>
    <mergeCell ref="O752:P752"/>
    <mergeCell ref="B753:E753"/>
    <mergeCell ref="F753:I753"/>
    <mergeCell ref="J753:L753"/>
    <mergeCell ref="M753:N753"/>
    <mergeCell ref="O753:P753"/>
    <mergeCell ref="B750:E750"/>
    <mergeCell ref="F750:I750"/>
    <mergeCell ref="J750:L750"/>
    <mergeCell ref="M750:N750"/>
    <mergeCell ref="O750:P750"/>
    <mergeCell ref="B751:E751"/>
    <mergeCell ref="F751:I751"/>
    <mergeCell ref="J751:L751"/>
    <mergeCell ref="M751:N751"/>
    <mergeCell ref="O751:P751"/>
    <mergeCell ref="B748:E748"/>
    <mergeCell ref="F748:I748"/>
    <mergeCell ref="J748:L748"/>
    <mergeCell ref="M748:N748"/>
    <mergeCell ref="O748:P748"/>
    <mergeCell ref="B749:E749"/>
    <mergeCell ref="F749:I749"/>
    <mergeCell ref="J749:L749"/>
    <mergeCell ref="M749:N749"/>
    <mergeCell ref="O749:P749"/>
    <mergeCell ref="B746:E746"/>
    <mergeCell ref="F746:I746"/>
    <mergeCell ref="J746:L746"/>
    <mergeCell ref="M746:N746"/>
    <mergeCell ref="O746:P746"/>
    <mergeCell ref="B747:E747"/>
    <mergeCell ref="F747:I747"/>
    <mergeCell ref="J747:L747"/>
    <mergeCell ref="M747:N747"/>
    <mergeCell ref="O747:P747"/>
    <mergeCell ref="B744:E744"/>
    <mergeCell ref="F744:I744"/>
    <mergeCell ref="J744:L744"/>
    <mergeCell ref="M744:N744"/>
    <mergeCell ref="O744:P744"/>
    <mergeCell ref="B745:E745"/>
    <mergeCell ref="F745:I745"/>
    <mergeCell ref="J745:L745"/>
    <mergeCell ref="M745:N745"/>
    <mergeCell ref="O745:P745"/>
    <mergeCell ref="B742:E742"/>
    <mergeCell ref="F742:I742"/>
    <mergeCell ref="J742:L742"/>
    <mergeCell ref="M742:N742"/>
    <mergeCell ref="O742:P742"/>
    <mergeCell ref="B743:E743"/>
    <mergeCell ref="F743:I743"/>
    <mergeCell ref="J743:L743"/>
    <mergeCell ref="M743:N743"/>
    <mergeCell ref="O743:P743"/>
    <mergeCell ref="B740:E740"/>
    <mergeCell ref="F740:I740"/>
    <mergeCell ref="J740:L740"/>
    <mergeCell ref="M740:N740"/>
    <mergeCell ref="O740:P740"/>
    <mergeCell ref="B741:E741"/>
    <mergeCell ref="F741:I741"/>
    <mergeCell ref="J741:L741"/>
    <mergeCell ref="M741:N741"/>
    <mergeCell ref="O741:P741"/>
    <mergeCell ref="B738:E738"/>
    <mergeCell ref="F738:I738"/>
    <mergeCell ref="J738:L738"/>
    <mergeCell ref="M738:N738"/>
    <mergeCell ref="O738:P738"/>
    <mergeCell ref="B739:E739"/>
    <mergeCell ref="F739:I739"/>
    <mergeCell ref="J739:L739"/>
    <mergeCell ref="M739:N739"/>
    <mergeCell ref="O739:P739"/>
    <mergeCell ref="B736:E736"/>
    <mergeCell ref="F736:I736"/>
    <mergeCell ref="J736:L736"/>
    <mergeCell ref="M736:N736"/>
    <mergeCell ref="O736:P736"/>
    <mergeCell ref="B737:E737"/>
    <mergeCell ref="F737:I737"/>
    <mergeCell ref="J737:L737"/>
    <mergeCell ref="M737:N737"/>
    <mergeCell ref="O737:P737"/>
    <mergeCell ref="B734:E734"/>
    <mergeCell ref="F734:I734"/>
    <mergeCell ref="J734:L734"/>
    <mergeCell ref="M734:N734"/>
    <mergeCell ref="O734:P734"/>
    <mergeCell ref="B735:E735"/>
    <mergeCell ref="F735:I735"/>
    <mergeCell ref="J735:L735"/>
    <mergeCell ref="M735:N735"/>
    <mergeCell ref="O735:P735"/>
    <mergeCell ref="B732:E732"/>
    <mergeCell ref="F732:I732"/>
    <mergeCell ref="J732:L732"/>
    <mergeCell ref="M732:N732"/>
    <mergeCell ref="O732:P732"/>
    <mergeCell ref="B733:E733"/>
    <mergeCell ref="F733:I733"/>
    <mergeCell ref="J733:L733"/>
    <mergeCell ref="M733:N733"/>
    <mergeCell ref="O733:P733"/>
    <mergeCell ref="B730:E730"/>
    <mergeCell ref="F730:I730"/>
    <mergeCell ref="J730:L730"/>
    <mergeCell ref="M730:N730"/>
    <mergeCell ref="O730:P730"/>
    <mergeCell ref="B731:E731"/>
    <mergeCell ref="F731:I731"/>
    <mergeCell ref="J731:L731"/>
    <mergeCell ref="M731:N731"/>
    <mergeCell ref="O731:P731"/>
    <mergeCell ref="B728:E728"/>
    <mergeCell ref="F728:I728"/>
    <mergeCell ref="J728:L728"/>
    <mergeCell ref="M728:N728"/>
    <mergeCell ref="O728:P728"/>
    <mergeCell ref="B729:E729"/>
    <mergeCell ref="F729:I729"/>
    <mergeCell ref="J729:L729"/>
    <mergeCell ref="M729:N729"/>
    <mergeCell ref="O729:P729"/>
    <mergeCell ref="B726:E726"/>
    <mergeCell ref="F726:I726"/>
    <mergeCell ref="J726:L726"/>
    <mergeCell ref="M726:N726"/>
    <mergeCell ref="O726:P726"/>
    <mergeCell ref="B727:E727"/>
    <mergeCell ref="F727:I727"/>
    <mergeCell ref="J727:L727"/>
    <mergeCell ref="M727:N727"/>
    <mergeCell ref="O727:P727"/>
    <mergeCell ref="B724:E724"/>
    <mergeCell ref="F724:I724"/>
    <mergeCell ref="J724:L724"/>
    <mergeCell ref="M724:N724"/>
    <mergeCell ref="O724:P724"/>
    <mergeCell ref="B725:E725"/>
    <mergeCell ref="F725:I725"/>
    <mergeCell ref="J725:L725"/>
    <mergeCell ref="M725:N725"/>
    <mergeCell ref="O725:P725"/>
    <mergeCell ref="B722:E722"/>
    <mergeCell ref="F722:I722"/>
    <mergeCell ref="J722:L722"/>
    <mergeCell ref="M722:N722"/>
    <mergeCell ref="O722:P722"/>
    <mergeCell ref="B723:E723"/>
    <mergeCell ref="F723:I723"/>
    <mergeCell ref="J723:L723"/>
    <mergeCell ref="M723:N723"/>
    <mergeCell ref="O723:P723"/>
    <mergeCell ref="B720:E720"/>
    <mergeCell ref="F720:I720"/>
    <mergeCell ref="J720:L720"/>
    <mergeCell ref="M720:N720"/>
    <mergeCell ref="O720:P720"/>
    <mergeCell ref="B721:E721"/>
    <mergeCell ref="F721:I721"/>
    <mergeCell ref="J721:L721"/>
    <mergeCell ref="M721:N721"/>
    <mergeCell ref="O721:P721"/>
    <mergeCell ref="B718:E718"/>
    <mergeCell ref="F718:I718"/>
    <mergeCell ref="J718:L718"/>
    <mergeCell ref="M718:N718"/>
    <mergeCell ref="O718:P718"/>
    <mergeCell ref="B719:E719"/>
    <mergeCell ref="F719:I719"/>
    <mergeCell ref="J719:L719"/>
    <mergeCell ref="M719:N719"/>
    <mergeCell ref="O719:P719"/>
    <mergeCell ref="B716:E716"/>
    <mergeCell ref="F716:I716"/>
    <mergeCell ref="J716:L716"/>
    <mergeCell ref="M716:N716"/>
    <mergeCell ref="O716:P716"/>
    <mergeCell ref="B717:E717"/>
    <mergeCell ref="F717:I717"/>
    <mergeCell ref="J717:L717"/>
    <mergeCell ref="M717:N717"/>
    <mergeCell ref="O717:P717"/>
    <mergeCell ref="B714:E714"/>
    <mergeCell ref="F714:I714"/>
    <mergeCell ref="J714:L714"/>
    <mergeCell ref="M714:N714"/>
    <mergeCell ref="O714:P714"/>
    <mergeCell ref="B715:E715"/>
    <mergeCell ref="F715:I715"/>
    <mergeCell ref="J715:L715"/>
    <mergeCell ref="M715:N715"/>
    <mergeCell ref="O715:P715"/>
    <mergeCell ref="B712:E712"/>
    <mergeCell ref="F712:I712"/>
    <mergeCell ref="J712:L712"/>
    <mergeCell ref="M712:N712"/>
    <mergeCell ref="O712:P712"/>
    <mergeCell ref="B713:E713"/>
    <mergeCell ref="F713:I713"/>
    <mergeCell ref="J713:L713"/>
    <mergeCell ref="M713:N713"/>
    <mergeCell ref="O713:P713"/>
    <mergeCell ref="B710:E710"/>
    <mergeCell ref="F710:I710"/>
    <mergeCell ref="J710:L710"/>
    <mergeCell ref="M710:N710"/>
    <mergeCell ref="O710:P710"/>
    <mergeCell ref="B711:E711"/>
    <mergeCell ref="F711:I711"/>
    <mergeCell ref="J711:L711"/>
    <mergeCell ref="M711:N711"/>
    <mergeCell ref="O711:P711"/>
    <mergeCell ref="B708:E708"/>
    <mergeCell ref="F708:I708"/>
    <mergeCell ref="J708:L708"/>
    <mergeCell ref="M708:N708"/>
    <mergeCell ref="O708:P708"/>
    <mergeCell ref="B709:E709"/>
    <mergeCell ref="F709:I709"/>
    <mergeCell ref="J709:L709"/>
    <mergeCell ref="M709:N709"/>
    <mergeCell ref="O709:P709"/>
    <mergeCell ref="B706:E706"/>
    <mergeCell ref="F706:I706"/>
    <mergeCell ref="J706:L706"/>
    <mergeCell ref="M706:N706"/>
    <mergeCell ref="O706:P706"/>
    <mergeCell ref="B707:E707"/>
    <mergeCell ref="F707:I707"/>
    <mergeCell ref="J707:L707"/>
    <mergeCell ref="M707:N707"/>
    <mergeCell ref="O707:P707"/>
    <mergeCell ref="B704:E704"/>
    <mergeCell ref="F704:I704"/>
    <mergeCell ref="J704:L704"/>
    <mergeCell ref="M704:N704"/>
    <mergeCell ref="O704:P704"/>
    <mergeCell ref="B705:E705"/>
    <mergeCell ref="F705:I705"/>
    <mergeCell ref="J705:L705"/>
    <mergeCell ref="M705:N705"/>
    <mergeCell ref="O705:P705"/>
    <mergeCell ref="B702:E702"/>
    <mergeCell ref="F702:I702"/>
    <mergeCell ref="J702:L702"/>
    <mergeCell ref="M702:N702"/>
    <mergeCell ref="O702:P702"/>
    <mergeCell ref="B703:E703"/>
    <mergeCell ref="F703:I703"/>
    <mergeCell ref="J703:L703"/>
    <mergeCell ref="M703:N703"/>
    <mergeCell ref="O703:P703"/>
    <mergeCell ref="B700:E700"/>
    <mergeCell ref="F700:I700"/>
    <mergeCell ref="J700:L700"/>
    <mergeCell ref="M700:N700"/>
    <mergeCell ref="O700:P700"/>
    <mergeCell ref="B701:E701"/>
    <mergeCell ref="F701:I701"/>
    <mergeCell ref="J701:L701"/>
    <mergeCell ref="M701:N701"/>
    <mergeCell ref="O701:P701"/>
    <mergeCell ref="B698:E698"/>
    <mergeCell ref="F698:I698"/>
    <mergeCell ref="J698:L698"/>
    <mergeCell ref="M698:N698"/>
    <mergeCell ref="O698:P698"/>
    <mergeCell ref="B699:E699"/>
    <mergeCell ref="F699:I699"/>
    <mergeCell ref="J699:L699"/>
    <mergeCell ref="M699:N699"/>
    <mergeCell ref="O699:P699"/>
    <mergeCell ref="B696:E696"/>
    <mergeCell ref="F696:I696"/>
    <mergeCell ref="J696:L696"/>
    <mergeCell ref="M696:N696"/>
    <mergeCell ref="O696:P696"/>
    <mergeCell ref="B697:E697"/>
    <mergeCell ref="F697:I697"/>
    <mergeCell ref="J697:L697"/>
    <mergeCell ref="M697:N697"/>
    <mergeCell ref="O697:P697"/>
    <mergeCell ref="B694:E694"/>
    <mergeCell ref="F694:I694"/>
    <mergeCell ref="J694:L694"/>
    <mergeCell ref="M694:N694"/>
    <mergeCell ref="O694:P694"/>
    <mergeCell ref="B695:E695"/>
    <mergeCell ref="F695:I695"/>
    <mergeCell ref="J695:L695"/>
    <mergeCell ref="M695:N695"/>
    <mergeCell ref="O695:P695"/>
    <mergeCell ref="B692:E692"/>
    <mergeCell ref="F692:I692"/>
    <mergeCell ref="J692:L692"/>
    <mergeCell ref="M692:N692"/>
    <mergeCell ref="O692:P692"/>
    <mergeCell ref="B693:E693"/>
    <mergeCell ref="F693:I693"/>
    <mergeCell ref="J693:L693"/>
    <mergeCell ref="M693:N693"/>
    <mergeCell ref="O693:P693"/>
    <mergeCell ref="B690:E690"/>
    <mergeCell ref="F690:I690"/>
    <mergeCell ref="J690:L690"/>
    <mergeCell ref="M690:N690"/>
    <mergeCell ref="O690:P690"/>
    <mergeCell ref="B691:E691"/>
    <mergeCell ref="F691:I691"/>
    <mergeCell ref="J691:L691"/>
    <mergeCell ref="M691:N691"/>
    <mergeCell ref="O691:P691"/>
    <mergeCell ref="B688:E688"/>
    <mergeCell ref="F688:I688"/>
    <mergeCell ref="J688:L688"/>
    <mergeCell ref="M688:N688"/>
    <mergeCell ref="O688:P688"/>
    <mergeCell ref="B689:E689"/>
    <mergeCell ref="F689:I689"/>
    <mergeCell ref="J689:L689"/>
    <mergeCell ref="M689:N689"/>
    <mergeCell ref="O689:P689"/>
    <mergeCell ref="B686:E686"/>
    <mergeCell ref="F686:I686"/>
    <mergeCell ref="J686:L686"/>
    <mergeCell ref="M686:N686"/>
    <mergeCell ref="O686:P686"/>
    <mergeCell ref="B687:E687"/>
    <mergeCell ref="F687:I687"/>
    <mergeCell ref="J687:L687"/>
    <mergeCell ref="M687:N687"/>
    <mergeCell ref="O687:P687"/>
    <mergeCell ref="B684:E684"/>
    <mergeCell ref="F684:I684"/>
    <mergeCell ref="J684:L684"/>
    <mergeCell ref="M684:N684"/>
    <mergeCell ref="O684:P684"/>
    <mergeCell ref="B685:E685"/>
    <mergeCell ref="F685:I685"/>
    <mergeCell ref="J685:L685"/>
    <mergeCell ref="M685:N685"/>
    <mergeCell ref="O685:P685"/>
    <mergeCell ref="B682:E682"/>
    <mergeCell ref="F682:I682"/>
    <mergeCell ref="J682:L682"/>
    <mergeCell ref="M682:N682"/>
    <mergeCell ref="O682:P682"/>
    <mergeCell ref="B683:E683"/>
    <mergeCell ref="F683:I683"/>
    <mergeCell ref="J683:L683"/>
    <mergeCell ref="M683:N683"/>
    <mergeCell ref="O683:P683"/>
    <mergeCell ref="B680:E680"/>
    <mergeCell ref="F680:I680"/>
    <mergeCell ref="J680:L680"/>
    <mergeCell ref="M680:N680"/>
    <mergeCell ref="O680:P680"/>
    <mergeCell ref="B681:E681"/>
    <mergeCell ref="F681:I681"/>
    <mergeCell ref="J681:L681"/>
    <mergeCell ref="M681:N681"/>
    <mergeCell ref="O681:P681"/>
    <mergeCell ref="B678:E678"/>
    <mergeCell ref="F678:I678"/>
    <mergeCell ref="J678:L678"/>
    <mergeCell ref="M678:N678"/>
    <mergeCell ref="O678:P678"/>
    <mergeCell ref="B679:E679"/>
    <mergeCell ref="F679:I679"/>
    <mergeCell ref="J679:L679"/>
    <mergeCell ref="M679:N679"/>
    <mergeCell ref="O679:P679"/>
    <mergeCell ref="B676:E676"/>
    <mergeCell ref="F676:I676"/>
    <mergeCell ref="J676:L676"/>
    <mergeCell ref="M676:N676"/>
    <mergeCell ref="O676:P676"/>
    <mergeCell ref="B677:E677"/>
    <mergeCell ref="F677:I677"/>
    <mergeCell ref="J677:L677"/>
    <mergeCell ref="M677:N677"/>
    <mergeCell ref="O677:P677"/>
    <mergeCell ref="B674:E674"/>
    <mergeCell ref="F674:I674"/>
    <mergeCell ref="J674:L674"/>
    <mergeCell ref="M674:N674"/>
    <mergeCell ref="O674:P674"/>
    <mergeCell ref="B675:E675"/>
    <mergeCell ref="F675:I675"/>
    <mergeCell ref="J675:L675"/>
    <mergeCell ref="M675:N675"/>
    <mergeCell ref="O675:P675"/>
    <mergeCell ref="B672:E672"/>
    <mergeCell ref="F672:I672"/>
    <mergeCell ref="J672:L672"/>
    <mergeCell ref="M672:N672"/>
    <mergeCell ref="O672:P672"/>
    <mergeCell ref="B673:E673"/>
    <mergeCell ref="F673:I673"/>
    <mergeCell ref="J673:L673"/>
    <mergeCell ref="M673:N673"/>
    <mergeCell ref="O673:P673"/>
    <mergeCell ref="B670:E670"/>
    <mergeCell ref="F670:I670"/>
    <mergeCell ref="J670:L670"/>
    <mergeCell ref="M670:N670"/>
    <mergeCell ref="O670:P670"/>
    <mergeCell ref="B671:E671"/>
    <mergeCell ref="F671:I671"/>
    <mergeCell ref="J671:L671"/>
    <mergeCell ref="M671:N671"/>
    <mergeCell ref="O671:P671"/>
    <mergeCell ref="B668:E668"/>
    <mergeCell ref="F668:I668"/>
    <mergeCell ref="J668:L668"/>
    <mergeCell ref="M668:N668"/>
    <mergeCell ref="O668:P668"/>
    <mergeCell ref="B669:E669"/>
    <mergeCell ref="F669:I669"/>
    <mergeCell ref="J669:L669"/>
    <mergeCell ref="M669:N669"/>
    <mergeCell ref="O669:P669"/>
    <mergeCell ref="B666:E666"/>
    <mergeCell ref="F666:I666"/>
    <mergeCell ref="J666:L666"/>
    <mergeCell ref="M666:N666"/>
    <mergeCell ref="O666:P666"/>
    <mergeCell ref="B667:E667"/>
    <mergeCell ref="F667:I667"/>
    <mergeCell ref="J667:L667"/>
    <mergeCell ref="M667:N667"/>
    <mergeCell ref="O667:P667"/>
    <mergeCell ref="B664:E664"/>
    <mergeCell ref="F664:I664"/>
    <mergeCell ref="J664:L664"/>
    <mergeCell ref="M664:N664"/>
    <mergeCell ref="O664:P664"/>
    <mergeCell ref="B665:E665"/>
    <mergeCell ref="F665:I665"/>
    <mergeCell ref="J665:L665"/>
    <mergeCell ref="M665:N665"/>
    <mergeCell ref="O665:P665"/>
    <mergeCell ref="B662:E662"/>
    <mergeCell ref="F662:I662"/>
    <mergeCell ref="J662:L662"/>
    <mergeCell ref="M662:N662"/>
    <mergeCell ref="O662:P662"/>
    <mergeCell ref="B663:E663"/>
    <mergeCell ref="F663:I663"/>
    <mergeCell ref="J663:L663"/>
    <mergeCell ref="M663:N663"/>
    <mergeCell ref="O663:P663"/>
    <mergeCell ref="B660:E660"/>
    <mergeCell ref="F660:I660"/>
    <mergeCell ref="J660:L660"/>
    <mergeCell ref="M660:N660"/>
    <mergeCell ref="O660:P660"/>
    <mergeCell ref="B661:E661"/>
    <mergeCell ref="F661:I661"/>
    <mergeCell ref="J661:L661"/>
    <mergeCell ref="M661:N661"/>
    <mergeCell ref="O661:P661"/>
    <mergeCell ref="B658:E658"/>
    <mergeCell ref="F658:I658"/>
    <mergeCell ref="J658:L658"/>
    <mergeCell ref="M658:N658"/>
    <mergeCell ref="O658:P658"/>
    <mergeCell ref="B659:E659"/>
    <mergeCell ref="F659:I659"/>
    <mergeCell ref="J659:L659"/>
    <mergeCell ref="M659:N659"/>
    <mergeCell ref="O659:P659"/>
    <mergeCell ref="B656:E656"/>
    <mergeCell ref="F656:I656"/>
    <mergeCell ref="J656:L656"/>
    <mergeCell ref="M656:N656"/>
    <mergeCell ref="O656:P656"/>
    <mergeCell ref="B657:E657"/>
    <mergeCell ref="F657:I657"/>
    <mergeCell ref="J657:L657"/>
    <mergeCell ref="M657:N657"/>
    <mergeCell ref="O657:P657"/>
    <mergeCell ref="B654:E654"/>
    <mergeCell ref="F654:I654"/>
    <mergeCell ref="J654:L654"/>
    <mergeCell ref="M654:N654"/>
    <mergeCell ref="O654:P654"/>
    <mergeCell ref="B655:E655"/>
    <mergeCell ref="F655:I655"/>
    <mergeCell ref="J655:L655"/>
    <mergeCell ref="M655:N655"/>
    <mergeCell ref="O655:P655"/>
    <mergeCell ref="B652:E652"/>
    <mergeCell ref="F652:I652"/>
    <mergeCell ref="J652:L652"/>
    <mergeCell ref="M652:N652"/>
    <mergeCell ref="O652:P652"/>
    <mergeCell ref="B653:E653"/>
    <mergeCell ref="F653:I653"/>
    <mergeCell ref="J653:L653"/>
    <mergeCell ref="M653:N653"/>
    <mergeCell ref="O653:P653"/>
    <mergeCell ref="B650:E650"/>
    <mergeCell ref="F650:I650"/>
    <mergeCell ref="J650:L650"/>
    <mergeCell ref="M650:N650"/>
    <mergeCell ref="O650:P650"/>
    <mergeCell ref="B651:E651"/>
    <mergeCell ref="F651:I651"/>
    <mergeCell ref="J651:L651"/>
    <mergeCell ref="M651:N651"/>
    <mergeCell ref="O651:P651"/>
    <mergeCell ref="B648:E648"/>
    <mergeCell ref="F648:I648"/>
    <mergeCell ref="J648:L648"/>
    <mergeCell ref="M648:N648"/>
    <mergeCell ref="O648:P648"/>
    <mergeCell ref="B649:E649"/>
    <mergeCell ref="F649:I649"/>
    <mergeCell ref="J649:L649"/>
    <mergeCell ref="M649:N649"/>
    <mergeCell ref="O649:P649"/>
    <mergeCell ref="B646:E646"/>
    <mergeCell ref="F646:I646"/>
    <mergeCell ref="J646:L646"/>
    <mergeCell ref="M646:N646"/>
    <mergeCell ref="O646:P646"/>
    <mergeCell ref="B647:E647"/>
    <mergeCell ref="F647:I647"/>
    <mergeCell ref="J647:L647"/>
    <mergeCell ref="M647:N647"/>
    <mergeCell ref="O647:P647"/>
    <mergeCell ref="B644:E644"/>
    <mergeCell ref="F644:I644"/>
    <mergeCell ref="J644:L644"/>
    <mergeCell ref="M644:N644"/>
    <mergeCell ref="O644:P644"/>
    <mergeCell ref="B645:E645"/>
    <mergeCell ref="F645:I645"/>
    <mergeCell ref="J645:L645"/>
    <mergeCell ref="M645:N645"/>
    <mergeCell ref="O645:P645"/>
    <mergeCell ref="B642:E642"/>
    <mergeCell ref="F642:I642"/>
    <mergeCell ref="J642:L642"/>
    <mergeCell ref="M642:N642"/>
    <mergeCell ref="O642:P642"/>
    <mergeCell ref="B643:E643"/>
    <mergeCell ref="F643:I643"/>
    <mergeCell ref="J643:L643"/>
    <mergeCell ref="M643:N643"/>
    <mergeCell ref="O643:P643"/>
    <mergeCell ref="B640:E640"/>
    <mergeCell ref="F640:I640"/>
    <mergeCell ref="J640:L640"/>
    <mergeCell ref="M640:N640"/>
    <mergeCell ref="O640:P640"/>
    <mergeCell ref="B641:E641"/>
    <mergeCell ref="F641:I641"/>
    <mergeCell ref="J641:L641"/>
    <mergeCell ref="M641:N641"/>
    <mergeCell ref="O641:P641"/>
    <mergeCell ref="B638:E638"/>
    <mergeCell ref="F638:I638"/>
    <mergeCell ref="J638:L638"/>
    <mergeCell ref="M638:N638"/>
    <mergeCell ref="O638:P638"/>
    <mergeCell ref="B639:E639"/>
    <mergeCell ref="F639:I639"/>
    <mergeCell ref="J639:L639"/>
    <mergeCell ref="M639:N639"/>
    <mergeCell ref="O639:P639"/>
    <mergeCell ref="B636:E636"/>
    <mergeCell ref="F636:I636"/>
    <mergeCell ref="J636:L636"/>
    <mergeCell ref="M636:N636"/>
    <mergeCell ref="O636:P636"/>
    <mergeCell ref="B637:E637"/>
    <mergeCell ref="F637:I637"/>
    <mergeCell ref="J637:L637"/>
    <mergeCell ref="M637:N637"/>
    <mergeCell ref="O637:P637"/>
    <mergeCell ref="B634:E634"/>
    <mergeCell ref="F634:I634"/>
    <mergeCell ref="J634:L634"/>
    <mergeCell ref="M634:N634"/>
    <mergeCell ref="O634:P634"/>
    <mergeCell ref="B635:E635"/>
    <mergeCell ref="F635:I635"/>
    <mergeCell ref="J635:L635"/>
    <mergeCell ref="M635:N635"/>
    <mergeCell ref="O635:P635"/>
    <mergeCell ref="B632:E632"/>
    <mergeCell ref="F632:I632"/>
    <mergeCell ref="J632:L632"/>
    <mergeCell ref="M632:N632"/>
    <mergeCell ref="O632:P632"/>
    <mergeCell ref="B633:E633"/>
    <mergeCell ref="F633:I633"/>
    <mergeCell ref="J633:L633"/>
    <mergeCell ref="M633:N633"/>
    <mergeCell ref="O633:P633"/>
    <mergeCell ref="B630:E630"/>
    <mergeCell ref="F630:I630"/>
    <mergeCell ref="J630:L630"/>
    <mergeCell ref="M630:N630"/>
    <mergeCell ref="O630:P630"/>
    <mergeCell ref="B631:E631"/>
    <mergeCell ref="F631:I631"/>
    <mergeCell ref="J631:L631"/>
    <mergeCell ref="M631:N631"/>
    <mergeCell ref="O631:P631"/>
    <mergeCell ref="B628:E628"/>
    <mergeCell ref="F628:I628"/>
    <mergeCell ref="J628:L628"/>
    <mergeCell ref="M628:N628"/>
    <mergeCell ref="O628:P628"/>
    <mergeCell ref="B629:E629"/>
    <mergeCell ref="F629:I629"/>
    <mergeCell ref="J629:L629"/>
    <mergeCell ref="M629:N629"/>
    <mergeCell ref="O629:P629"/>
    <mergeCell ref="B626:E626"/>
    <mergeCell ref="F626:I626"/>
    <mergeCell ref="J626:L626"/>
    <mergeCell ref="M626:N626"/>
    <mergeCell ref="O626:P626"/>
    <mergeCell ref="B627:E627"/>
    <mergeCell ref="F627:I627"/>
    <mergeCell ref="J627:L627"/>
    <mergeCell ref="M627:N627"/>
    <mergeCell ref="O627:P627"/>
    <mergeCell ref="B624:E624"/>
    <mergeCell ref="F624:I624"/>
    <mergeCell ref="J624:L624"/>
    <mergeCell ref="M624:N624"/>
    <mergeCell ref="O624:P624"/>
    <mergeCell ref="B625:E625"/>
    <mergeCell ref="F625:I625"/>
    <mergeCell ref="J625:L625"/>
    <mergeCell ref="M625:N625"/>
    <mergeCell ref="O625:P625"/>
    <mergeCell ref="B622:E622"/>
    <mergeCell ref="F622:I622"/>
    <mergeCell ref="J622:L622"/>
    <mergeCell ref="M622:N622"/>
    <mergeCell ref="O622:P622"/>
    <mergeCell ref="B623:E623"/>
    <mergeCell ref="F623:I623"/>
    <mergeCell ref="J623:L623"/>
    <mergeCell ref="M623:N623"/>
    <mergeCell ref="O623:P623"/>
    <mergeCell ref="B620:E620"/>
    <mergeCell ref="F620:I620"/>
    <mergeCell ref="J620:L620"/>
    <mergeCell ref="M620:N620"/>
    <mergeCell ref="O620:P620"/>
    <mergeCell ref="B621:E621"/>
    <mergeCell ref="F621:I621"/>
    <mergeCell ref="J621:L621"/>
    <mergeCell ref="M621:N621"/>
    <mergeCell ref="O621:P621"/>
    <mergeCell ref="B618:E618"/>
    <mergeCell ref="F618:I618"/>
    <mergeCell ref="J618:L618"/>
    <mergeCell ref="M618:N618"/>
    <mergeCell ref="O618:P618"/>
    <mergeCell ref="B619:E619"/>
    <mergeCell ref="F619:I619"/>
    <mergeCell ref="J619:L619"/>
    <mergeCell ref="M619:N619"/>
    <mergeCell ref="O619:P619"/>
    <mergeCell ref="B616:E616"/>
    <mergeCell ref="F616:I616"/>
    <mergeCell ref="J616:L616"/>
    <mergeCell ref="M616:N616"/>
    <mergeCell ref="O616:P616"/>
    <mergeCell ref="B617:E617"/>
    <mergeCell ref="F617:I617"/>
    <mergeCell ref="J617:L617"/>
    <mergeCell ref="M617:N617"/>
    <mergeCell ref="O617:P617"/>
    <mergeCell ref="B614:E614"/>
    <mergeCell ref="F614:I614"/>
    <mergeCell ref="J614:L614"/>
    <mergeCell ref="M614:N614"/>
    <mergeCell ref="O614:P614"/>
    <mergeCell ref="B615:E615"/>
    <mergeCell ref="F615:I615"/>
    <mergeCell ref="J615:L615"/>
    <mergeCell ref="M615:N615"/>
    <mergeCell ref="O615:P615"/>
    <mergeCell ref="B612:E612"/>
    <mergeCell ref="F612:I612"/>
    <mergeCell ref="J612:L612"/>
    <mergeCell ref="M612:N612"/>
    <mergeCell ref="O612:P612"/>
    <mergeCell ref="B613:E613"/>
    <mergeCell ref="F613:I613"/>
    <mergeCell ref="J613:L613"/>
    <mergeCell ref="M613:N613"/>
    <mergeCell ref="O613:P613"/>
    <mergeCell ref="B610:E610"/>
    <mergeCell ref="F610:I610"/>
    <mergeCell ref="J610:L610"/>
    <mergeCell ref="M610:N610"/>
    <mergeCell ref="O610:P610"/>
    <mergeCell ref="B611:E611"/>
    <mergeCell ref="F611:I611"/>
    <mergeCell ref="J611:L611"/>
    <mergeCell ref="M611:N611"/>
    <mergeCell ref="O611:P611"/>
    <mergeCell ref="B608:E608"/>
    <mergeCell ref="F608:I608"/>
    <mergeCell ref="J608:L608"/>
    <mergeCell ref="M608:N608"/>
    <mergeCell ref="O608:P608"/>
    <mergeCell ref="B609:E609"/>
    <mergeCell ref="F609:I609"/>
    <mergeCell ref="J609:L609"/>
    <mergeCell ref="M609:N609"/>
    <mergeCell ref="O609:P609"/>
    <mergeCell ref="B606:E606"/>
    <mergeCell ref="F606:I606"/>
    <mergeCell ref="J606:L606"/>
    <mergeCell ref="M606:N606"/>
    <mergeCell ref="O606:P606"/>
    <mergeCell ref="B607:E607"/>
    <mergeCell ref="F607:I607"/>
    <mergeCell ref="J607:L607"/>
    <mergeCell ref="M607:N607"/>
    <mergeCell ref="O607:P607"/>
    <mergeCell ref="B604:E604"/>
    <mergeCell ref="F604:I604"/>
    <mergeCell ref="J604:L604"/>
    <mergeCell ref="M604:N604"/>
    <mergeCell ref="O604:P604"/>
    <mergeCell ref="B605:E605"/>
    <mergeCell ref="F605:I605"/>
    <mergeCell ref="J605:L605"/>
    <mergeCell ref="M605:N605"/>
    <mergeCell ref="O605:P605"/>
    <mergeCell ref="B602:E602"/>
    <mergeCell ref="F602:I602"/>
    <mergeCell ref="J602:L602"/>
    <mergeCell ref="M602:N602"/>
    <mergeCell ref="O602:P602"/>
    <mergeCell ref="B603:E603"/>
    <mergeCell ref="F603:I603"/>
    <mergeCell ref="J603:L603"/>
    <mergeCell ref="M603:N603"/>
    <mergeCell ref="O603:P603"/>
    <mergeCell ref="B600:E600"/>
    <mergeCell ref="F600:I600"/>
    <mergeCell ref="J600:L600"/>
    <mergeCell ref="M600:N600"/>
    <mergeCell ref="O600:P600"/>
    <mergeCell ref="B601:E601"/>
    <mergeCell ref="F601:I601"/>
    <mergeCell ref="J601:L601"/>
    <mergeCell ref="M601:N601"/>
    <mergeCell ref="O601:P601"/>
    <mergeCell ref="B598:E598"/>
    <mergeCell ref="F598:I598"/>
    <mergeCell ref="J598:L598"/>
    <mergeCell ref="M598:N598"/>
    <mergeCell ref="O598:P598"/>
    <mergeCell ref="B599:E599"/>
    <mergeCell ref="F599:I599"/>
    <mergeCell ref="J599:L599"/>
    <mergeCell ref="M599:N599"/>
    <mergeCell ref="O599:P599"/>
    <mergeCell ref="B596:E596"/>
    <mergeCell ref="F596:I596"/>
    <mergeCell ref="J596:L596"/>
    <mergeCell ref="M596:N596"/>
    <mergeCell ref="O596:P596"/>
    <mergeCell ref="B597:E597"/>
    <mergeCell ref="F597:I597"/>
    <mergeCell ref="J597:L597"/>
    <mergeCell ref="M597:N597"/>
    <mergeCell ref="O597:P597"/>
    <mergeCell ref="B594:E594"/>
    <mergeCell ref="F594:I594"/>
    <mergeCell ref="J594:L594"/>
    <mergeCell ref="M594:N594"/>
    <mergeCell ref="O594:P594"/>
    <mergeCell ref="B595:E595"/>
    <mergeCell ref="F595:I595"/>
    <mergeCell ref="J595:L595"/>
    <mergeCell ref="M595:N595"/>
    <mergeCell ref="O595:P595"/>
    <mergeCell ref="B592:E592"/>
    <mergeCell ref="F592:I592"/>
    <mergeCell ref="J592:L592"/>
    <mergeCell ref="M592:N592"/>
    <mergeCell ref="O592:P592"/>
    <mergeCell ref="B593:E593"/>
    <mergeCell ref="F593:I593"/>
    <mergeCell ref="J593:L593"/>
    <mergeCell ref="M593:N593"/>
    <mergeCell ref="O593:P593"/>
    <mergeCell ref="B590:E590"/>
    <mergeCell ref="F590:I590"/>
    <mergeCell ref="J590:L590"/>
    <mergeCell ref="M590:N590"/>
    <mergeCell ref="O590:P590"/>
    <mergeCell ref="B591:E591"/>
    <mergeCell ref="F591:I591"/>
    <mergeCell ref="J591:L591"/>
    <mergeCell ref="M591:N591"/>
    <mergeCell ref="O591:P591"/>
    <mergeCell ref="B588:E588"/>
    <mergeCell ref="F588:I588"/>
    <mergeCell ref="J588:L588"/>
    <mergeCell ref="M588:N588"/>
    <mergeCell ref="O588:P588"/>
    <mergeCell ref="B589:E589"/>
    <mergeCell ref="F589:I589"/>
    <mergeCell ref="J589:L589"/>
    <mergeCell ref="M589:N589"/>
    <mergeCell ref="O589:P589"/>
    <mergeCell ref="B586:E586"/>
    <mergeCell ref="F586:I586"/>
    <mergeCell ref="J586:L586"/>
    <mergeCell ref="M586:N586"/>
    <mergeCell ref="O586:P586"/>
    <mergeCell ref="B587:E587"/>
    <mergeCell ref="F587:I587"/>
    <mergeCell ref="J587:L587"/>
    <mergeCell ref="M587:N587"/>
    <mergeCell ref="O587:P587"/>
    <mergeCell ref="B584:E584"/>
    <mergeCell ref="F584:I584"/>
    <mergeCell ref="J584:L584"/>
    <mergeCell ref="M584:N584"/>
    <mergeCell ref="O584:P584"/>
    <mergeCell ref="B585:E585"/>
    <mergeCell ref="F585:I585"/>
    <mergeCell ref="J585:L585"/>
    <mergeCell ref="M585:N585"/>
    <mergeCell ref="O585:P585"/>
    <mergeCell ref="B582:E582"/>
    <mergeCell ref="F582:I582"/>
    <mergeCell ref="J582:L582"/>
    <mergeCell ref="M582:N582"/>
    <mergeCell ref="O582:P582"/>
    <mergeCell ref="B583:E583"/>
    <mergeCell ref="F583:I583"/>
    <mergeCell ref="J583:L583"/>
    <mergeCell ref="M583:N583"/>
    <mergeCell ref="O583:P583"/>
    <mergeCell ref="B580:E580"/>
    <mergeCell ref="F580:I580"/>
    <mergeCell ref="J580:L580"/>
    <mergeCell ref="M580:N580"/>
    <mergeCell ref="O580:P580"/>
    <mergeCell ref="B581:E581"/>
    <mergeCell ref="F581:I581"/>
    <mergeCell ref="J581:L581"/>
    <mergeCell ref="M581:N581"/>
    <mergeCell ref="O581:P581"/>
    <mergeCell ref="B578:E578"/>
    <mergeCell ref="F578:I578"/>
    <mergeCell ref="J578:L578"/>
    <mergeCell ref="M578:N578"/>
    <mergeCell ref="O578:P578"/>
    <mergeCell ref="B579:E579"/>
    <mergeCell ref="F579:I579"/>
    <mergeCell ref="J579:L579"/>
    <mergeCell ref="M579:N579"/>
    <mergeCell ref="O579:P579"/>
    <mergeCell ref="B576:E576"/>
    <mergeCell ref="F576:I576"/>
    <mergeCell ref="J576:L576"/>
    <mergeCell ref="M576:N576"/>
    <mergeCell ref="O576:P576"/>
    <mergeCell ref="B577:E577"/>
    <mergeCell ref="F577:I577"/>
    <mergeCell ref="J577:L577"/>
    <mergeCell ref="M577:N577"/>
    <mergeCell ref="O577:P577"/>
    <mergeCell ref="B574:E574"/>
    <mergeCell ref="F574:I574"/>
    <mergeCell ref="J574:L574"/>
    <mergeCell ref="M574:N574"/>
    <mergeCell ref="O574:P574"/>
    <mergeCell ref="B575:E575"/>
    <mergeCell ref="F575:I575"/>
    <mergeCell ref="J575:L575"/>
    <mergeCell ref="M575:N575"/>
    <mergeCell ref="O575:P575"/>
    <mergeCell ref="B572:E572"/>
    <mergeCell ref="F572:I572"/>
    <mergeCell ref="J572:L572"/>
    <mergeCell ref="M572:N572"/>
    <mergeCell ref="O572:P572"/>
    <mergeCell ref="B573:E573"/>
    <mergeCell ref="F573:I573"/>
    <mergeCell ref="J573:L573"/>
    <mergeCell ref="M573:N573"/>
    <mergeCell ref="O573:P573"/>
    <mergeCell ref="B570:E570"/>
    <mergeCell ref="F570:I570"/>
    <mergeCell ref="J570:L570"/>
    <mergeCell ref="M570:N570"/>
    <mergeCell ref="O570:P570"/>
    <mergeCell ref="B571:E571"/>
    <mergeCell ref="F571:I571"/>
    <mergeCell ref="J571:L571"/>
    <mergeCell ref="M571:N571"/>
    <mergeCell ref="O571:P571"/>
    <mergeCell ref="B568:E568"/>
    <mergeCell ref="F568:I568"/>
    <mergeCell ref="J568:L568"/>
    <mergeCell ref="M568:N568"/>
    <mergeCell ref="O568:P568"/>
    <mergeCell ref="B569:E569"/>
    <mergeCell ref="F569:I569"/>
    <mergeCell ref="J569:L569"/>
    <mergeCell ref="M569:N569"/>
    <mergeCell ref="O569:P569"/>
    <mergeCell ref="B566:E566"/>
    <mergeCell ref="F566:I566"/>
    <mergeCell ref="J566:L566"/>
    <mergeCell ref="M566:N566"/>
    <mergeCell ref="O566:P566"/>
    <mergeCell ref="B567:E567"/>
    <mergeCell ref="F567:I567"/>
    <mergeCell ref="J567:L567"/>
    <mergeCell ref="M567:N567"/>
    <mergeCell ref="O567:P567"/>
    <mergeCell ref="B564:E564"/>
    <mergeCell ref="F564:I564"/>
    <mergeCell ref="J564:L564"/>
    <mergeCell ref="M564:N564"/>
    <mergeCell ref="O564:P564"/>
    <mergeCell ref="B565:E565"/>
    <mergeCell ref="F565:I565"/>
    <mergeCell ref="J565:L565"/>
    <mergeCell ref="M565:N565"/>
    <mergeCell ref="O565:P565"/>
    <mergeCell ref="B562:E562"/>
    <mergeCell ref="F562:I562"/>
    <mergeCell ref="J562:L562"/>
    <mergeCell ref="M562:N562"/>
    <mergeCell ref="O562:P562"/>
    <mergeCell ref="B563:E563"/>
    <mergeCell ref="F563:I563"/>
    <mergeCell ref="J563:L563"/>
    <mergeCell ref="M563:N563"/>
    <mergeCell ref="O563:P563"/>
    <mergeCell ref="B560:E560"/>
    <mergeCell ref="F560:I560"/>
    <mergeCell ref="J560:L560"/>
    <mergeCell ref="M560:N560"/>
    <mergeCell ref="O560:P560"/>
    <mergeCell ref="B561:E561"/>
    <mergeCell ref="F561:I561"/>
    <mergeCell ref="J561:L561"/>
    <mergeCell ref="M561:N561"/>
    <mergeCell ref="O561:P561"/>
    <mergeCell ref="B558:E558"/>
    <mergeCell ref="F558:I558"/>
    <mergeCell ref="J558:L558"/>
    <mergeCell ref="M558:N558"/>
    <mergeCell ref="O558:P558"/>
    <mergeCell ref="B559:E559"/>
    <mergeCell ref="F559:I559"/>
    <mergeCell ref="J559:L559"/>
    <mergeCell ref="M559:N559"/>
    <mergeCell ref="O559:P559"/>
    <mergeCell ref="B556:E556"/>
    <mergeCell ref="F556:I556"/>
    <mergeCell ref="J556:L556"/>
    <mergeCell ref="M556:N556"/>
    <mergeCell ref="O556:P556"/>
    <mergeCell ref="B557:E557"/>
    <mergeCell ref="F557:I557"/>
    <mergeCell ref="J557:L557"/>
    <mergeCell ref="M557:N557"/>
    <mergeCell ref="O557:P557"/>
    <mergeCell ref="B554:E554"/>
    <mergeCell ref="F554:I554"/>
    <mergeCell ref="J554:L554"/>
    <mergeCell ref="M554:N554"/>
    <mergeCell ref="O554:P554"/>
    <mergeCell ref="B555:E555"/>
    <mergeCell ref="F555:I555"/>
    <mergeCell ref="J555:L555"/>
    <mergeCell ref="M555:N555"/>
    <mergeCell ref="O555:P555"/>
    <mergeCell ref="B552:E552"/>
    <mergeCell ref="F552:I552"/>
    <mergeCell ref="J552:L552"/>
    <mergeCell ref="M552:N552"/>
    <mergeCell ref="O552:P552"/>
    <mergeCell ref="B553:E553"/>
    <mergeCell ref="F553:I553"/>
    <mergeCell ref="J553:L553"/>
    <mergeCell ref="M553:N553"/>
    <mergeCell ref="O553:P553"/>
    <mergeCell ref="B550:E550"/>
    <mergeCell ref="F550:I550"/>
    <mergeCell ref="J550:L550"/>
    <mergeCell ref="M550:N550"/>
    <mergeCell ref="O550:P550"/>
    <mergeCell ref="B551:E551"/>
    <mergeCell ref="F551:I551"/>
    <mergeCell ref="J551:L551"/>
    <mergeCell ref="M551:N551"/>
    <mergeCell ref="O551:P551"/>
    <mergeCell ref="B548:E548"/>
    <mergeCell ref="F548:I548"/>
    <mergeCell ref="J548:L548"/>
    <mergeCell ref="M548:N548"/>
    <mergeCell ref="O548:P548"/>
    <mergeCell ref="B549:E549"/>
    <mergeCell ref="F549:I549"/>
    <mergeCell ref="J549:L549"/>
    <mergeCell ref="M549:N549"/>
    <mergeCell ref="O549:P549"/>
    <mergeCell ref="B546:E546"/>
    <mergeCell ref="F546:I546"/>
    <mergeCell ref="J546:L546"/>
    <mergeCell ref="M546:N546"/>
    <mergeCell ref="O546:P546"/>
    <mergeCell ref="B547:E547"/>
    <mergeCell ref="F547:I547"/>
    <mergeCell ref="J547:L547"/>
    <mergeCell ref="M547:N547"/>
    <mergeCell ref="O547:P547"/>
    <mergeCell ref="B544:E544"/>
    <mergeCell ref="F544:I544"/>
    <mergeCell ref="J544:L544"/>
    <mergeCell ref="M544:N544"/>
    <mergeCell ref="O544:P544"/>
    <mergeCell ref="B545:E545"/>
    <mergeCell ref="F545:I545"/>
    <mergeCell ref="J545:L545"/>
    <mergeCell ref="M545:N545"/>
    <mergeCell ref="O545:P545"/>
    <mergeCell ref="B542:E542"/>
    <mergeCell ref="F542:I542"/>
    <mergeCell ref="J542:L542"/>
    <mergeCell ref="M542:N542"/>
    <mergeCell ref="O542:P542"/>
    <mergeCell ref="B543:E543"/>
    <mergeCell ref="F543:I543"/>
    <mergeCell ref="J543:L543"/>
    <mergeCell ref="M543:N543"/>
    <mergeCell ref="O543:P543"/>
    <mergeCell ref="B540:E540"/>
    <mergeCell ref="F540:I540"/>
    <mergeCell ref="J540:L540"/>
    <mergeCell ref="M540:N540"/>
    <mergeCell ref="O540:P540"/>
    <mergeCell ref="B541:E541"/>
    <mergeCell ref="F541:I541"/>
    <mergeCell ref="J541:L541"/>
    <mergeCell ref="M541:N541"/>
    <mergeCell ref="O541:P541"/>
    <mergeCell ref="B538:E538"/>
    <mergeCell ref="F538:I538"/>
    <mergeCell ref="J538:L538"/>
    <mergeCell ref="M538:N538"/>
    <mergeCell ref="O538:P538"/>
    <mergeCell ref="B539:E539"/>
    <mergeCell ref="F539:I539"/>
    <mergeCell ref="J539:L539"/>
    <mergeCell ref="M539:N539"/>
    <mergeCell ref="O539:P539"/>
    <mergeCell ref="B536:E536"/>
    <mergeCell ref="F536:I536"/>
    <mergeCell ref="J536:L536"/>
    <mergeCell ref="M536:N536"/>
    <mergeCell ref="O536:P536"/>
    <mergeCell ref="B537:E537"/>
    <mergeCell ref="F537:I537"/>
    <mergeCell ref="J537:L537"/>
    <mergeCell ref="M537:N537"/>
    <mergeCell ref="O537:P537"/>
    <mergeCell ref="B534:E534"/>
    <mergeCell ref="F534:I534"/>
    <mergeCell ref="J534:L534"/>
    <mergeCell ref="M534:N534"/>
    <mergeCell ref="O534:P534"/>
    <mergeCell ref="B535:E535"/>
    <mergeCell ref="F535:I535"/>
    <mergeCell ref="J535:L535"/>
    <mergeCell ref="M535:N535"/>
    <mergeCell ref="O535:P535"/>
    <mergeCell ref="B532:E532"/>
    <mergeCell ref="F532:I532"/>
    <mergeCell ref="J532:L532"/>
    <mergeCell ref="M532:N532"/>
    <mergeCell ref="O532:P532"/>
    <mergeCell ref="B533:E533"/>
    <mergeCell ref="F533:I533"/>
    <mergeCell ref="J533:L533"/>
    <mergeCell ref="M533:N533"/>
    <mergeCell ref="O533:P533"/>
    <mergeCell ref="B530:E530"/>
    <mergeCell ref="F530:I530"/>
    <mergeCell ref="J530:L530"/>
    <mergeCell ref="M530:N530"/>
    <mergeCell ref="O530:P530"/>
    <mergeCell ref="B531:E531"/>
    <mergeCell ref="F531:I531"/>
    <mergeCell ref="J531:L531"/>
    <mergeCell ref="M531:N531"/>
    <mergeCell ref="O531:P531"/>
    <mergeCell ref="B528:E528"/>
    <mergeCell ref="F528:I528"/>
    <mergeCell ref="J528:L528"/>
    <mergeCell ref="M528:N528"/>
    <mergeCell ref="O528:P528"/>
    <mergeCell ref="B529:E529"/>
    <mergeCell ref="F529:I529"/>
    <mergeCell ref="J529:L529"/>
    <mergeCell ref="M529:N529"/>
    <mergeCell ref="O529:P529"/>
    <mergeCell ref="B526:E526"/>
    <mergeCell ref="F526:I526"/>
    <mergeCell ref="J526:L526"/>
    <mergeCell ref="M526:N526"/>
    <mergeCell ref="O526:P526"/>
    <mergeCell ref="B527:E527"/>
    <mergeCell ref="F527:I527"/>
    <mergeCell ref="J527:L527"/>
    <mergeCell ref="M527:N527"/>
    <mergeCell ref="O527:P527"/>
    <mergeCell ref="B524:E524"/>
    <mergeCell ref="F524:I524"/>
    <mergeCell ref="J524:L524"/>
    <mergeCell ref="M524:N524"/>
    <mergeCell ref="O524:P524"/>
    <mergeCell ref="B525:E525"/>
    <mergeCell ref="F525:I525"/>
    <mergeCell ref="J525:L525"/>
    <mergeCell ref="M525:N525"/>
    <mergeCell ref="O525:P525"/>
    <mergeCell ref="B522:E522"/>
    <mergeCell ref="F522:I522"/>
    <mergeCell ref="J522:L522"/>
    <mergeCell ref="M522:N522"/>
    <mergeCell ref="O522:P522"/>
    <mergeCell ref="B523:E523"/>
    <mergeCell ref="F523:I523"/>
    <mergeCell ref="J523:L523"/>
    <mergeCell ref="M523:N523"/>
    <mergeCell ref="O523:P523"/>
    <mergeCell ref="B520:E520"/>
    <mergeCell ref="F520:I520"/>
    <mergeCell ref="J520:L520"/>
    <mergeCell ref="M520:N520"/>
    <mergeCell ref="O520:P520"/>
    <mergeCell ref="B521:E521"/>
    <mergeCell ref="F521:I521"/>
    <mergeCell ref="J521:L521"/>
    <mergeCell ref="M521:N521"/>
    <mergeCell ref="O521:P521"/>
    <mergeCell ref="B518:E518"/>
    <mergeCell ref="F518:I518"/>
    <mergeCell ref="J518:L518"/>
    <mergeCell ref="M518:N518"/>
    <mergeCell ref="O518:P518"/>
    <mergeCell ref="B519:E519"/>
    <mergeCell ref="F519:I519"/>
    <mergeCell ref="J519:L519"/>
    <mergeCell ref="M519:N519"/>
    <mergeCell ref="O519:P519"/>
    <mergeCell ref="B516:E516"/>
    <mergeCell ref="F516:I516"/>
    <mergeCell ref="J516:L516"/>
    <mergeCell ref="M516:N516"/>
    <mergeCell ref="O516:P516"/>
    <mergeCell ref="B517:E517"/>
    <mergeCell ref="F517:I517"/>
    <mergeCell ref="J517:L517"/>
    <mergeCell ref="M517:N517"/>
    <mergeCell ref="O517:P517"/>
    <mergeCell ref="B514:E514"/>
    <mergeCell ref="F514:I514"/>
    <mergeCell ref="J514:L514"/>
    <mergeCell ref="M514:N514"/>
    <mergeCell ref="O514:P514"/>
    <mergeCell ref="B515:E515"/>
    <mergeCell ref="F515:I515"/>
    <mergeCell ref="J515:L515"/>
    <mergeCell ref="M515:N515"/>
    <mergeCell ref="O515:P515"/>
    <mergeCell ref="B512:E512"/>
    <mergeCell ref="F512:I512"/>
    <mergeCell ref="J512:L512"/>
    <mergeCell ref="M512:N512"/>
    <mergeCell ref="O512:P512"/>
    <mergeCell ref="B513:E513"/>
    <mergeCell ref="F513:I513"/>
    <mergeCell ref="J513:L513"/>
    <mergeCell ref="M513:N513"/>
    <mergeCell ref="O513:P513"/>
    <mergeCell ref="B510:E510"/>
    <mergeCell ref="F510:I510"/>
    <mergeCell ref="J510:L510"/>
    <mergeCell ref="M510:N510"/>
    <mergeCell ref="O510:P510"/>
    <mergeCell ref="B511:E511"/>
    <mergeCell ref="F511:I511"/>
    <mergeCell ref="J511:L511"/>
    <mergeCell ref="M511:N511"/>
    <mergeCell ref="O511:P511"/>
    <mergeCell ref="B508:E508"/>
    <mergeCell ref="F508:I508"/>
    <mergeCell ref="J508:L508"/>
    <mergeCell ref="M508:N508"/>
    <mergeCell ref="O508:P508"/>
    <mergeCell ref="B509:E509"/>
    <mergeCell ref="F509:I509"/>
    <mergeCell ref="J509:L509"/>
    <mergeCell ref="M509:N509"/>
    <mergeCell ref="O509:P509"/>
    <mergeCell ref="B506:E506"/>
    <mergeCell ref="F506:I506"/>
    <mergeCell ref="J506:L506"/>
    <mergeCell ref="M506:N506"/>
    <mergeCell ref="O506:P506"/>
    <mergeCell ref="B507:E507"/>
    <mergeCell ref="F507:I507"/>
    <mergeCell ref="J507:L507"/>
    <mergeCell ref="M507:N507"/>
    <mergeCell ref="O507:P507"/>
    <mergeCell ref="B504:E504"/>
    <mergeCell ref="F504:I504"/>
    <mergeCell ref="J504:L504"/>
    <mergeCell ref="M504:N504"/>
    <mergeCell ref="O504:P504"/>
    <mergeCell ref="B505:E505"/>
    <mergeCell ref="F505:I505"/>
    <mergeCell ref="J505:L505"/>
    <mergeCell ref="M505:N505"/>
    <mergeCell ref="O505:P505"/>
    <mergeCell ref="B502:E502"/>
    <mergeCell ref="F502:I502"/>
    <mergeCell ref="J502:L502"/>
    <mergeCell ref="M502:N502"/>
    <mergeCell ref="O502:P502"/>
    <mergeCell ref="B503:E503"/>
    <mergeCell ref="F503:I503"/>
    <mergeCell ref="J503:L503"/>
    <mergeCell ref="M503:N503"/>
    <mergeCell ref="O503:P503"/>
    <mergeCell ref="B500:E500"/>
    <mergeCell ref="F500:I500"/>
    <mergeCell ref="J500:L500"/>
    <mergeCell ref="M500:N500"/>
    <mergeCell ref="O500:P500"/>
    <mergeCell ref="B501:E501"/>
    <mergeCell ref="F501:I501"/>
    <mergeCell ref="J501:L501"/>
    <mergeCell ref="M501:N501"/>
    <mergeCell ref="O501:P501"/>
    <mergeCell ref="B498:E498"/>
    <mergeCell ref="F498:I498"/>
    <mergeCell ref="J498:L498"/>
    <mergeCell ref="M498:N498"/>
    <mergeCell ref="O498:P498"/>
    <mergeCell ref="B499:E499"/>
    <mergeCell ref="F499:I499"/>
    <mergeCell ref="J499:L499"/>
    <mergeCell ref="M499:N499"/>
    <mergeCell ref="O499:P499"/>
    <mergeCell ref="B496:E496"/>
    <mergeCell ref="F496:I496"/>
    <mergeCell ref="J496:L496"/>
    <mergeCell ref="M496:N496"/>
    <mergeCell ref="O496:P496"/>
    <mergeCell ref="B497:E497"/>
    <mergeCell ref="F497:I497"/>
    <mergeCell ref="J497:L497"/>
    <mergeCell ref="M497:N497"/>
    <mergeCell ref="O497:P497"/>
    <mergeCell ref="B494:E494"/>
    <mergeCell ref="F494:I494"/>
    <mergeCell ref="J494:L494"/>
    <mergeCell ref="M494:N494"/>
    <mergeCell ref="O494:P494"/>
    <mergeCell ref="B495:E495"/>
    <mergeCell ref="F495:I495"/>
    <mergeCell ref="J495:L495"/>
    <mergeCell ref="M495:N495"/>
    <mergeCell ref="O495:P495"/>
    <mergeCell ref="B492:E492"/>
    <mergeCell ref="F492:I492"/>
    <mergeCell ref="J492:L492"/>
    <mergeCell ref="M492:N492"/>
    <mergeCell ref="O492:P492"/>
    <mergeCell ref="B493:E493"/>
    <mergeCell ref="F493:I493"/>
    <mergeCell ref="J493:L493"/>
    <mergeCell ref="M493:N493"/>
    <mergeCell ref="O493:P493"/>
    <mergeCell ref="B490:E490"/>
    <mergeCell ref="F490:I490"/>
    <mergeCell ref="J490:L490"/>
    <mergeCell ref="M490:N490"/>
    <mergeCell ref="O490:P490"/>
    <mergeCell ref="B491:E491"/>
    <mergeCell ref="F491:I491"/>
    <mergeCell ref="J491:L491"/>
    <mergeCell ref="M491:N491"/>
    <mergeCell ref="O491:P491"/>
    <mergeCell ref="B488:E488"/>
    <mergeCell ref="F488:I488"/>
    <mergeCell ref="J488:L488"/>
    <mergeCell ref="M488:N488"/>
    <mergeCell ref="O488:P488"/>
    <mergeCell ref="B489:E489"/>
    <mergeCell ref="F489:I489"/>
    <mergeCell ref="J489:L489"/>
    <mergeCell ref="M489:N489"/>
    <mergeCell ref="O489:P489"/>
    <mergeCell ref="B486:E486"/>
    <mergeCell ref="F486:I486"/>
    <mergeCell ref="J486:L486"/>
    <mergeCell ref="M486:N486"/>
    <mergeCell ref="O486:P486"/>
    <mergeCell ref="B487:E487"/>
    <mergeCell ref="F487:I487"/>
    <mergeCell ref="J487:L487"/>
    <mergeCell ref="M487:N487"/>
    <mergeCell ref="O487:P487"/>
    <mergeCell ref="B484:E484"/>
    <mergeCell ref="F484:I484"/>
    <mergeCell ref="J484:L484"/>
    <mergeCell ref="M484:N484"/>
    <mergeCell ref="O484:P484"/>
    <mergeCell ref="B485:E485"/>
    <mergeCell ref="F485:I485"/>
    <mergeCell ref="J485:L485"/>
    <mergeCell ref="M485:N485"/>
    <mergeCell ref="O485:P485"/>
    <mergeCell ref="B482:E482"/>
    <mergeCell ref="F482:I482"/>
    <mergeCell ref="J482:L482"/>
    <mergeCell ref="M482:N482"/>
    <mergeCell ref="O482:P482"/>
    <mergeCell ref="B483:E483"/>
    <mergeCell ref="F483:I483"/>
    <mergeCell ref="J483:L483"/>
    <mergeCell ref="M483:N483"/>
    <mergeCell ref="O483:P483"/>
    <mergeCell ref="B480:E480"/>
    <mergeCell ref="F480:I480"/>
    <mergeCell ref="J480:L480"/>
    <mergeCell ref="M480:N480"/>
    <mergeCell ref="O480:P480"/>
    <mergeCell ref="B481:E481"/>
    <mergeCell ref="F481:I481"/>
    <mergeCell ref="J481:L481"/>
    <mergeCell ref="M481:N481"/>
    <mergeCell ref="O481:P481"/>
    <mergeCell ref="B478:E478"/>
    <mergeCell ref="F478:I478"/>
    <mergeCell ref="J478:L478"/>
    <mergeCell ref="M478:N478"/>
    <mergeCell ref="O478:P478"/>
    <mergeCell ref="B479:E479"/>
    <mergeCell ref="F479:I479"/>
    <mergeCell ref="J479:L479"/>
    <mergeCell ref="M479:N479"/>
    <mergeCell ref="O479:P479"/>
    <mergeCell ref="B476:E476"/>
    <mergeCell ref="F476:I476"/>
    <mergeCell ref="J476:L476"/>
    <mergeCell ref="M476:N476"/>
    <mergeCell ref="O476:P476"/>
    <mergeCell ref="B477:E477"/>
    <mergeCell ref="F477:I477"/>
    <mergeCell ref="J477:L477"/>
    <mergeCell ref="M477:N477"/>
    <mergeCell ref="O477:P477"/>
    <mergeCell ref="B474:E474"/>
    <mergeCell ref="F474:I474"/>
    <mergeCell ref="J474:L474"/>
    <mergeCell ref="M474:N474"/>
    <mergeCell ref="O474:P474"/>
    <mergeCell ref="B475:E475"/>
    <mergeCell ref="F475:I475"/>
    <mergeCell ref="J475:L475"/>
    <mergeCell ref="M475:N475"/>
    <mergeCell ref="O475:P475"/>
    <mergeCell ref="B472:E472"/>
    <mergeCell ref="F472:I472"/>
    <mergeCell ref="J472:L472"/>
    <mergeCell ref="M472:N472"/>
    <mergeCell ref="O472:P472"/>
    <mergeCell ref="B473:E473"/>
    <mergeCell ref="F473:I473"/>
    <mergeCell ref="J473:L473"/>
    <mergeCell ref="M473:N473"/>
    <mergeCell ref="O473:P473"/>
    <mergeCell ref="B470:E470"/>
    <mergeCell ref="F470:I470"/>
    <mergeCell ref="J470:L470"/>
    <mergeCell ref="M470:N470"/>
    <mergeCell ref="O470:P470"/>
    <mergeCell ref="B471:E471"/>
    <mergeCell ref="F471:I471"/>
    <mergeCell ref="J471:L471"/>
    <mergeCell ref="M471:N471"/>
    <mergeCell ref="O471:P471"/>
    <mergeCell ref="B468:E468"/>
    <mergeCell ref="F468:I468"/>
    <mergeCell ref="J468:L468"/>
    <mergeCell ref="M468:N468"/>
    <mergeCell ref="O468:P468"/>
    <mergeCell ref="B469:E469"/>
    <mergeCell ref="F469:I469"/>
    <mergeCell ref="J469:L469"/>
    <mergeCell ref="M469:N469"/>
    <mergeCell ref="O469:P469"/>
    <mergeCell ref="B466:E466"/>
    <mergeCell ref="F466:I466"/>
    <mergeCell ref="J466:L466"/>
    <mergeCell ref="M466:N466"/>
    <mergeCell ref="O466:P466"/>
    <mergeCell ref="B467:E467"/>
    <mergeCell ref="F467:I467"/>
    <mergeCell ref="J467:L467"/>
    <mergeCell ref="M467:N467"/>
    <mergeCell ref="O467:P467"/>
    <mergeCell ref="B464:E464"/>
    <mergeCell ref="F464:I464"/>
    <mergeCell ref="J464:L464"/>
    <mergeCell ref="M464:N464"/>
    <mergeCell ref="O464:P464"/>
    <mergeCell ref="B465:E465"/>
    <mergeCell ref="F465:I465"/>
    <mergeCell ref="J465:L465"/>
    <mergeCell ref="M465:N465"/>
    <mergeCell ref="O465:P465"/>
    <mergeCell ref="B462:E462"/>
    <mergeCell ref="F462:I462"/>
    <mergeCell ref="J462:L462"/>
    <mergeCell ref="M462:N462"/>
    <mergeCell ref="O462:P462"/>
    <mergeCell ref="B463:E463"/>
    <mergeCell ref="F463:I463"/>
    <mergeCell ref="J463:L463"/>
    <mergeCell ref="M463:N463"/>
    <mergeCell ref="O463:P463"/>
    <mergeCell ref="B460:E460"/>
    <mergeCell ref="F460:I460"/>
    <mergeCell ref="J460:L460"/>
    <mergeCell ref="M460:N460"/>
    <mergeCell ref="O460:P460"/>
    <mergeCell ref="B461:E461"/>
    <mergeCell ref="F461:I461"/>
    <mergeCell ref="J461:L461"/>
    <mergeCell ref="M461:N461"/>
    <mergeCell ref="O461:P461"/>
    <mergeCell ref="B458:E458"/>
    <mergeCell ref="F458:I458"/>
    <mergeCell ref="J458:L458"/>
    <mergeCell ref="M458:N458"/>
    <mergeCell ref="O458:P458"/>
    <mergeCell ref="B459:E459"/>
    <mergeCell ref="F459:I459"/>
    <mergeCell ref="J459:L459"/>
    <mergeCell ref="M459:N459"/>
    <mergeCell ref="O459:P459"/>
    <mergeCell ref="B456:E456"/>
    <mergeCell ref="F456:I456"/>
    <mergeCell ref="J456:L456"/>
    <mergeCell ref="M456:N456"/>
    <mergeCell ref="O456:P456"/>
    <mergeCell ref="B457:E457"/>
    <mergeCell ref="F457:I457"/>
    <mergeCell ref="J457:L457"/>
    <mergeCell ref="M457:N457"/>
    <mergeCell ref="O457:P457"/>
    <mergeCell ref="B454:E454"/>
    <mergeCell ref="F454:I454"/>
    <mergeCell ref="J454:L454"/>
    <mergeCell ref="M454:N454"/>
    <mergeCell ref="O454:P454"/>
    <mergeCell ref="B455:E455"/>
    <mergeCell ref="F455:I455"/>
    <mergeCell ref="J455:L455"/>
    <mergeCell ref="M455:N455"/>
    <mergeCell ref="O455:P455"/>
    <mergeCell ref="B452:E452"/>
    <mergeCell ref="F452:I452"/>
    <mergeCell ref="J452:L452"/>
    <mergeCell ref="M452:N452"/>
    <mergeCell ref="O452:P452"/>
    <mergeCell ref="B453:E453"/>
    <mergeCell ref="F453:I453"/>
    <mergeCell ref="J453:L453"/>
    <mergeCell ref="M453:N453"/>
    <mergeCell ref="O453:P453"/>
    <mergeCell ref="B450:E450"/>
    <mergeCell ref="F450:I450"/>
    <mergeCell ref="J450:L450"/>
    <mergeCell ref="M450:N450"/>
    <mergeCell ref="O450:P450"/>
    <mergeCell ref="B451:E451"/>
    <mergeCell ref="F451:I451"/>
    <mergeCell ref="J451:L451"/>
    <mergeCell ref="M451:N451"/>
    <mergeCell ref="O451:P451"/>
    <mergeCell ref="B448:E448"/>
    <mergeCell ref="F448:I448"/>
    <mergeCell ref="J448:L448"/>
    <mergeCell ref="M448:N448"/>
    <mergeCell ref="O448:P448"/>
    <mergeCell ref="B449:E449"/>
    <mergeCell ref="F449:I449"/>
    <mergeCell ref="J449:L449"/>
    <mergeCell ref="M449:N449"/>
    <mergeCell ref="O449:P449"/>
    <mergeCell ref="B446:E446"/>
    <mergeCell ref="F446:I446"/>
    <mergeCell ref="J446:L446"/>
    <mergeCell ref="M446:N446"/>
    <mergeCell ref="O446:P446"/>
    <mergeCell ref="B447:E447"/>
    <mergeCell ref="F447:I447"/>
    <mergeCell ref="J447:L447"/>
    <mergeCell ref="M447:N447"/>
    <mergeCell ref="O447:P447"/>
    <mergeCell ref="B444:E444"/>
    <mergeCell ref="F444:I444"/>
    <mergeCell ref="J444:L444"/>
    <mergeCell ref="M444:N444"/>
    <mergeCell ref="O444:P444"/>
    <mergeCell ref="B445:E445"/>
    <mergeCell ref="F445:I445"/>
    <mergeCell ref="J445:L445"/>
    <mergeCell ref="M445:N445"/>
    <mergeCell ref="O445:P445"/>
    <mergeCell ref="B442:E442"/>
    <mergeCell ref="F442:I442"/>
    <mergeCell ref="J442:L442"/>
    <mergeCell ref="M442:N442"/>
    <mergeCell ref="O442:P442"/>
    <mergeCell ref="B443:E443"/>
    <mergeCell ref="F443:I443"/>
    <mergeCell ref="J443:L443"/>
    <mergeCell ref="M443:N443"/>
    <mergeCell ref="O443:P443"/>
    <mergeCell ref="B440:E440"/>
    <mergeCell ref="F440:I440"/>
    <mergeCell ref="J440:L440"/>
    <mergeCell ref="M440:N440"/>
    <mergeCell ref="O440:P440"/>
    <mergeCell ref="B441:E441"/>
    <mergeCell ref="F441:I441"/>
    <mergeCell ref="J441:L441"/>
    <mergeCell ref="M441:N441"/>
    <mergeCell ref="O441:P441"/>
    <mergeCell ref="B438:E438"/>
    <mergeCell ref="F438:I438"/>
    <mergeCell ref="J438:L438"/>
    <mergeCell ref="M438:N438"/>
    <mergeCell ref="O438:P438"/>
    <mergeCell ref="B439:E439"/>
    <mergeCell ref="F439:I439"/>
    <mergeCell ref="J439:L439"/>
    <mergeCell ref="M439:N439"/>
    <mergeCell ref="O439:P439"/>
    <mergeCell ref="B436:E436"/>
    <mergeCell ref="F436:I436"/>
    <mergeCell ref="J436:L436"/>
    <mergeCell ref="M436:N436"/>
    <mergeCell ref="O436:P436"/>
    <mergeCell ref="B437:E437"/>
    <mergeCell ref="F437:I437"/>
    <mergeCell ref="J437:L437"/>
    <mergeCell ref="M437:N437"/>
    <mergeCell ref="O437:P437"/>
    <mergeCell ref="B434:E434"/>
    <mergeCell ref="F434:I434"/>
    <mergeCell ref="J434:L434"/>
    <mergeCell ref="M434:N434"/>
    <mergeCell ref="O434:P434"/>
    <mergeCell ref="B435:E435"/>
    <mergeCell ref="F435:I435"/>
    <mergeCell ref="J435:L435"/>
    <mergeCell ref="M435:N435"/>
    <mergeCell ref="O435:P435"/>
    <mergeCell ref="B432:E432"/>
    <mergeCell ref="F432:I432"/>
    <mergeCell ref="J432:L432"/>
    <mergeCell ref="M432:N432"/>
    <mergeCell ref="O432:P432"/>
    <mergeCell ref="B433:E433"/>
    <mergeCell ref="F433:I433"/>
    <mergeCell ref="J433:L433"/>
    <mergeCell ref="M433:N433"/>
    <mergeCell ref="O433:P433"/>
    <mergeCell ref="B430:E430"/>
    <mergeCell ref="F430:I430"/>
    <mergeCell ref="J430:L430"/>
    <mergeCell ref="M430:N430"/>
    <mergeCell ref="O430:P430"/>
    <mergeCell ref="B431:E431"/>
    <mergeCell ref="F431:I431"/>
    <mergeCell ref="J431:L431"/>
    <mergeCell ref="M431:N431"/>
    <mergeCell ref="O431:P431"/>
    <mergeCell ref="B428:E428"/>
    <mergeCell ref="F428:I428"/>
    <mergeCell ref="J428:L428"/>
    <mergeCell ref="M428:N428"/>
    <mergeCell ref="O428:P428"/>
    <mergeCell ref="B429:E429"/>
    <mergeCell ref="F429:I429"/>
    <mergeCell ref="J429:L429"/>
    <mergeCell ref="M429:N429"/>
    <mergeCell ref="O429:P429"/>
    <mergeCell ref="B426:E426"/>
    <mergeCell ref="F426:I426"/>
    <mergeCell ref="J426:L426"/>
    <mergeCell ref="M426:N426"/>
    <mergeCell ref="O426:P426"/>
    <mergeCell ref="B427:E427"/>
    <mergeCell ref="F427:I427"/>
    <mergeCell ref="J427:L427"/>
    <mergeCell ref="M427:N427"/>
    <mergeCell ref="O427:P427"/>
    <mergeCell ref="B424:E424"/>
    <mergeCell ref="F424:I424"/>
    <mergeCell ref="J424:L424"/>
    <mergeCell ref="M424:N424"/>
    <mergeCell ref="O424:P424"/>
    <mergeCell ref="B425:E425"/>
    <mergeCell ref="F425:I425"/>
    <mergeCell ref="J425:L425"/>
    <mergeCell ref="M425:N425"/>
    <mergeCell ref="O425:P425"/>
    <mergeCell ref="B422:E422"/>
    <mergeCell ref="F422:I422"/>
    <mergeCell ref="J422:L422"/>
    <mergeCell ref="M422:N422"/>
    <mergeCell ref="O422:P422"/>
    <mergeCell ref="B423:E423"/>
    <mergeCell ref="F423:I423"/>
    <mergeCell ref="J423:L423"/>
    <mergeCell ref="M423:N423"/>
    <mergeCell ref="O423:P423"/>
    <mergeCell ref="B420:E420"/>
    <mergeCell ref="F420:I420"/>
    <mergeCell ref="J420:L420"/>
    <mergeCell ref="M420:N420"/>
    <mergeCell ref="O420:P420"/>
    <mergeCell ref="B421:E421"/>
    <mergeCell ref="F421:I421"/>
    <mergeCell ref="J421:L421"/>
    <mergeCell ref="M421:N421"/>
    <mergeCell ref="O421:P421"/>
    <mergeCell ref="B418:E418"/>
    <mergeCell ref="F418:I418"/>
    <mergeCell ref="J418:L418"/>
    <mergeCell ref="M418:N418"/>
    <mergeCell ref="O418:P418"/>
    <mergeCell ref="B419:E419"/>
    <mergeCell ref="F419:I419"/>
    <mergeCell ref="J419:L419"/>
    <mergeCell ref="M419:N419"/>
    <mergeCell ref="O419:P419"/>
    <mergeCell ref="B416:E416"/>
    <mergeCell ref="F416:I416"/>
    <mergeCell ref="J416:L416"/>
    <mergeCell ref="M416:N416"/>
    <mergeCell ref="O416:P416"/>
    <mergeCell ref="B417:E417"/>
    <mergeCell ref="F417:I417"/>
    <mergeCell ref="J417:L417"/>
    <mergeCell ref="M417:N417"/>
    <mergeCell ref="O417:P417"/>
    <mergeCell ref="B414:E414"/>
    <mergeCell ref="F414:I414"/>
    <mergeCell ref="J414:L414"/>
    <mergeCell ref="M414:N414"/>
    <mergeCell ref="O414:P414"/>
    <mergeCell ref="B415:E415"/>
    <mergeCell ref="F415:I415"/>
    <mergeCell ref="J415:L415"/>
    <mergeCell ref="M415:N415"/>
    <mergeCell ref="O415:P415"/>
    <mergeCell ref="B412:E412"/>
    <mergeCell ref="F412:I412"/>
    <mergeCell ref="J412:L412"/>
    <mergeCell ref="M412:N412"/>
    <mergeCell ref="O412:P412"/>
    <mergeCell ref="B413:E413"/>
    <mergeCell ref="F413:I413"/>
    <mergeCell ref="J413:L413"/>
    <mergeCell ref="M413:N413"/>
    <mergeCell ref="O413:P413"/>
    <mergeCell ref="B410:E410"/>
    <mergeCell ref="F410:I410"/>
    <mergeCell ref="J410:L410"/>
    <mergeCell ref="M410:N410"/>
    <mergeCell ref="O410:P410"/>
    <mergeCell ref="B411:E411"/>
    <mergeCell ref="F411:I411"/>
    <mergeCell ref="J411:L411"/>
    <mergeCell ref="M411:N411"/>
    <mergeCell ref="O411:P411"/>
    <mergeCell ref="B408:E408"/>
    <mergeCell ref="F408:I408"/>
    <mergeCell ref="J408:L408"/>
    <mergeCell ref="M408:N408"/>
    <mergeCell ref="O408:P408"/>
    <mergeCell ref="B409:E409"/>
    <mergeCell ref="F409:I409"/>
    <mergeCell ref="J409:L409"/>
    <mergeCell ref="M409:N409"/>
    <mergeCell ref="O409:P409"/>
    <mergeCell ref="B406:E406"/>
    <mergeCell ref="F406:I406"/>
    <mergeCell ref="J406:L406"/>
    <mergeCell ref="M406:N406"/>
    <mergeCell ref="O406:P406"/>
    <mergeCell ref="B407:E407"/>
    <mergeCell ref="F407:I407"/>
    <mergeCell ref="J407:L407"/>
    <mergeCell ref="M407:N407"/>
    <mergeCell ref="O407:P407"/>
    <mergeCell ref="B404:E404"/>
    <mergeCell ref="F404:I404"/>
    <mergeCell ref="J404:L404"/>
    <mergeCell ref="M404:N404"/>
    <mergeCell ref="O404:P404"/>
    <mergeCell ref="B405:E405"/>
    <mergeCell ref="F405:I405"/>
    <mergeCell ref="J405:L405"/>
    <mergeCell ref="M405:N405"/>
    <mergeCell ref="O405:P405"/>
    <mergeCell ref="B402:E402"/>
    <mergeCell ref="F402:I402"/>
    <mergeCell ref="J402:L402"/>
    <mergeCell ref="M402:N402"/>
    <mergeCell ref="O402:P402"/>
    <mergeCell ref="B403:E403"/>
    <mergeCell ref="F403:I403"/>
    <mergeCell ref="J403:L403"/>
    <mergeCell ref="M403:N403"/>
    <mergeCell ref="O403:P403"/>
    <mergeCell ref="B400:E400"/>
    <mergeCell ref="F400:I400"/>
    <mergeCell ref="J400:L400"/>
    <mergeCell ref="M400:N400"/>
    <mergeCell ref="O400:P400"/>
    <mergeCell ref="B401:E401"/>
    <mergeCell ref="F401:I401"/>
    <mergeCell ref="J401:L401"/>
    <mergeCell ref="M401:N401"/>
    <mergeCell ref="O401:P401"/>
    <mergeCell ref="B398:E398"/>
    <mergeCell ref="F398:I398"/>
    <mergeCell ref="J398:L398"/>
    <mergeCell ref="M398:N398"/>
    <mergeCell ref="O398:P398"/>
    <mergeCell ref="B399:E399"/>
    <mergeCell ref="F399:I399"/>
    <mergeCell ref="J399:L399"/>
    <mergeCell ref="M399:N399"/>
    <mergeCell ref="O399:P399"/>
    <mergeCell ref="B396:E396"/>
    <mergeCell ref="F396:I396"/>
    <mergeCell ref="J396:L396"/>
    <mergeCell ref="M396:N396"/>
    <mergeCell ref="O396:P396"/>
    <mergeCell ref="B397:E397"/>
    <mergeCell ref="F397:I397"/>
    <mergeCell ref="J397:L397"/>
    <mergeCell ref="M397:N397"/>
    <mergeCell ref="O397:P397"/>
    <mergeCell ref="B394:E394"/>
    <mergeCell ref="F394:I394"/>
    <mergeCell ref="J394:L394"/>
    <mergeCell ref="M394:N394"/>
    <mergeCell ref="O394:P394"/>
    <mergeCell ref="B395:E395"/>
    <mergeCell ref="F395:I395"/>
    <mergeCell ref="J395:L395"/>
    <mergeCell ref="M395:N395"/>
    <mergeCell ref="O395:P395"/>
    <mergeCell ref="B392:E392"/>
    <mergeCell ref="F392:I392"/>
    <mergeCell ref="J392:L392"/>
    <mergeCell ref="M392:N392"/>
    <mergeCell ref="O392:P392"/>
    <mergeCell ref="B393:E393"/>
    <mergeCell ref="F393:I393"/>
    <mergeCell ref="J393:L393"/>
    <mergeCell ref="M393:N393"/>
    <mergeCell ref="O393:P393"/>
    <mergeCell ref="B390:E390"/>
    <mergeCell ref="F390:I390"/>
    <mergeCell ref="J390:L390"/>
    <mergeCell ref="M390:N390"/>
    <mergeCell ref="O390:P390"/>
    <mergeCell ref="B391:E391"/>
    <mergeCell ref="F391:I391"/>
    <mergeCell ref="J391:L391"/>
    <mergeCell ref="M391:N391"/>
    <mergeCell ref="O391:P391"/>
    <mergeCell ref="B388:E388"/>
    <mergeCell ref="F388:I388"/>
    <mergeCell ref="J388:L388"/>
    <mergeCell ref="M388:N388"/>
    <mergeCell ref="O388:P388"/>
    <mergeCell ref="B389:E389"/>
    <mergeCell ref="F389:I389"/>
    <mergeCell ref="J389:L389"/>
    <mergeCell ref="M389:N389"/>
    <mergeCell ref="O389:P389"/>
    <mergeCell ref="B386:E386"/>
    <mergeCell ref="F386:I386"/>
    <mergeCell ref="J386:L386"/>
    <mergeCell ref="M386:N386"/>
    <mergeCell ref="O386:P386"/>
    <mergeCell ref="B387:E387"/>
    <mergeCell ref="F387:I387"/>
    <mergeCell ref="J387:L387"/>
    <mergeCell ref="M387:N387"/>
    <mergeCell ref="O387:P387"/>
    <mergeCell ref="B384:E384"/>
    <mergeCell ref="F384:I384"/>
    <mergeCell ref="J384:L384"/>
    <mergeCell ref="M384:N384"/>
    <mergeCell ref="O384:P384"/>
    <mergeCell ref="B385:E385"/>
    <mergeCell ref="F385:I385"/>
    <mergeCell ref="J385:L385"/>
    <mergeCell ref="M385:N385"/>
    <mergeCell ref="O385:P385"/>
    <mergeCell ref="B382:E382"/>
    <mergeCell ref="F382:I382"/>
    <mergeCell ref="J382:L382"/>
    <mergeCell ref="M382:N382"/>
    <mergeCell ref="O382:P382"/>
    <mergeCell ref="B383:E383"/>
    <mergeCell ref="F383:I383"/>
    <mergeCell ref="J383:L383"/>
    <mergeCell ref="M383:N383"/>
    <mergeCell ref="O383:P383"/>
    <mergeCell ref="B380:E380"/>
    <mergeCell ref="F380:I380"/>
    <mergeCell ref="J380:L380"/>
    <mergeCell ref="M380:N380"/>
    <mergeCell ref="O380:P380"/>
    <mergeCell ref="B381:E381"/>
    <mergeCell ref="F381:I381"/>
    <mergeCell ref="J381:L381"/>
    <mergeCell ref="M381:N381"/>
    <mergeCell ref="O381:P381"/>
    <mergeCell ref="B378:E378"/>
    <mergeCell ref="F378:I378"/>
    <mergeCell ref="J378:L378"/>
    <mergeCell ref="M378:N378"/>
    <mergeCell ref="O378:P378"/>
    <mergeCell ref="B379:E379"/>
    <mergeCell ref="F379:I379"/>
    <mergeCell ref="J379:L379"/>
    <mergeCell ref="M379:N379"/>
    <mergeCell ref="O379:P379"/>
    <mergeCell ref="B376:E376"/>
    <mergeCell ref="F376:I376"/>
    <mergeCell ref="J376:L376"/>
    <mergeCell ref="M376:N376"/>
    <mergeCell ref="O376:P376"/>
    <mergeCell ref="B377:E377"/>
    <mergeCell ref="F377:I377"/>
    <mergeCell ref="J377:L377"/>
    <mergeCell ref="M377:N377"/>
    <mergeCell ref="O377:P377"/>
    <mergeCell ref="B374:E374"/>
    <mergeCell ref="F374:I374"/>
    <mergeCell ref="J374:L374"/>
    <mergeCell ref="M374:N374"/>
    <mergeCell ref="O374:P374"/>
    <mergeCell ref="B375:E375"/>
    <mergeCell ref="F375:I375"/>
    <mergeCell ref="J375:L375"/>
    <mergeCell ref="M375:N375"/>
    <mergeCell ref="O375:P375"/>
    <mergeCell ref="B372:E372"/>
    <mergeCell ref="F372:I372"/>
    <mergeCell ref="J372:L372"/>
    <mergeCell ref="M372:N372"/>
    <mergeCell ref="O372:P372"/>
    <mergeCell ref="B373:E373"/>
    <mergeCell ref="F373:I373"/>
    <mergeCell ref="J373:L373"/>
    <mergeCell ref="M373:N373"/>
    <mergeCell ref="O373:P373"/>
    <mergeCell ref="B370:E370"/>
    <mergeCell ref="F370:I370"/>
    <mergeCell ref="J370:L370"/>
    <mergeCell ref="M370:N370"/>
    <mergeCell ref="O370:P370"/>
    <mergeCell ref="B371:E371"/>
    <mergeCell ref="F371:I371"/>
    <mergeCell ref="J371:L371"/>
    <mergeCell ref="M371:N371"/>
    <mergeCell ref="O371:P371"/>
    <mergeCell ref="B368:E368"/>
    <mergeCell ref="F368:I368"/>
    <mergeCell ref="J368:L368"/>
    <mergeCell ref="M368:N368"/>
    <mergeCell ref="O368:P368"/>
    <mergeCell ref="B369:E369"/>
    <mergeCell ref="F369:I369"/>
    <mergeCell ref="J369:L369"/>
    <mergeCell ref="M369:N369"/>
    <mergeCell ref="O369:P369"/>
    <mergeCell ref="B366:E366"/>
    <mergeCell ref="F366:I366"/>
    <mergeCell ref="J366:L366"/>
    <mergeCell ref="M366:N366"/>
    <mergeCell ref="O366:P366"/>
    <mergeCell ref="B367:E367"/>
    <mergeCell ref="F367:I367"/>
    <mergeCell ref="J367:L367"/>
    <mergeCell ref="M367:N367"/>
    <mergeCell ref="O367:P367"/>
    <mergeCell ref="B364:E364"/>
    <mergeCell ref="F364:I364"/>
    <mergeCell ref="J364:L364"/>
    <mergeCell ref="M364:N364"/>
    <mergeCell ref="O364:P364"/>
    <mergeCell ref="B365:E365"/>
    <mergeCell ref="F365:I365"/>
    <mergeCell ref="J365:L365"/>
    <mergeCell ref="M365:N365"/>
    <mergeCell ref="O365:P365"/>
    <mergeCell ref="B362:E362"/>
    <mergeCell ref="F362:I362"/>
    <mergeCell ref="J362:L362"/>
    <mergeCell ref="M362:N362"/>
    <mergeCell ref="O362:P362"/>
    <mergeCell ref="B363:E363"/>
    <mergeCell ref="F363:I363"/>
    <mergeCell ref="J363:L363"/>
    <mergeCell ref="M363:N363"/>
    <mergeCell ref="O363:P363"/>
    <mergeCell ref="B360:E360"/>
    <mergeCell ref="F360:I360"/>
    <mergeCell ref="J360:L360"/>
    <mergeCell ref="M360:N360"/>
    <mergeCell ref="O360:P360"/>
    <mergeCell ref="B361:E361"/>
    <mergeCell ref="F361:I361"/>
    <mergeCell ref="J361:L361"/>
    <mergeCell ref="M361:N361"/>
    <mergeCell ref="O361:P361"/>
    <mergeCell ref="B358:E358"/>
    <mergeCell ref="F358:I358"/>
    <mergeCell ref="J358:L358"/>
    <mergeCell ref="M358:N358"/>
    <mergeCell ref="O358:P358"/>
    <mergeCell ref="B359:E359"/>
    <mergeCell ref="F359:I359"/>
    <mergeCell ref="J359:L359"/>
    <mergeCell ref="M359:N359"/>
    <mergeCell ref="O359:P359"/>
    <mergeCell ref="B356:E356"/>
    <mergeCell ref="F356:I356"/>
    <mergeCell ref="J356:L356"/>
    <mergeCell ref="M356:N356"/>
    <mergeCell ref="O356:P356"/>
    <mergeCell ref="B357:E357"/>
    <mergeCell ref="F357:I357"/>
    <mergeCell ref="J357:L357"/>
    <mergeCell ref="M357:N357"/>
    <mergeCell ref="O357:P357"/>
    <mergeCell ref="B354:E354"/>
    <mergeCell ref="F354:I354"/>
    <mergeCell ref="J354:L354"/>
    <mergeCell ref="M354:N354"/>
    <mergeCell ref="O354:P354"/>
    <mergeCell ref="B355:E355"/>
    <mergeCell ref="F355:I355"/>
    <mergeCell ref="J355:L355"/>
    <mergeCell ref="M355:N355"/>
    <mergeCell ref="O355:P355"/>
    <mergeCell ref="B352:E352"/>
    <mergeCell ref="F352:I352"/>
    <mergeCell ref="J352:L352"/>
    <mergeCell ref="M352:N352"/>
    <mergeCell ref="O352:P352"/>
    <mergeCell ref="B353:E353"/>
    <mergeCell ref="F353:I353"/>
    <mergeCell ref="J353:L353"/>
    <mergeCell ref="M353:N353"/>
    <mergeCell ref="O353:P353"/>
    <mergeCell ref="B350:E350"/>
    <mergeCell ref="F350:I350"/>
    <mergeCell ref="J350:L350"/>
    <mergeCell ref="M350:N350"/>
    <mergeCell ref="O350:P350"/>
    <mergeCell ref="B351:E351"/>
    <mergeCell ref="F351:I351"/>
    <mergeCell ref="J351:L351"/>
    <mergeCell ref="M351:N351"/>
    <mergeCell ref="O351:P351"/>
    <mergeCell ref="B348:E348"/>
    <mergeCell ref="F348:I348"/>
    <mergeCell ref="J348:L348"/>
    <mergeCell ref="M348:N348"/>
    <mergeCell ref="O348:P348"/>
    <mergeCell ref="B349:E349"/>
    <mergeCell ref="F349:I349"/>
    <mergeCell ref="J349:L349"/>
    <mergeCell ref="M349:N349"/>
    <mergeCell ref="O349:P349"/>
    <mergeCell ref="B346:E346"/>
    <mergeCell ref="F346:I346"/>
    <mergeCell ref="J346:L346"/>
    <mergeCell ref="M346:N346"/>
    <mergeCell ref="O346:P346"/>
    <mergeCell ref="B347:E347"/>
    <mergeCell ref="F347:I347"/>
    <mergeCell ref="J347:L347"/>
    <mergeCell ref="M347:N347"/>
    <mergeCell ref="O347:P347"/>
    <mergeCell ref="B344:E344"/>
    <mergeCell ref="F344:I344"/>
    <mergeCell ref="J344:L344"/>
    <mergeCell ref="M344:N344"/>
    <mergeCell ref="O344:P344"/>
    <mergeCell ref="B345:E345"/>
    <mergeCell ref="F345:I345"/>
    <mergeCell ref="J345:L345"/>
    <mergeCell ref="M345:N345"/>
    <mergeCell ref="O345:P345"/>
    <mergeCell ref="B342:E342"/>
    <mergeCell ref="F342:I342"/>
    <mergeCell ref="J342:L342"/>
    <mergeCell ref="M342:N342"/>
    <mergeCell ref="O342:P342"/>
    <mergeCell ref="B343:E343"/>
    <mergeCell ref="F343:I343"/>
    <mergeCell ref="J343:L343"/>
    <mergeCell ref="M343:N343"/>
    <mergeCell ref="O343:P343"/>
    <mergeCell ref="B340:E340"/>
    <mergeCell ref="F340:I340"/>
    <mergeCell ref="J340:L340"/>
    <mergeCell ref="M340:N340"/>
    <mergeCell ref="O340:P340"/>
    <mergeCell ref="B341:E341"/>
    <mergeCell ref="F341:I341"/>
    <mergeCell ref="J341:L341"/>
    <mergeCell ref="M341:N341"/>
    <mergeCell ref="O341:P341"/>
    <mergeCell ref="B338:E338"/>
    <mergeCell ref="F338:I338"/>
    <mergeCell ref="J338:L338"/>
    <mergeCell ref="M338:N338"/>
    <mergeCell ref="O338:P338"/>
    <mergeCell ref="B339:E339"/>
    <mergeCell ref="F339:I339"/>
    <mergeCell ref="J339:L339"/>
    <mergeCell ref="M339:N339"/>
    <mergeCell ref="O339:P339"/>
    <mergeCell ref="B336:E336"/>
    <mergeCell ref="F336:I336"/>
    <mergeCell ref="J336:L336"/>
    <mergeCell ref="M336:N336"/>
    <mergeCell ref="O336:P336"/>
    <mergeCell ref="B337:E337"/>
    <mergeCell ref="F337:I337"/>
    <mergeCell ref="J337:L337"/>
    <mergeCell ref="M337:N337"/>
    <mergeCell ref="O337:P337"/>
    <mergeCell ref="B334:E334"/>
    <mergeCell ref="F334:I334"/>
    <mergeCell ref="J334:L334"/>
    <mergeCell ref="M334:N334"/>
    <mergeCell ref="O334:P334"/>
    <mergeCell ref="B335:E335"/>
    <mergeCell ref="F335:I335"/>
    <mergeCell ref="J335:L335"/>
    <mergeCell ref="M335:N335"/>
    <mergeCell ref="O335:P335"/>
    <mergeCell ref="B332:E332"/>
    <mergeCell ref="F332:I332"/>
    <mergeCell ref="J332:L332"/>
    <mergeCell ref="M332:N332"/>
    <mergeCell ref="O332:P332"/>
    <mergeCell ref="B333:E333"/>
    <mergeCell ref="F333:I333"/>
    <mergeCell ref="J333:L333"/>
    <mergeCell ref="M333:N333"/>
    <mergeCell ref="O333:P333"/>
    <mergeCell ref="B330:E330"/>
    <mergeCell ref="F330:I330"/>
    <mergeCell ref="J330:L330"/>
    <mergeCell ref="M330:N330"/>
    <mergeCell ref="O330:P330"/>
    <mergeCell ref="B331:E331"/>
    <mergeCell ref="F331:I331"/>
    <mergeCell ref="J331:L331"/>
    <mergeCell ref="M331:N331"/>
    <mergeCell ref="O331:P331"/>
    <mergeCell ref="B328:E328"/>
    <mergeCell ref="F328:I328"/>
    <mergeCell ref="J328:L328"/>
    <mergeCell ref="M328:N328"/>
    <mergeCell ref="O328:P328"/>
    <mergeCell ref="B329:E329"/>
    <mergeCell ref="F329:I329"/>
    <mergeCell ref="J329:L329"/>
    <mergeCell ref="M329:N329"/>
    <mergeCell ref="O329:P329"/>
    <mergeCell ref="B326:E326"/>
    <mergeCell ref="F326:I326"/>
    <mergeCell ref="J326:L326"/>
    <mergeCell ref="M326:N326"/>
    <mergeCell ref="O326:P326"/>
    <mergeCell ref="B327:E327"/>
    <mergeCell ref="F327:I327"/>
    <mergeCell ref="J327:L327"/>
    <mergeCell ref="M327:N327"/>
    <mergeCell ref="O327:P327"/>
    <mergeCell ref="B324:E324"/>
    <mergeCell ref="F324:I324"/>
    <mergeCell ref="J324:L324"/>
    <mergeCell ref="M324:N324"/>
    <mergeCell ref="O324:P324"/>
    <mergeCell ref="B325:E325"/>
    <mergeCell ref="F325:I325"/>
    <mergeCell ref="J325:L325"/>
    <mergeCell ref="M325:N325"/>
    <mergeCell ref="O325:P325"/>
    <mergeCell ref="B322:E322"/>
    <mergeCell ref="F322:I322"/>
    <mergeCell ref="J322:L322"/>
    <mergeCell ref="M322:N322"/>
    <mergeCell ref="O322:P322"/>
    <mergeCell ref="B323:E323"/>
    <mergeCell ref="F323:I323"/>
    <mergeCell ref="J323:L323"/>
    <mergeCell ref="M323:N323"/>
    <mergeCell ref="O323:P323"/>
    <mergeCell ref="B320:E320"/>
    <mergeCell ref="F320:I320"/>
    <mergeCell ref="J320:L320"/>
    <mergeCell ref="M320:N320"/>
    <mergeCell ref="O320:P320"/>
    <mergeCell ref="B321:E321"/>
    <mergeCell ref="F321:I321"/>
    <mergeCell ref="J321:L321"/>
    <mergeCell ref="M321:N321"/>
    <mergeCell ref="O321:P321"/>
    <mergeCell ref="B318:E318"/>
    <mergeCell ref="F318:I318"/>
    <mergeCell ref="J318:L318"/>
    <mergeCell ref="M318:N318"/>
    <mergeCell ref="O318:P318"/>
    <mergeCell ref="B319:E319"/>
    <mergeCell ref="F319:I319"/>
    <mergeCell ref="J319:L319"/>
    <mergeCell ref="M319:N319"/>
    <mergeCell ref="O319:P319"/>
    <mergeCell ref="B316:E316"/>
    <mergeCell ref="F316:I316"/>
    <mergeCell ref="J316:L316"/>
    <mergeCell ref="M316:N316"/>
    <mergeCell ref="O316:P316"/>
    <mergeCell ref="B317:E317"/>
    <mergeCell ref="F317:I317"/>
    <mergeCell ref="J317:L317"/>
    <mergeCell ref="M317:N317"/>
    <mergeCell ref="O317:P317"/>
    <mergeCell ref="B314:E314"/>
    <mergeCell ref="F314:I314"/>
    <mergeCell ref="J314:L314"/>
    <mergeCell ref="M314:N314"/>
    <mergeCell ref="O314:P314"/>
    <mergeCell ref="B315:E315"/>
    <mergeCell ref="F315:I315"/>
    <mergeCell ref="J315:L315"/>
    <mergeCell ref="M315:N315"/>
    <mergeCell ref="O315:P315"/>
    <mergeCell ref="B312:E312"/>
    <mergeCell ref="F312:I312"/>
    <mergeCell ref="J312:L312"/>
    <mergeCell ref="M312:N312"/>
    <mergeCell ref="O312:P312"/>
    <mergeCell ref="B313:E313"/>
    <mergeCell ref="F313:I313"/>
    <mergeCell ref="J313:L313"/>
    <mergeCell ref="M313:N313"/>
    <mergeCell ref="O313:P313"/>
    <mergeCell ref="B310:E310"/>
    <mergeCell ref="F310:I310"/>
    <mergeCell ref="J310:L310"/>
    <mergeCell ref="M310:N310"/>
    <mergeCell ref="O310:P310"/>
    <mergeCell ref="B311:E311"/>
    <mergeCell ref="F311:I311"/>
    <mergeCell ref="J311:L311"/>
    <mergeCell ref="M311:N311"/>
    <mergeCell ref="O311:P311"/>
    <mergeCell ref="B308:E308"/>
    <mergeCell ref="F308:I308"/>
    <mergeCell ref="J308:L308"/>
    <mergeCell ref="M308:N308"/>
    <mergeCell ref="O308:P308"/>
    <mergeCell ref="B309:E309"/>
    <mergeCell ref="F309:I309"/>
    <mergeCell ref="J309:L309"/>
    <mergeCell ref="M309:N309"/>
    <mergeCell ref="O309:P309"/>
    <mergeCell ref="B306:E306"/>
    <mergeCell ref="F306:I306"/>
    <mergeCell ref="J306:L306"/>
    <mergeCell ref="M306:N306"/>
    <mergeCell ref="O306:P306"/>
    <mergeCell ref="B307:E307"/>
    <mergeCell ref="F307:I307"/>
    <mergeCell ref="J307:L307"/>
    <mergeCell ref="M307:N307"/>
    <mergeCell ref="O307:P307"/>
    <mergeCell ref="B304:E304"/>
    <mergeCell ref="F304:I304"/>
    <mergeCell ref="J304:L304"/>
    <mergeCell ref="M304:N304"/>
    <mergeCell ref="O304:P304"/>
    <mergeCell ref="B305:E305"/>
    <mergeCell ref="F305:I305"/>
    <mergeCell ref="J305:L305"/>
    <mergeCell ref="M305:N305"/>
    <mergeCell ref="O305:P305"/>
    <mergeCell ref="B302:E302"/>
    <mergeCell ref="F302:I302"/>
    <mergeCell ref="J302:L302"/>
    <mergeCell ref="M302:N302"/>
    <mergeCell ref="O302:P302"/>
    <mergeCell ref="B303:E303"/>
    <mergeCell ref="F303:I303"/>
    <mergeCell ref="J303:L303"/>
    <mergeCell ref="M303:N303"/>
    <mergeCell ref="O303:P303"/>
    <mergeCell ref="B300:E300"/>
    <mergeCell ref="F300:I300"/>
    <mergeCell ref="J300:L300"/>
    <mergeCell ref="M300:N300"/>
    <mergeCell ref="O300:P300"/>
    <mergeCell ref="B301:E301"/>
    <mergeCell ref="F301:I301"/>
    <mergeCell ref="J301:L301"/>
    <mergeCell ref="M301:N301"/>
    <mergeCell ref="O301:P301"/>
    <mergeCell ref="B298:E298"/>
    <mergeCell ref="F298:I298"/>
    <mergeCell ref="J298:L298"/>
    <mergeCell ref="M298:N298"/>
    <mergeCell ref="O298:P298"/>
    <mergeCell ref="B299:E299"/>
    <mergeCell ref="F299:I299"/>
    <mergeCell ref="J299:L299"/>
    <mergeCell ref="M299:N299"/>
    <mergeCell ref="O299:P299"/>
    <mergeCell ref="B296:E296"/>
    <mergeCell ref="F296:I296"/>
    <mergeCell ref="J296:L296"/>
    <mergeCell ref="M296:N296"/>
    <mergeCell ref="O296:P296"/>
    <mergeCell ref="B297:E297"/>
    <mergeCell ref="F297:I297"/>
    <mergeCell ref="J297:L297"/>
    <mergeCell ref="M297:N297"/>
    <mergeCell ref="O297:P297"/>
    <mergeCell ref="B294:E294"/>
    <mergeCell ref="F294:I294"/>
    <mergeCell ref="J294:L294"/>
    <mergeCell ref="M294:N294"/>
    <mergeCell ref="O294:P294"/>
    <mergeCell ref="B295:E295"/>
    <mergeCell ref="F295:I295"/>
    <mergeCell ref="J295:L295"/>
    <mergeCell ref="M295:N295"/>
    <mergeCell ref="O295:P295"/>
    <mergeCell ref="B292:E292"/>
    <mergeCell ref="F292:I292"/>
    <mergeCell ref="J292:L292"/>
    <mergeCell ref="M292:N292"/>
    <mergeCell ref="O292:P292"/>
    <mergeCell ref="B293:E293"/>
    <mergeCell ref="F293:I293"/>
    <mergeCell ref="J293:L293"/>
    <mergeCell ref="M293:N293"/>
    <mergeCell ref="O293:P293"/>
    <mergeCell ref="B290:E290"/>
    <mergeCell ref="F290:I290"/>
    <mergeCell ref="J290:L290"/>
    <mergeCell ref="M290:N290"/>
    <mergeCell ref="O290:P290"/>
    <mergeCell ref="B291:E291"/>
    <mergeCell ref="F291:I291"/>
    <mergeCell ref="J291:L291"/>
    <mergeCell ref="M291:N291"/>
    <mergeCell ref="O291:P291"/>
    <mergeCell ref="B288:E288"/>
    <mergeCell ref="F288:I288"/>
    <mergeCell ref="J288:L288"/>
    <mergeCell ref="M288:N288"/>
    <mergeCell ref="O288:P288"/>
    <mergeCell ref="B289:E289"/>
    <mergeCell ref="F289:I289"/>
    <mergeCell ref="J289:L289"/>
    <mergeCell ref="M289:N289"/>
    <mergeCell ref="O289:P289"/>
    <mergeCell ref="B286:E286"/>
    <mergeCell ref="F286:I286"/>
    <mergeCell ref="J286:L286"/>
    <mergeCell ref="M286:N286"/>
    <mergeCell ref="O286:P286"/>
    <mergeCell ref="B287:E287"/>
    <mergeCell ref="F287:I287"/>
    <mergeCell ref="J287:L287"/>
    <mergeCell ref="M287:N287"/>
    <mergeCell ref="O287:P287"/>
    <mergeCell ref="B284:E284"/>
    <mergeCell ref="F284:I284"/>
    <mergeCell ref="J284:L284"/>
    <mergeCell ref="M284:N284"/>
    <mergeCell ref="O284:P284"/>
    <mergeCell ref="B285:E285"/>
    <mergeCell ref="F285:I285"/>
    <mergeCell ref="J285:L285"/>
    <mergeCell ref="M285:N285"/>
    <mergeCell ref="O285:P285"/>
    <mergeCell ref="B282:E282"/>
    <mergeCell ref="F282:I282"/>
    <mergeCell ref="J282:L282"/>
    <mergeCell ref="M282:N282"/>
    <mergeCell ref="O282:P282"/>
    <mergeCell ref="B283:E283"/>
    <mergeCell ref="F283:I283"/>
    <mergeCell ref="J283:L283"/>
    <mergeCell ref="M283:N283"/>
    <mergeCell ref="O283:P283"/>
    <mergeCell ref="B280:E280"/>
    <mergeCell ref="F280:I280"/>
    <mergeCell ref="J280:L280"/>
    <mergeCell ref="M280:N280"/>
    <mergeCell ref="O280:P280"/>
    <mergeCell ref="B281:E281"/>
    <mergeCell ref="F281:I281"/>
    <mergeCell ref="J281:L281"/>
    <mergeCell ref="M281:N281"/>
    <mergeCell ref="O281:P281"/>
    <mergeCell ref="B278:E278"/>
    <mergeCell ref="F278:I278"/>
    <mergeCell ref="J278:L278"/>
    <mergeCell ref="M278:N278"/>
    <mergeCell ref="O278:P278"/>
    <mergeCell ref="B279:E279"/>
    <mergeCell ref="F279:I279"/>
    <mergeCell ref="J279:L279"/>
    <mergeCell ref="M279:N279"/>
    <mergeCell ref="O279:P279"/>
    <mergeCell ref="B276:E276"/>
    <mergeCell ref="F276:I276"/>
    <mergeCell ref="J276:L276"/>
    <mergeCell ref="M276:N276"/>
    <mergeCell ref="O276:P276"/>
    <mergeCell ref="B277:E277"/>
    <mergeCell ref="F277:I277"/>
    <mergeCell ref="J277:L277"/>
    <mergeCell ref="M277:N277"/>
    <mergeCell ref="O277:P277"/>
    <mergeCell ref="B274:E274"/>
    <mergeCell ref="F274:I274"/>
    <mergeCell ref="J274:L274"/>
    <mergeCell ref="M274:N274"/>
    <mergeCell ref="O274:P274"/>
    <mergeCell ref="B275:E275"/>
    <mergeCell ref="F275:I275"/>
    <mergeCell ref="J275:L275"/>
    <mergeCell ref="M275:N275"/>
    <mergeCell ref="O275:P275"/>
    <mergeCell ref="B272:E272"/>
    <mergeCell ref="F272:I272"/>
    <mergeCell ref="J272:L272"/>
    <mergeCell ref="M272:N272"/>
    <mergeCell ref="O272:P272"/>
    <mergeCell ref="B273:E273"/>
    <mergeCell ref="F273:I273"/>
    <mergeCell ref="J273:L273"/>
    <mergeCell ref="M273:N273"/>
    <mergeCell ref="O273:P273"/>
    <mergeCell ref="B270:E270"/>
    <mergeCell ref="F270:I270"/>
    <mergeCell ref="J270:L270"/>
    <mergeCell ref="M270:N270"/>
    <mergeCell ref="O270:P270"/>
    <mergeCell ref="B271:E271"/>
    <mergeCell ref="F271:I271"/>
    <mergeCell ref="J271:L271"/>
    <mergeCell ref="M271:N271"/>
    <mergeCell ref="O271:P271"/>
    <mergeCell ref="B268:E268"/>
    <mergeCell ref="F268:I268"/>
    <mergeCell ref="J268:L268"/>
    <mergeCell ref="M268:N268"/>
    <mergeCell ref="O268:P268"/>
    <mergeCell ref="B269:E269"/>
    <mergeCell ref="F269:I269"/>
    <mergeCell ref="J269:L269"/>
    <mergeCell ref="M269:N269"/>
    <mergeCell ref="O269:P269"/>
    <mergeCell ref="B266:E266"/>
    <mergeCell ref="F266:I266"/>
    <mergeCell ref="J266:L266"/>
    <mergeCell ref="M266:N266"/>
    <mergeCell ref="O266:P266"/>
    <mergeCell ref="B267:E267"/>
    <mergeCell ref="F267:I267"/>
    <mergeCell ref="J267:L267"/>
    <mergeCell ref="M267:N267"/>
    <mergeCell ref="O267:P267"/>
    <mergeCell ref="B264:E264"/>
    <mergeCell ref="F264:I264"/>
    <mergeCell ref="J264:L264"/>
    <mergeCell ref="M264:N264"/>
    <mergeCell ref="O264:P264"/>
    <mergeCell ref="B265:E265"/>
    <mergeCell ref="F265:I265"/>
    <mergeCell ref="J265:L265"/>
    <mergeCell ref="M265:N265"/>
    <mergeCell ref="O265:P265"/>
    <mergeCell ref="B262:E262"/>
    <mergeCell ref="F262:I262"/>
    <mergeCell ref="J262:L262"/>
    <mergeCell ref="M262:N262"/>
    <mergeCell ref="O262:P262"/>
    <mergeCell ref="B263:E263"/>
    <mergeCell ref="F263:I263"/>
    <mergeCell ref="J263:L263"/>
    <mergeCell ref="M263:N263"/>
    <mergeCell ref="O263:P263"/>
    <mergeCell ref="B260:E260"/>
    <mergeCell ref="F260:I260"/>
    <mergeCell ref="J260:L260"/>
    <mergeCell ref="M260:N260"/>
    <mergeCell ref="O260:P260"/>
    <mergeCell ref="B261:E261"/>
    <mergeCell ref="F261:I261"/>
    <mergeCell ref="J261:L261"/>
    <mergeCell ref="M261:N261"/>
    <mergeCell ref="O261:P261"/>
    <mergeCell ref="B258:E258"/>
    <mergeCell ref="F258:I258"/>
    <mergeCell ref="J258:L258"/>
    <mergeCell ref="M258:N258"/>
    <mergeCell ref="O258:P258"/>
    <mergeCell ref="B259:E259"/>
    <mergeCell ref="F259:I259"/>
    <mergeCell ref="J259:L259"/>
    <mergeCell ref="M259:N259"/>
    <mergeCell ref="O259:P259"/>
    <mergeCell ref="B256:E256"/>
    <mergeCell ref="F256:I256"/>
    <mergeCell ref="J256:L256"/>
    <mergeCell ref="M256:N256"/>
    <mergeCell ref="O256:P256"/>
    <mergeCell ref="B257:E257"/>
    <mergeCell ref="F257:I257"/>
    <mergeCell ref="J257:L257"/>
    <mergeCell ref="M257:N257"/>
    <mergeCell ref="O257:P257"/>
    <mergeCell ref="B254:E254"/>
    <mergeCell ref="F254:I254"/>
    <mergeCell ref="J254:L254"/>
    <mergeCell ref="M254:N254"/>
    <mergeCell ref="O254:P254"/>
    <mergeCell ref="B255:E255"/>
    <mergeCell ref="F255:I255"/>
    <mergeCell ref="J255:L255"/>
    <mergeCell ref="M255:N255"/>
    <mergeCell ref="O255:P255"/>
    <mergeCell ref="B252:E252"/>
    <mergeCell ref="F252:I252"/>
    <mergeCell ref="J252:L252"/>
    <mergeCell ref="M252:N252"/>
    <mergeCell ref="O252:P252"/>
    <mergeCell ref="B253:E253"/>
    <mergeCell ref="F253:I253"/>
    <mergeCell ref="J253:L253"/>
    <mergeCell ref="M253:N253"/>
    <mergeCell ref="O253:P253"/>
    <mergeCell ref="B250:E250"/>
    <mergeCell ref="F250:I250"/>
    <mergeCell ref="J250:L250"/>
    <mergeCell ref="M250:N250"/>
    <mergeCell ref="O250:P250"/>
    <mergeCell ref="B251:E251"/>
    <mergeCell ref="F251:I251"/>
    <mergeCell ref="J251:L251"/>
    <mergeCell ref="M251:N251"/>
    <mergeCell ref="O251:P251"/>
    <mergeCell ref="B248:E248"/>
    <mergeCell ref="F248:I248"/>
    <mergeCell ref="J248:L248"/>
    <mergeCell ref="M248:N248"/>
    <mergeCell ref="O248:P248"/>
    <mergeCell ref="B249:E249"/>
    <mergeCell ref="F249:I249"/>
    <mergeCell ref="J249:L249"/>
    <mergeCell ref="M249:N249"/>
    <mergeCell ref="O249:P249"/>
    <mergeCell ref="B246:E246"/>
    <mergeCell ref="F246:I246"/>
    <mergeCell ref="J246:L246"/>
    <mergeCell ref="M246:N246"/>
    <mergeCell ref="O246:P246"/>
    <mergeCell ref="B247:E247"/>
    <mergeCell ref="F247:I247"/>
    <mergeCell ref="J247:L247"/>
    <mergeCell ref="M247:N247"/>
    <mergeCell ref="O247:P247"/>
    <mergeCell ref="B244:E244"/>
    <mergeCell ref="F244:I244"/>
    <mergeCell ref="J244:L244"/>
    <mergeCell ref="M244:N244"/>
    <mergeCell ref="O244:P244"/>
    <mergeCell ref="B245:E245"/>
    <mergeCell ref="F245:I245"/>
    <mergeCell ref="J245:L245"/>
    <mergeCell ref="M245:N245"/>
    <mergeCell ref="O245:P245"/>
    <mergeCell ref="B242:E242"/>
    <mergeCell ref="F242:I242"/>
    <mergeCell ref="J242:L242"/>
    <mergeCell ref="M242:N242"/>
    <mergeCell ref="O242:P242"/>
    <mergeCell ref="B243:E243"/>
    <mergeCell ref="F243:I243"/>
    <mergeCell ref="J243:L243"/>
    <mergeCell ref="M243:N243"/>
    <mergeCell ref="O243:P243"/>
    <mergeCell ref="B240:E240"/>
    <mergeCell ref="F240:I240"/>
    <mergeCell ref="J240:L240"/>
    <mergeCell ref="M240:N240"/>
    <mergeCell ref="O240:P240"/>
    <mergeCell ref="B241:E241"/>
    <mergeCell ref="F241:I241"/>
    <mergeCell ref="J241:L241"/>
    <mergeCell ref="M241:N241"/>
    <mergeCell ref="O241:P241"/>
    <mergeCell ref="B238:E238"/>
    <mergeCell ref="F238:I238"/>
    <mergeCell ref="J238:L238"/>
    <mergeCell ref="M238:N238"/>
    <mergeCell ref="O238:P238"/>
    <mergeCell ref="B239:E239"/>
    <mergeCell ref="F239:I239"/>
    <mergeCell ref="J239:L239"/>
    <mergeCell ref="M239:N239"/>
    <mergeCell ref="O239:P239"/>
    <mergeCell ref="B236:E236"/>
    <mergeCell ref="F236:I236"/>
    <mergeCell ref="J236:L236"/>
    <mergeCell ref="M236:N236"/>
    <mergeCell ref="O236:P236"/>
    <mergeCell ref="B237:E237"/>
    <mergeCell ref="F237:I237"/>
    <mergeCell ref="J237:L237"/>
    <mergeCell ref="M237:N237"/>
    <mergeCell ref="O237:P237"/>
    <mergeCell ref="B234:E234"/>
    <mergeCell ref="F234:I234"/>
    <mergeCell ref="J234:L234"/>
    <mergeCell ref="M234:N234"/>
    <mergeCell ref="O234:P234"/>
    <mergeCell ref="B235:E235"/>
    <mergeCell ref="F235:I235"/>
    <mergeCell ref="J235:L235"/>
    <mergeCell ref="M235:N235"/>
    <mergeCell ref="O235:P235"/>
    <mergeCell ref="B232:E232"/>
    <mergeCell ref="F232:I232"/>
    <mergeCell ref="J232:L232"/>
    <mergeCell ref="M232:N232"/>
    <mergeCell ref="O232:P232"/>
    <mergeCell ref="B233:E233"/>
    <mergeCell ref="F233:I233"/>
    <mergeCell ref="J233:L233"/>
    <mergeCell ref="M233:N233"/>
    <mergeCell ref="O233:P233"/>
    <mergeCell ref="B230:E230"/>
    <mergeCell ref="F230:I230"/>
    <mergeCell ref="J230:L230"/>
    <mergeCell ref="M230:N230"/>
    <mergeCell ref="O230:P230"/>
    <mergeCell ref="B231:E231"/>
    <mergeCell ref="F231:I231"/>
    <mergeCell ref="J231:L231"/>
    <mergeCell ref="M231:N231"/>
    <mergeCell ref="O231:P231"/>
    <mergeCell ref="B228:E228"/>
    <mergeCell ref="F228:I228"/>
    <mergeCell ref="J228:L228"/>
    <mergeCell ref="M228:N228"/>
    <mergeCell ref="O228:P228"/>
    <mergeCell ref="B229:E229"/>
    <mergeCell ref="F229:I229"/>
    <mergeCell ref="J229:L229"/>
    <mergeCell ref="M229:N229"/>
    <mergeCell ref="O229:P229"/>
    <mergeCell ref="B226:E226"/>
    <mergeCell ref="F226:I226"/>
    <mergeCell ref="J226:L226"/>
    <mergeCell ref="M226:N226"/>
    <mergeCell ref="O226:P226"/>
    <mergeCell ref="B227:E227"/>
    <mergeCell ref="F227:I227"/>
    <mergeCell ref="J227:L227"/>
    <mergeCell ref="M227:N227"/>
    <mergeCell ref="O227:P227"/>
    <mergeCell ref="B224:E224"/>
    <mergeCell ref="F224:I224"/>
    <mergeCell ref="J224:L224"/>
    <mergeCell ref="M224:N224"/>
    <mergeCell ref="O224:P224"/>
    <mergeCell ref="B225:E225"/>
    <mergeCell ref="F225:I225"/>
    <mergeCell ref="J225:L225"/>
    <mergeCell ref="M225:N225"/>
    <mergeCell ref="O225:P225"/>
    <mergeCell ref="B222:E222"/>
    <mergeCell ref="F222:I222"/>
    <mergeCell ref="J222:L222"/>
    <mergeCell ref="M222:N222"/>
    <mergeCell ref="O222:P222"/>
    <mergeCell ref="B223:E223"/>
    <mergeCell ref="F223:I223"/>
    <mergeCell ref="J223:L223"/>
    <mergeCell ref="M223:N223"/>
    <mergeCell ref="O223:P223"/>
    <mergeCell ref="B220:E220"/>
    <mergeCell ref="F220:I220"/>
    <mergeCell ref="J220:L220"/>
    <mergeCell ref="M220:N220"/>
    <mergeCell ref="O220:P220"/>
    <mergeCell ref="B221:E221"/>
    <mergeCell ref="F221:I221"/>
    <mergeCell ref="J221:L221"/>
    <mergeCell ref="M221:N221"/>
    <mergeCell ref="O221:P221"/>
    <mergeCell ref="B218:E218"/>
    <mergeCell ref="F218:I218"/>
    <mergeCell ref="J218:L218"/>
    <mergeCell ref="M218:N218"/>
    <mergeCell ref="O218:P218"/>
    <mergeCell ref="B219:E219"/>
    <mergeCell ref="F219:I219"/>
    <mergeCell ref="J219:L219"/>
    <mergeCell ref="M219:N219"/>
    <mergeCell ref="O219:P219"/>
    <mergeCell ref="B216:E216"/>
    <mergeCell ref="F216:I216"/>
    <mergeCell ref="J216:L216"/>
    <mergeCell ref="M216:N216"/>
    <mergeCell ref="O216:P216"/>
    <mergeCell ref="B217:E217"/>
    <mergeCell ref="F217:I217"/>
    <mergeCell ref="J217:L217"/>
    <mergeCell ref="M217:N217"/>
    <mergeCell ref="O217:P217"/>
    <mergeCell ref="B214:E214"/>
    <mergeCell ref="F214:I214"/>
    <mergeCell ref="J214:L214"/>
    <mergeCell ref="M214:N214"/>
    <mergeCell ref="O214:P214"/>
    <mergeCell ref="B215:E215"/>
    <mergeCell ref="F215:I215"/>
    <mergeCell ref="J215:L215"/>
    <mergeCell ref="M215:N215"/>
    <mergeCell ref="O215:P215"/>
    <mergeCell ref="B212:E212"/>
    <mergeCell ref="F212:I212"/>
    <mergeCell ref="J212:L212"/>
    <mergeCell ref="M212:N212"/>
    <mergeCell ref="O212:P212"/>
    <mergeCell ref="B213:E213"/>
    <mergeCell ref="F213:I213"/>
    <mergeCell ref="J213:L213"/>
    <mergeCell ref="M213:N213"/>
    <mergeCell ref="O213:P213"/>
    <mergeCell ref="B210:E210"/>
    <mergeCell ref="F210:I210"/>
    <mergeCell ref="J210:L210"/>
    <mergeCell ref="M210:N210"/>
    <mergeCell ref="O210:P210"/>
    <mergeCell ref="B211:E211"/>
    <mergeCell ref="F211:I211"/>
    <mergeCell ref="J211:L211"/>
    <mergeCell ref="M211:N211"/>
    <mergeCell ref="O211:P211"/>
    <mergeCell ref="B208:E208"/>
    <mergeCell ref="F208:I208"/>
    <mergeCell ref="J208:L208"/>
    <mergeCell ref="M208:N208"/>
    <mergeCell ref="O208:P208"/>
    <mergeCell ref="B209:E209"/>
    <mergeCell ref="F209:I209"/>
    <mergeCell ref="J209:L209"/>
    <mergeCell ref="M209:N209"/>
    <mergeCell ref="O209:P209"/>
    <mergeCell ref="B206:E206"/>
    <mergeCell ref="F206:I206"/>
    <mergeCell ref="J206:L206"/>
    <mergeCell ref="M206:N206"/>
    <mergeCell ref="O206:P206"/>
    <mergeCell ref="B207:E207"/>
    <mergeCell ref="F207:I207"/>
    <mergeCell ref="J207:L207"/>
    <mergeCell ref="M207:N207"/>
    <mergeCell ref="O207:P207"/>
    <mergeCell ref="B204:E204"/>
    <mergeCell ref="F204:I204"/>
    <mergeCell ref="J204:L204"/>
    <mergeCell ref="M204:N204"/>
    <mergeCell ref="O204:P204"/>
    <mergeCell ref="B205:E205"/>
    <mergeCell ref="F205:I205"/>
    <mergeCell ref="J205:L205"/>
    <mergeCell ref="M205:N205"/>
    <mergeCell ref="O205:P205"/>
    <mergeCell ref="B202:E202"/>
    <mergeCell ref="F202:I202"/>
    <mergeCell ref="J202:L202"/>
    <mergeCell ref="M202:N202"/>
    <mergeCell ref="O202:P202"/>
    <mergeCell ref="B203:E203"/>
    <mergeCell ref="F203:I203"/>
    <mergeCell ref="J203:L203"/>
    <mergeCell ref="M203:N203"/>
    <mergeCell ref="O203:P203"/>
    <mergeCell ref="B200:E200"/>
    <mergeCell ref="F200:I200"/>
    <mergeCell ref="J200:L200"/>
    <mergeCell ref="M200:N200"/>
    <mergeCell ref="O200:P200"/>
    <mergeCell ref="B201:E201"/>
    <mergeCell ref="F201:I201"/>
    <mergeCell ref="J201:L201"/>
    <mergeCell ref="M201:N201"/>
    <mergeCell ref="O201:P201"/>
    <mergeCell ref="B198:E198"/>
    <mergeCell ref="F198:I198"/>
    <mergeCell ref="J198:L198"/>
    <mergeCell ref="M198:N198"/>
    <mergeCell ref="O198:P198"/>
    <mergeCell ref="B199:E199"/>
    <mergeCell ref="F199:I199"/>
    <mergeCell ref="J199:L199"/>
    <mergeCell ref="M199:N199"/>
    <mergeCell ref="O199:P199"/>
    <mergeCell ref="B196:E196"/>
    <mergeCell ref="F196:I196"/>
    <mergeCell ref="J196:L196"/>
    <mergeCell ref="M196:N196"/>
    <mergeCell ref="O196:P196"/>
    <mergeCell ref="B197:E197"/>
    <mergeCell ref="F197:I197"/>
    <mergeCell ref="J197:L197"/>
    <mergeCell ref="M197:N197"/>
    <mergeCell ref="O197:P197"/>
    <mergeCell ref="B194:E194"/>
    <mergeCell ref="F194:I194"/>
    <mergeCell ref="J194:L194"/>
    <mergeCell ref="M194:N194"/>
    <mergeCell ref="O194:P194"/>
    <mergeCell ref="B195:E195"/>
    <mergeCell ref="F195:I195"/>
    <mergeCell ref="J195:L195"/>
    <mergeCell ref="M195:N195"/>
    <mergeCell ref="O195:P195"/>
    <mergeCell ref="B192:E192"/>
    <mergeCell ref="F192:I192"/>
    <mergeCell ref="J192:L192"/>
    <mergeCell ref="M192:N192"/>
    <mergeCell ref="O192:P192"/>
    <mergeCell ref="B193:E193"/>
    <mergeCell ref="F193:I193"/>
    <mergeCell ref="J193:L193"/>
    <mergeCell ref="M193:N193"/>
    <mergeCell ref="O193:P193"/>
    <mergeCell ref="B190:E190"/>
    <mergeCell ref="F190:I190"/>
    <mergeCell ref="J190:L190"/>
    <mergeCell ref="M190:N190"/>
    <mergeCell ref="O190:P190"/>
    <mergeCell ref="B191:E191"/>
    <mergeCell ref="F191:I191"/>
    <mergeCell ref="J191:L191"/>
    <mergeCell ref="M191:N191"/>
    <mergeCell ref="O191:P191"/>
    <mergeCell ref="B188:E188"/>
    <mergeCell ref="F188:I188"/>
    <mergeCell ref="J188:L188"/>
    <mergeCell ref="M188:N188"/>
    <mergeCell ref="O188:P188"/>
    <mergeCell ref="B189:E189"/>
    <mergeCell ref="F189:I189"/>
    <mergeCell ref="J189:L189"/>
    <mergeCell ref="M189:N189"/>
    <mergeCell ref="O189:P189"/>
    <mergeCell ref="B186:E186"/>
    <mergeCell ref="F186:I186"/>
    <mergeCell ref="J186:L186"/>
    <mergeCell ref="M186:N186"/>
    <mergeCell ref="O186:P186"/>
    <mergeCell ref="B187:E187"/>
    <mergeCell ref="F187:I187"/>
    <mergeCell ref="J187:L187"/>
    <mergeCell ref="M187:N187"/>
    <mergeCell ref="O187:P187"/>
    <mergeCell ref="B184:E184"/>
    <mergeCell ref="F184:I184"/>
    <mergeCell ref="J184:L184"/>
    <mergeCell ref="M184:N184"/>
    <mergeCell ref="O184:P184"/>
    <mergeCell ref="B185:E185"/>
    <mergeCell ref="F185:I185"/>
    <mergeCell ref="J185:L185"/>
    <mergeCell ref="M185:N185"/>
    <mergeCell ref="O185:P185"/>
    <mergeCell ref="B182:E182"/>
    <mergeCell ref="F182:I182"/>
    <mergeCell ref="J182:L182"/>
    <mergeCell ref="M182:N182"/>
    <mergeCell ref="O182:P182"/>
    <mergeCell ref="B183:E183"/>
    <mergeCell ref="F183:I183"/>
    <mergeCell ref="J183:L183"/>
    <mergeCell ref="M183:N183"/>
    <mergeCell ref="O183:P183"/>
    <mergeCell ref="B180:E180"/>
    <mergeCell ref="F180:I180"/>
    <mergeCell ref="J180:L180"/>
    <mergeCell ref="M180:N180"/>
    <mergeCell ref="O180:P180"/>
    <mergeCell ref="B181:E181"/>
    <mergeCell ref="F181:I181"/>
    <mergeCell ref="J181:L181"/>
    <mergeCell ref="M181:N181"/>
    <mergeCell ref="O181:P181"/>
    <mergeCell ref="B178:E178"/>
    <mergeCell ref="F178:I178"/>
    <mergeCell ref="J178:L178"/>
    <mergeCell ref="M178:N178"/>
    <mergeCell ref="O178:P178"/>
    <mergeCell ref="B179:E179"/>
    <mergeCell ref="F179:I179"/>
    <mergeCell ref="J179:L179"/>
    <mergeCell ref="M179:N179"/>
    <mergeCell ref="O179:P179"/>
    <mergeCell ref="B176:E176"/>
    <mergeCell ref="F176:I176"/>
    <mergeCell ref="J176:L176"/>
    <mergeCell ref="M176:N176"/>
    <mergeCell ref="O176:P176"/>
    <mergeCell ref="B177:E177"/>
    <mergeCell ref="F177:I177"/>
    <mergeCell ref="J177:L177"/>
    <mergeCell ref="M177:N177"/>
    <mergeCell ref="O177:P177"/>
    <mergeCell ref="B174:E174"/>
    <mergeCell ref="F174:I174"/>
    <mergeCell ref="J174:L174"/>
    <mergeCell ref="M174:N174"/>
    <mergeCell ref="O174:P174"/>
    <mergeCell ref="B175:E175"/>
    <mergeCell ref="F175:I175"/>
    <mergeCell ref="J175:L175"/>
    <mergeCell ref="M175:N175"/>
    <mergeCell ref="O175:P175"/>
    <mergeCell ref="B172:E172"/>
    <mergeCell ref="F172:I172"/>
    <mergeCell ref="J172:L172"/>
    <mergeCell ref="M172:N172"/>
    <mergeCell ref="O172:P172"/>
    <mergeCell ref="B173:E173"/>
    <mergeCell ref="F173:I173"/>
    <mergeCell ref="J173:L173"/>
    <mergeCell ref="M173:N173"/>
    <mergeCell ref="O173:P173"/>
    <mergeCell ref="B170:E170"/>
    <mergeCell ref="F170:I170"/>
    <mergeCell ref="J170:L170"/>
    <mergeCell ref="M170:N170"/>
    <mergeCell ref="O170:P170"/>
    <mergeCell ref="B171:E171"/>
    <mergeCell ref="F171:I171"/>
    <mergeCell ref="J171:L171"/>
    <mergeCell ref="M171:N171"/>
    <mergeCell ref="O171:P171"/>
    <mergeCell ref="B168:E168"/>
    <mergeCell ref="F168:I168"/>
    <mergeCell ref="J168:L168"/>
    <mergeCell ref="M168:N168"/>
    <mergeCell ref="O168:P168"/>
    <mergeCell ref="B169:E169"/>
    <mergeCell ref="F169:I169"/>
    <mergeCell ref="J169:L169"/>
    <mergeCell ref="M169:N169"/>
    <mergeCell ref="O169:P169"/>
    <mergeCell ref="B166:E166"/>
    <mergeCell ref="F166:I166"/>
    <mergeCell ref="J166:L166"/>
    <mergeCell ref="M166:N166"/>
    <mergeCell ref="O166:P166"/>
    <mergeCell ref="B167:E167"/>
    <mergeCell ref="F167:I167"/>
    <mergeCell ref="J167:L167"/>
    <mergeCell ref="M167:N167"/>
    <mergeCell ref="O167:P167"/>
    <mergeCell ref="B164:E164"/>
    <mergeCell ref="F164:I164"/>
    <mergeCell ref="J164:L164"/>
    <mergeCell ref="M164:N164"/>
    <mergeCell ref="O164:P164"/>
    <mergeCell ref="B165:E165"/>
    <mergeCell ref="F165:I165"/>
    <mergeCell ref="J165:L165"/>
    <mergeCell ref="M165:N165"/>
    <mergeCell ref="O165:P165"/>
    <mergeCell ref="B162:E162"/>
    <mergeCell ref="F162:I162"/>
    <mergeCell ref="J162:L162"/>
    <mergeCell ref="M162:N162"/>
    <mergeCell ref="O162:P162"/>
    <mergeCell ref="B163:E163"/>
    <mergeCell ref="F163:I163"/>
    <mergeCell ref="J163:L163"/>
    <mergeCell ref="M163:N163"/>
    <mergeCell ref="O163:P163"/>
    <mergeCell ref="B160:E160"/>
    <mergeCell ref="F160:I160"/>
    <mergeCell ref="J160:L160"/>
    <mergeCell ref="M160:N160"/>
    <mergeCell ref="O160:P160"/>
    <mergeCell ref="B161:E161"/>
    <mergeCell ref="F161:I161"/>
    <mergeCell ref="J161:L161"/>
    <mergeCell ref="M161:N161"/>
    <mergeCell ref="O161:P161"/>
    <mergeCell ref="B158:E158"/>
    <mergeCell ref="F158:I158"/>
    <mergeCell ref="J158:L158"/>
    <mergeCell ref="M158:N158"/>
    <mergeCell ref="O158:P158"/>
    <mergeCell ref="B159:E159"/>
    <mergeCell ref="F159:I159"/>
    <mergeCell ref="J159:L159"/>
    <mergeCell ref="M159:N159"/>
    <mergeCell ref="O159:P159"/>
    <mergeCell ref="B156:E156"/>
    <mergeCell ref="F156:I156"/>
    <mergeCell ref="J156:L156"/>
    <mergeCell ref="M156:N156"/>
    <mergeCell ref="O156:P156"/>
    <mergeCell ref="B157:E157"/>
    <mergeCell ref="F157:I157"/>
    <mergeCell ref="J157:L157"/>
    <mergeCell ref="M157:N157"/>
    <mergeCell ref="O157:P157"/>
    <mergeCell ref="B154:E154"/>
    <mergeCell ref="F154:I154"/>
    <mergeCell ref="J154:L154"/>
    <mergeCell ref="M154:N154"/>
    <mergeCell ref="O154:P154"/>
    <mergeCell ref="B155:E155"/>
    <mergeCell ref="F155:I155"/>
    <mergeCell ref="J155:L155"/>
    <mergeCell ref="M155:N155"/>
    <mergeCell ref="O155:P155"/>
    <mergeCell ref="B152:E152"/>
    <mergeCell ref="F152:I152"/>
    <mergeCell ref="J152:L152"/>
    <mergeCell ref="M152:N152"/>
    <mergeCell ref="O152:P152"/>
    <mergeCell ref="B153:E153"/>
    <mergeCell ref="F153:I153"/>
    <mergeCell ref="J153:L153"/>
    <mergeCell ref="M153:N153"/>
    <mergeCell ref="O153:P153"/>
    <mergeCell ref="B150:E150"/>
    <mergeCell ref="F150:I150"/>
    <mergeCell ref="J150:L150"/>
    <mergeCell ref="M150:N150"/>
    <mergeCell ref="O150:P150"/>
    <mergeCell ref="B151:E151"/>
    <mergeCell ref="F151:I151"/>
    <mergeCell ref="J151:L151"/>
    <mergeCell ref="M151:N151"/>
    <mergeCell ref="O151:P151"/>
    <mergeCell ref="B148:E148"/>
    <mergeCell ref="F148:I148"/>
    <mergeCell ref="J148:L148"/>
    <mergeCell ref="M148:N148"/>
    <mergeCell ref="O148:P148"/>
    <mergeCell ref="B149:E149"/>
    <mergeCell ref="F149:I149"/>
    <mergeCell ref="J149:L149"/>
    <mergeCell ref="M149:N149"/>
    <mergeCell ref="O149:P149"/>
    <mergeCell ref="B146:E146"/>
    <mergeCell ref="F146:I146"/>
    <mergeCell ref="J146:L146"/>
    <mergeCell ref="M146:N146"/>
    <mergeCell ref="O146:P146"/>
    <mergeCell ref="B147:E147"/>
    <mergeCell ref="F147:I147"/>
    <mergeCell ref="J147:L147"/>
    <mergeCell ref="M147:N147"/>
    <mergeCell ref="O147:P147"/>
    <mergeCell ref="B144:E144"/>
    <mergeCell ref="F144:I144"/>
    <mergeCell ref="J144:L144"/>
    <mergeCell ref="M144:N144"/>
    <mergeCell ref="O144:P144"/>
    <mergeCell ref="B145:E145"/>
    <mergeCell ref="F145:I145"/>
    <mergeCell ref="J145:L145"/>
    <mergeCell ref="M145:N145"/>
    <mergeCell ref="O145:P145"/>
    <mergeCell ref="B142:E142"/>
    <mergeCell ref="F142:I142"/>
    <mergeCell ref="J142:L142"/>
    <mergeCell ref="M142:N142"/>
    <mergeCell ref="O142:P142"/>
    <mergeCell ref="B143:E143"/>
    <mergeCell ref="F143:I143"/>
    <mergeCell ref="J143:L143"/>
    <mergeCell ref="M143:N143"/>
    <mergeCell ref="O143:P143"/>
    <mergeCell ref="B140:E140"/>
    <mergeCell ref="F140:I140"/>
    <mergeCell ref="J140:L140"/>
    <mergeCell ref="M140:N140"/>
    <mergeCell ref="O140:P140"/>
    <mergeCell ref="B141:E141"/>
    <mergeCell ref="F141:I141"/>
    <mergeCell ref="J141:L141"/>
    <mergeCell ref="M141:N141"/>
    <mergeCell ref="O141:P141"/>
    <mergeCell ref="B138:E138"/>
    <mergeCell ref="F138:I138"/>
    <mergeCell ref="J138:L138"/>
    <mergeCell ref="M138:N138"/>
    <mergeCell ref="O138:P138"/>
    <mergeCell ref="B139:E139"/>
    <mergeCell ref="F139:I139"/>
    <mergeCell ref="J139:L139"/>
    <mergeCell ref="M139:N139"/>
    <mergeCell ref="O139:P139"/>
    <mergeCell ref="B136:E136"/>
    <mergeCell ref="F136:I136"/>
    <mergeCell ref="J136:L136"/>
    <mergeCell ref="M136:N136"/>
    <mergeCell ref="O136:P136"/>
    <mergeCell ref="B137:E137"/>
    <mergeCell ref="F137:I137"/>
    <mergeCell ref="J137:L137"/>
    <mergeCell ref="M137:N137"/>
    <mergeCell ref="O137:P137"/>
    <mergeCell ref="B134:E134"/>
    <mergeCell ref="F134:I134"/>
    <mergeCell ref="J134:L134"/>
    <mergeCell ref="M134:N134"/>
    <mergeCell ref="O134:P134"/>
    <mergeCell ref="B135:E135"/>
    <mergeCell ref="F135:I135"/>
    <mergeCell ref="J135:L135"/>
    <mergeCell ref="M135:N135"/>
    <mergeCell ref="O135:P135"/>
    <mergeCell ref="B132:E132"/>
    <mergeCell ref="F132:I132"/>
    <mergeCell ref="J132:L132"/>
    <mergeCell ref="M132:N132"/>
    <mergeCell ref="O132:P132"/>
    <mergeCell ref="B133:E133"/>
    <mergeCell ref="F133:I133"/>
    <mergeCell ref="J133:L133"/>
    <mergeCell ref="M133:N133"/>
    <mergeCell ref="O133:P133"/>
    <mergeCell ref="B130:E130"/>
    <mergeCell ref="F130:I130"/>
    <mergeCell ref="J130:L130"/>
    <mergeCell ref="M130:N130"/>
    <mergeCell ref="O130:P130"/>
    <mergeCell ref="B131:E131"/>
    <mergeCell ref="F131:I131"/>
    <mergeCell ref="J131:L131"/>
    <mergeCell ref="M131:N131"/>
    <mergeCell ref="O131:P131"/>
    <mergeCell ref="B128:E128"/>
    <mergeCell ref="F128:I128"/>
    <mergeCell ref="J128:L128"/>
    <mergeCell ref="M128:N128"/>
    <mergeCell ref="O128:P128"/>
    <mergeCell ref="B129:E129"/>
    <mergeCell ref="F129:I129"/>
    <mergeCell ref="J129:L129"/>
    <mergeCell ref="M129:N129"/>
    <mergeCell ref="O129:P129"/>
    <mergeCell ref="B126:E126"/>
    <mergeCell ref="F126:I126"/>
    <mergeCell ref="J126:L126"/>
    <mergeCell ref="M126:N126"/>
    <mergeCell ref="O126:P126"/>
    <mergeCell ref="B127:E127"/>
    <mergeCell ref="F127:I127"/>
    <mergeCell ref="J127:L127"/>
    <mergeCell ref="M127:N127"/>
    <mergeCell ref="O127:P127"/>
    <mergeCell ref="B124:E124"/>
    <mergeCell ref="F124:I124"/>
    <mergeCell ref="J124:L124"/>
    <mergeCell ref="M124:N124"/>
    <mergeCell ref="O124:P124"/>
    <mergeCell ref="B125:E125"/>
    <mergeCell ref="F125:I125"/>
    <mergeCell ref="J125:L125"/>
    <mergeCell ref="M125:N125"/>
    <mergeCell ref="O125:P125"/>
    <mergeCell ref="B122:E122"/>
    <mergeCell ref="F122:I122"/>
    <mergeCell ref="J122:L122"/>
    <mergeCell ref="M122:N122"/>
    <mergeCell ref="O122:P122"/>
    <mergeCell ref="B123:E123"/>
    <mergeCell ref="F123:I123"/>
    <mergeCell ref="J123:L123"/>
    <mergeCell ref="M123:N123"/>
    <mergeCell ref="O123:P123"/>
    <mergeCell ref="B120:E120"/>
    <mergeCell ref="F120:I120"/>
    <mergeCell ref="J120:L120"/>
    <mergeCell ref="M120:N120"/>
    <mergeCell ref="O120:P120"/>
    <mergeCell ref="B121:E121"/>
    <mergeCell ref="F121:I121"/>
    <mergeCell ref="J121:L121"/>
    <mergeCell ref="M121:N121"/>
    <mergeCell ref="O121:P121"/>
    <mergeCell ref="B118:E118"/>
    <mergeCell ref="F118:I118"/>
    <mergeCell ref="J118:L118"/>
    <mergeCell ref="M118:N118"/>
    <mergeCell ref="O118:P118"/>
    <mergeCell ref="B119:E119"/>
    <mergeCell ref="F119:I119"/>
    <mergeCell ref="J119:L119"/>
    <mergeCell ref="M119:N119"/>
    <mergeCell ref="O119:P119"/>
    <mergeCell ref="B116:E116"/>
    <mergeCell ref="F116:I116"/>
    <mergeCell ref="J116:L116"/>
    <mergeCell ref="M116:N116"/>
    <mergeCell ref="O116:P116"/>
    <mergeCell ref="B117:E117"/>
    <mergeCell ref="F117:I117"/>
    <mergeCell ref="J117:L117"/>
    <mergeCell ref="M117:N117"/>
    <mergeCell ref="O117:P117"/>
    <mergeCell ref="B114:E114"/>
    <mergeCell ref="F114:I114"/>
    <mergeCell ref="J114:L114"/>
    <mergeCell ref="M114:N114"/>
    <mergeCell ref="O114:P114"/>
    <mergeCell ref="B115:E115"/>
    <mergeCell ref="F115:I115"/>
    <mergeCell ref="J115:L115"/>
    <mergeCell ref="M115:N115"/>
    <mergeCell ref="O115:P115"/>
    <mergeCell ref="B112:E112"/>
    <mergeCell ref="F112:I112"/>
    <mergeCell ref="J112:L112"/>
    <mergeCell ref="M112:N112"/>
    <mergeCell ref="O112:P112"/>
    <mergeCell ref="B113:E113"/>
    <mergeCell ref="F113:I113"/>
    <mergeCell ref="J113:L113"/>
    <mergeCell ref="M113:N113"/>
    <mergeCell ref="O113:P113"/>
    <mergeCell ref="B110:E110"/>
    <mergeCell ref="F110:I110"/>
    <mergeCell ref="J110:L110"/>
    <mergeCell ref="M110:N110"/>
    <mergeCell ref="O110:P110"/>
    <mergeCell ref="B111:E111"/>
    <mergeCell ref="F111:I111"/>
    <mergeCell ref="J111:L111"/>
    <mergeCell ref="M111:N111"/>
    <mergeCell ref="O111:P111"/>
    <mergeCell ref="B108:E108"/>
    <mergeCell ref="F108:I108"/>
    <mergeCell ref="J108:L108"/>
    <mergeCell ref="M108:N108"/>
    <mergeCell ref="O108:P108"/>
    <mergeCell ref="B109:E109"/>
    <mergeCell ref="F109:I109"/>
    <mergeCell ref="J109:L109"/>
    <mergeCell ref="M109:N109"/>
    <mergeCell ref="O109:P109"/>
    <mergeCell ref="B106:E106"/>
    <mergeCell ref="F106:I106"/>
    <mergeCell ref="J106:L106"/>
    <mergeCell ref="M106:N106"/>
    <mergeCell ref="O106:P106"/>
    <mergeCell ref="B107:E107"/>
    <mergeCell ref="F107:I107"/>
    <mergeCell ref="J107:L107"/>
    <mergeCell ref="M107:N107"/>
    <mergeCell ref="O107:P107"/>
    <mergeCell ref="B104:E104"/>
    <mergeCell ref="F104:I104"/>
    <mergeCell ref="J104:L104"/>
    <mergeCell ref="M104:N104"/>
    <mergeCell ref="O104:P104"/>
    <mergeCell ref="B105:E105"/>
    <mergeCell ref="F105:I105"/>
    <mergeCell ref="J105:L105"/>
    <mergeCell ref="M105:N105"/>
    <mergeCell ref="O105:P105"/>
    <mergeCell ref="B102:E102"/>
    <mergeCell ref="F102:I102"/>
    <mergeCell ref="J102:L102"/>
    <mergeCell ref="M102:N102"/>
    <mergeCell ref="O102:P102"/>
    <mergeCell ref="B103:E103"/>
    <mergeCell ref="F103:I103"/>
    <mergeCell ref="J103:L103"/>
    <mergeCell ref="M103:N103"/>
    <mergeCell ref="O103:P103"/>
    <mergeCell ref="B100:E100"/>
    <mergeCell ref="F100:I100"/>
    <mergeCell ref="J100:L100"/>
    <mergeCell ref="M100:N100"/>
    <mergeCell ref="O100:P100"/>
    <mergeCell ref="B101:E101"/>
    <mergeCell ref="F101:I101"/>
    <mergeCell ref="J101:L101"/>
    <mergeCell ref="M101:N101"/>
    <mergeCell ref="O101:P101"/>
    <mergeCell ref="B98:E98"/>
    <mergeCell ref="F98:I98"/>
    <mergeCell ref="J98:L98"/>
    <mergeCell ref="M98:N98"/>
    <mergeCell ref="O98:P98"/>
    <mergeCell ref="B99:E99"/>
    <mergeCell ref="F99:I99"/>
    <mergeCell ref="J99:L99"/>
    <mergeCell ref="M99:N99"/>
    <mergeCell ref="O99:P99"/>
    <mergeCell ref="B96:E96"/>
    <mergeCell ref="F96:I96"/>
    <mergeCell ref="J96:L96"/>
    <mergeCell ref="M96:N96"/>
    <mergeCell ref="O96:P96"/>
    <mergeCell ref="B97:E97"/>
    <mergeCell ref="F97:I97"/>
    <mergeCell ref="J97:L97"/>
    <mergeCell ref="M97:N97"/>
    <mergeCell ref="O97:P97"/>
    <mergeCell ref="B94:E94"/>
    <mergeCell ref="F94:I94"/>
    <mergeCell ref="J94:L94"/>
    <mergeCell ref="M94:N94"/>
    <mergeCell ref="O94:P94"/>
    <mergeCell ref="B95:E95"/>
    <mergeCell ref="F95:I95"/>
    <mergeCell ref="J95:L95"/>
    <mergeCell ref="M95:N95"/>
    <mergeCell ref="O95:P95"/>
    <mergeCell ref="B92:E92"/>
    <mergeCell ref="F92:I92"/>
    <mergeCell ref="J92:L92"/>
    <mergeCell ref="M92:N92"/>
    <mergeCell ref="O92:P92"/>
    <mergeCell ref="B93:E93"/>
    <mergeCell ref="F93:I93"/>
    <mergeCell ref="J93:L93"/>
    <mergeCell ref="M93:N93"/>
    <mergeCell ref="O93:P93"/>
    <mergeCell ref="B90:E90"/>
    <mergeCell ref="F90:I90"/>
    <mergeCell ref="J90:L90"/>
    <mergeCell ref="M90:N90"/>
    <mergeCell ref="O90:P90"/>
    <mergeCell ref="B91:E91"/>
    <mergeCell ref="F91:I91"/>
    <mergeCell ref="J91:L91"/>
    <mergeCell ref="M91:N91"/>
    <mergeCell ref="O91:P91"/>
    <mergeCell ref="B88:E88"/>
    <mergeCell ref="F88:I88"/>
    <mergeCell ref="J88:L88"/>
    <mergeCell ref="M88:N88"/>
    <mergeCell ref="O88:P88"/>
    <mergeCell ref="B89:E89"/>
    <mergeCell ref="F89:I89"/>
    <mergeCell ref="J89:L89"/>
    <mergeCell ref="M89:N89"/>
    <mergeCell ref="O89:P89"/>
    <mergeCell ref="B86:E86"/>
    <mergeCell ref="F86:I86"/>
    <mergeCell ref="J86:L86"/>
    <mergeCell ref="M86:N86"/>
    <mergeCell ref="O86:P86"/>
    <mergeCell ref="B87:E87"/>
    <mergeCell ref="F87:I87"/>
    <mergeCell ref="J87:L87"/>
    <mergeCell ref="M87:N87"/>
    <mergeCell ref="O87:P87"/>
    <mergeCell ref="B84:E84"/>
    <mergeCell ref="F84:I84"/>
    <mergeCell ref="J84:L84"/>
    <mergeCell ref="M84:N84"/>
    <mergeCell ref="O84:P84"/>
    <mergeCell ref="B85:E85"/>
    <mergeCell ref="F85:I85"/>
    <mergeCell ref="J85:L85"/>
    <mergeCell ref="M85:N85"/>
    <mergeCell ref="O85:P85"/>
    <mergeCell ref="B82:E82"/>
    <mergeCell ref="F82:I82"/>
    <mergeCell ref="J82:L82"/>
    <mergeCell ref="M82:N82"/>
    <mergeCell ref="O82:P82"/>
    <mergeCell ref="B83:E83"/>
    <mergeCell ref="F83:I83"/>
    <mergeCell ref="J83:L83"/>
    <mergeCell ref="M83:N83"/>
    <mergeCell ref="O83:P83"/>
    <mergeCell ref="B80:E80"/>
    <mergeCell ref="F80:I80"/>
    <mergeCell ref="J80:L80"/>
    <mergeCell ref="M80:N80"/>
    <mergeCell ref="O80:P80"/>
    <mergeCell ref="B81:E81"/>
    <mergeCell ref="F81:I81"/>
    <mergeCell ref="J81:L81"/>
    <mergeCell ref="M81:N81"/>
    <mergeCell ref="O81:P81"/>
    <mergeCell ref="B78:E78"/>
    <mergeCell ref="F78:I78"/>
    <mergeCell ref="J78:L78"/>
    <mergeCell ref="M78:N78"/>
    <mergeCell ref="O78:P78"/>
    <mergeCell ref="B79:E79"/>
    <mergeCell ref="F79:I79"/>
    <mergeCell ref="J79:L79"/>
    <mergeCell ref="M79:N79"/>
    <mergeCell ref="O79:P79"/>
    <mergeCell ref="B76:E76"/>
    <mergeCell ref="F76:I76"/>
    <mergeCell ref="J76:L76"/>
    <mergeCell ref="M76:N76"/>
    <mergeCell ref="O76:P76"/>
    <mergeCell ref="B77:E77"/>
    <mergeCell ref="F77:I77"/>
    <mergeCell ref="J77:L77"/>
    <mergeCell ref="M77:N77"/>
    <mergeCell ref="O77:P77"/>
    <mergeCell ref="B74:E74"/>
    <mergeCell ref="F74:I74"/>
    <mergeCell ref="J74:L74"/>
    <mergeCell ref="M74:N74"/>
    <mergeCell ref="O74:P74"/>
    <mergeCell ref="B75:E75"/>
    <mergeCell ref="F75:I75"/>
    <mergeCell ref="J75:L75"/>
    <mergeCell ref="M75:N75"/>
    <mergeCell ref="O75:P75"/>
    <mergeCell ref="B72:E72"/>
    <mergeCell ref="F72:I72"/>
    <mergeCell ref="J72:L72"/>
    <mergeCell ref="M72:N72"/>
    <mergeCell ref="O72:P72"/>
    <mergeCell ref="B73:E73"/>
    <mergeCell ref="F73:I73"/>
    <mergeCell ref="J73:L73"/>
    <mergeCell ref="M73:N73"/>
    <mergeCell ref="O73:P73"/>
    <mergeCell ref="B70:E70"/>
    <mergeCell ref="F70:I70"/>
    <mergeCell ref="J70:L70"/>
    <mergeCell ref="M70:N70"/>
    <mergeCell ref="O70:P70"/>
    <mergeCell ref="B71:E71"/>
    <mergeCell ref="F71:I71"/>
    <mergeCell ref="J71:L71"/>
    <mergeCell ref="M71:N71"/>
    <mergeCell ref="O71:P71"/>
    <mergeCell ref="B68:E68"/>
    <mergeCell ref="F68:I68"/>
    <mergeCell ref="J68:L68"/>
    <mergeCell ref="M68:N68"/>
    <mergeCell ref="O68:P68"/>
    <mergeCell ref="B69:E69"/>
    <mergeCell ref="F69:I69"/>
    <mergeCell ref="J69:L69"/>
    <mergeCell ref="M69:N69"/>
    <mergeCell ref="O69:P69"/>
    <mergeCell ref="B66:E66"/>
    <mergeCell ref="F66:I66"/>
    <mergeCell ref="J66:L66"/>
    <mergeCell ref="M66:N66"/>
    <mergeCell ref="O66:P66"/>
    <mergeCell ref="B67:E67"/>
    <mergeCell ref="F67:I67"/>
    <mergeCell ref="J67:L67"/>
    <mergeCell ref="M67:N67"/>
    <mergeCell ref="O67:P67"/>
    <mergeCell ref="B64:E64"/>
    <mergeCell ref="F64:I64"/>
    <mergeCell ref="J64:L64"/>
    <mergeCell ref="M64:N64"/>
    <mergeCell ref="O64:P64"/>
    <mergeCell ref="B65:E65"/>
    <mergeCell ref="F65:I65"/>
    <mergeCell ref="J65:L65"/>
    <mergeCell ref="M65:N65"/>
    <mergeCell ref="O65:P65"/>
    <mergeCell ref="B62:E62"/>
    <mergeCell ref="F62:I62"/>
    <mergeCell ref="J62:L62"/>
    <mergeCell ref="M62:N62"/>
    <mergeCell ref="O62:P62"/>
    <mergeCell ref="B63:E63"/>
    <mergeCell ref="F63:I63"/>
    <mergeCell ref="J63:L63"/>
    <mergeCell ref="M63:N63"/>
    <mergeCell ref="O63:P63"/>
    <mergeCell ref="B60:E60"/>
    <mergeCell ref="F60:I60"/>
    <mergeCell ref="J60:L60"/>
    <mergeCell ref="M60:N60"/>
    <mergeCell ref="O60:P60"/>
    <mergeCell ref="B61:E61"/>
    <mergeCell ref="F61:I61"/>
    <mergeCell ref="J61:L61"/>
    <mergeCell ref="M61:N61"/>
    <mergeCell ref="O61:P61"/>
    <mergeCell ref="B58:E58"/>
    <mergeCell ref="F58:I58"/>
    <mergeCell ref="J58:L58"/>
    <mergeCell ref="M58:N58"/>
    <mergeCell ref="O58:P58"/>
    <mergeCell ref="B59:E59"/>
    <mergeCell ref="F59:I59"/>
    <mergeCell ref="J59:L59"/>
    <mergeCell ref="M59:N59"/>
    <mergeCell ref="O59:P59"/>
    <mergeCell ref="B56:E56"/>
    <mergeCell ref="F56:I56"/>
    <mergeCell ref="J56:L56"/>
    <mergeCell ref="M56:N56"/>
    <mergeCell ref="O56:P56"/>
    <mergeCell ref="B57:E57"/>
    <mergeCell ref="F57:I57"/>
    <mergeCell ref="J57:L57"/>
    <mergeCell ref="M57:N57"/>
    <mergeCell ref="O57:P57"/>
    <mergeCell ref="B54:E54"/>
    <mergeCell ref="F54:I54"/>
    <mergeCell ref="J54:L54"/>
    <mergeCell ref="M54:N54"/>
    <mergeCell ref="O54:P54"/>
    <mergeCell ref="B55:E55"/>
    <mergeCell ref="F55:I55"/>
    <mergeCell ref="J55:L55"/>
    <mergeCell ref="M55:N55"/>
    <mergeCell ref="O55:P55"/>
    <mergeCell ref="B52:E52"/>
    <mergeCell ref="F52:I52"/>
    <mergeCell ref="J52:L52"/>
    <mergeCell ref="M52:N52"/>
    <mergeCell ref="O52:P52"/>
    <mergeCell ref="B53:E53"/>
    <mergeCell ref="F53:I53"/>
    <mergeCell ref="J53:L53"/>
    <mergeCell ref="M53:N53"/>
    <mergeCell ref="O53:P53"/>
    <mergeCell ref="B50:E50"/>
    <mergeCell ref="F50:I50"/>
    <mergeCell ref="J50:L50"/>
    <mergeCell ref="M50:N50"/>
    <mergeCell ref="O50:P50"/>
    <mergeCell ref="B51:E51"/>
    <mergeCell ref="F51:I51"/>
    <mergeCell ref="J51:L51"/>
    <mergeCell ref="M51:N51"/>
    <mergeCell ref="O51:P51"/>
    <mergeCell ref="B48:E48"/>
    <mergeCell ref="F48:I48"/>
    <mergeCell ref="J48:L48"/>
    <mergeCell ref="M48:N48"/>
    <mergeCell ref="O48:P48"/>
    <mergeCell ref="B49:E49"/>
    <mergeCell ref="F49:I49"/>
    <mergeCell ref="J49:L49"/>
    <mergeCell ref="M49:N49"/>
    <mergeCell ref="O49:P49"/>
    <mergeCell ref="B46:E46"/>
    <mergeCell ref="F46:I46"/>
    <mergeCell ref="J46:L46"/>
    <mergeCell ref="M46:N46"/>
    <mergeCell ref="O46:P46"/>
    <mergeCell ref="B47:E47"/>
    <mergeCell ref="F47:I47"/>
    <mergeCell ref="J47:L47"/>
    <mergeCell ref="M47:N47"/>
    <mergeCell ref="O47:P47"/>
    <mergeCell ref="B44:E44"/>
    <mergeCell ref="F44:I44"/>
    <mergeCell ref="J44:L44"/>
    <mergeCell ref="M44:N44"/>
    <mergeCell ref="O44:P44"/>
    <mergeCell ref="B45:E45"/>
    <mergeCell ref="F45:I45"/>
    <mergeCell ref="J45:L45"/>
    <mergeCell ref="M45:N45"/>
    <mergeCell ref="O45:P45"/>
    <mergeCell ref="B42:E42"/>
    <mergeCell ref="F42:I42"/>
    <mergeCell ref="J42:L42"/>
    <mergeCell ref="M42:N42"/>
    <mergeCell ref="O42:P42"/>
    <mergeCell ref="B43:E43"/>
    <mergeCell ref="F43:I43"/>
    <mergeCell ref="J43:L43"/>
    <mergeCell ref="M43:N43"/>
    <mergeCell ref="O43:P43"/>
    <mergeCell ref="B40:E40"/>
    <mergeCell ref="F40:I40"/>
    <mergeCell ref="J40:L40"/>
    <mergeCell ref="M40:N40"/>
    <mergeCell ref="O40:P40"/>
    <mergeCell ref="B41:E41"/>
    <mergeCell ref="F41:I41"/>
    <mergeCell ref="J41:L41"/>
    <mergeCell ref="M41:N41"/>
    <mergeCell ref="O41:P41"/>
    <mergeCell ref="B38:E38"/>
    <mergeCell ref="F38:I38"/>
    <mergeCell ref="J38:L38"/>
    <mergeCell ref="M38:N38"/>
    <mergeCell ref="O38:P38"/>
    <mergeCell ref="B39:E39"/>
    <mergeCell ref="F39:I39"/>
    <mergeCell ref="J39:L39"/>
    <mergeCell ref="M39:N39"/>
    <mergeCell ref="O39:P39"/>
    <mergeCell ref="B36:E36"/>
    <mergeCell ref="F36:I36"/>
    <mergeCell ref="J36:L36"/>
    <mergeCell ref="M36:N36"/>
    <mergeCell ref="O36:P36"/>
    <mergeCell ref="B37:E37"/>
    <mergeCell ref="F37:I37"/>
    <mergeCell ref="J37:L37"/>
    <mergeCell ref="M37:N37"/>
    <mergeCell ref="O37:P37"/>
    <mergeCell ref="B34:E34"/>
    <mergeCell ref="F34:I34"/>
    <mergeCell ref="J34:L34"/>
    <mergeCell ref="M34:N34"/>
    <mergeCell ref="O34:P34"/>
    <mergeCell ref="B35:E35"/>
    <mergeCell ref="F35:I35"/>
    <mergeCell ref="J35:L35"/>
    <mergeCell ref="M35:N35"/>
    <mergeCell ref="O35:P35"/>
    <mergeCell ref="B32:E32"/>
    <mergeCell ref="F32:I32"/>
    <mergeCell ref="J32:L32"/>
    <mergeCell ref="M32:N32"/>
    <mergeCell ref="O32:P32"/>
    <mergeCell ref="B33:E33"/>
    <mergeCell ref="F33:I33"/>
    <mergeCell ref="J33:L33"/>
    <mergeCell ref="M33:N33"/>
    <mergeCell ref="O33:P33"/>
    <mergeCell ref="B30:E30"/>
    <mergeCell ref="F30:I30"/>
    <mergeCell ref="J30:L30"/>
    <mergeCell ref="M30:N30"/>
    <mergeCell ref="O30:P30"/>
    <mergeCell ref="B31:E31"/>
    <mergeCell ref="F31:I31"/>
    <mergeCell ref="J31:L31"/>
    <mergeCell ref="M31:N31"/>
    <mergeCell ref="O31:P31"/>
    <mergeCell ref="B28:E28"/>
    <mergeCell ref="F28:I28"/>
    <mergeCell ref="J28:L28"/>
    <mergeCell ref="M28:N28"/>
    <mergeCell ref="O28:P28"/>
    <mergeCell ref="B29:E29"/>
    <mergeCell ref="F29:I29"/>
    <mergeCell ref="J29:L29"/>
    <mergeCell ref="M29:N29"/>
    <mergeCell ref="O29:P29"/>
    <mergeCell ref="B26:E26"/>
    <mergeCell ref="F26:I26"/>
    <mergeCell ref="J26:L26"/>
    <mergeCell ref="M26:N26"/>
    <mergeCell ref="O26:P26"/>
    <mergeCell ref="B27:E27"/>
    <mergeCell ref="F27:I27"/>
    <mergeCell ref="J27:L27"/>
    <mergeCell ref="M27:N27"/>
    <mergeCell ref="O27:P27"/>
    <mergeCell ref="B24:E24"/>
    <mergeCell ref="F24:I24"/>
    <mergeCell ref="J24:L24"/>
    <mergeCell ref="M24:N24"/>
    <mergeCell ref="O24:P24"/>
    <mergeCell ref="B25:E25"/>
    <mergeCell ref="F25:I25"/>
    <mergeCell ref="J25:L25"/>
    <mergeCell ref="M25:N25"/>
    <mergeCell ref="O25:P25"/>
    <mergeCell ref="B22:E22"/>
    <mergeCell ref="F22:I22"/>
    <mergeCell ref="J22:L22"/>
    <mergeCell ref="M22:N22"/>
    <mergeCell ref="O22:P22"/>
    <mergeCell ref="B23:E23"/>
    <mergeCell ref="F23:I23"/>
    <mergeCell ref="J23:L23"/>
    <mergeCell ref="M23:N23"/>
    <mergeCell ref="O23:P23"/>
    <mergeCell ref="B20:E20"/>
    <mergeCell ref="F20:I20"/>
    <mergeCell ref="J20:L20"/>
    <mergeCell ref="M20:N20"/>
    <mergeCell ref="O20:P20"/>
    <mergeCell ref="B21:E21"/>
    <mergeCell ref="F21:I21"/>
    <mergeCell ref="J21:L21"/>
    <mergeCell ref="M21:N21"/>
    <mergeCell ref="O21:P21"/>
    <mergeCell ref="B18:E18"/>
    <mergeCell ref="F18:I18"/>
    <mergeCell ref="J18:L18"/>
    <mergeCell ref="M18:N18"/>
    <mergeCell ref="O18:P18"/>
    <mergeCell ref="B19:E19"/>
    <mergeCell ref="F19:I19"/>
    <mergeCell ref="J19:L19"/>
    <mergeCell ref="M19:N19"/>
    <mergeCell ref="O19:P19"/>
    <mergeCell ref="J16:L16"/>
    <mergeCell ref="J17:L17"/>
    <mergeCell ref="M16:N16"/>
    <mergeCell ref="M17:N17"/>
    <mergeCell ref="O16:P16"/>
    <mergeCell ref="A8:E8"/>
    <mergeCell ref="F8:P8"/>
    <mergeCell ref="A10:E10"/>
    <mergeCell ref="F10:P10"/>
    <mergeCell ref="A12:E12"/>
    <mergeCell ref="F12:P12"/>
    <mergeCell ref="A1:D1"/>
    <mergeCell ref="E1:P1"/>
    <mergeCell ref="A3:P3"/>
    <mergeCell ref="A4:P4"/>
    <mergeCell ref="A6:E6"/>
    <mergeCell ref="F6:P6"/>
    <mergeCell ref="O17:P17"/>
    <mergeCell ref="A14:P14"/>
    <mergeCell ref="B16:E16"/>
    <mergeCell ref="B17:E17"/>
    <mergeCell ref="F16:I16"/>
    <mergeCell ref="F17:I17"/>
  </mergeCells>
  <pageMargins left="0.4" right="0.4" top="0.75" bottom="0.75" header="0.3" footer="0.3"/>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906"/>
  <sheetViews>
    <sheetView showRuler="0" workbookViewId="0">
      <selection activeCell="W19" sqref="W19"/>
    </sheetView>
  </sheetViews>
  <sheetFormatPr defaultRowHeight="15" x14ac:dyDescent="0.25"/>
  <cols>
    <col min="1" max="1" width="6.42578125" style="671" customWidth="1"/>
    <col min="2" max="50" width="8" style="671" customWidth="1"/>
    <col min="51" max="16384" width="9.140625" style="165"/>
  </cols>
  <sheetData>
    <row r="1" spans="1:16" ht="27.2" customHeight="1" x14ac:dyDescent="0.25">
      <c r="A1" s="777" t="s">
        <v>320</v>
      </c>
      <c r="B1" s="777"/>
      <c r="C1" s="777"/>
      <c r="D1" s="777"/>
      <c r="E1" s="778" t="s">
        <v>2180</v>
      </c>
      <c r="F1" s="778"/>
      <c r="G1" s="778"/>
      <c r="H1" s="778"/>
      <c r="I1" s="778"/>
      <c r="J1" s="778"/>
      <c r="K1" s="778"/>
      <c r="L1" s="778"/>
      <c r="M1" s="778"/>
      <c r="N1" s="778"/>
      <c r="O1" s="778"/>
      <c r="P1" s="778"/>
    </row>
    <row r="2" spans="1:16" ht="15" customHeight="1" x14ac:dyDescent="0.25"/>
    <row r="3" spans="1:16" ht="15" customHeight="1" x14ac:dyDescent="0.25">
      <c r="A3" s="787" t="s">
        <v>1401</v>
      </c>
      <c r="B3" s="787"/>
      <c r="C3" s="787"/>
      <c r="D3" s="787"/>
      <c r="E3" s="787"/>
      <c r="F3" s="787"/>
      <c r="G3" s="787"/>
      <c r="H3" s="787"/>
      <c r="I3" s="787"/>
      <c r="J3" s="787"/>
      <c r="K3" s="787"/>
      <c r="L3" s="787"/>
      <c r="M3" s="787"/>
      <c r="N3" s="787"/>
      <c r="O3" s="787"/>
      <c r="P3" s="787"/>
    </row>
    <row r="4" spans="1:16" ht="15" customHeight="1" x14ac:dyDescent="0.25">
      <c r="A4" s="788" t="s">
        <v>23</v>
      </c>
      <c r="B4" s="788"/>
      <c r="C4" s="788"/>
      <c r="D4" s="788"/>
      <c r="E4" s="788"/>
      <c r="F4" s="788"/>
      <c r="G4" s="788"/>
      <c r="H4" s="788"/>
      <c r="I4" s="788"/>
      <c r="J4" s="788"/>
      <c r="K4" s="788"/>
      <c r="L4" s="788"/>
      <c r="M4" s="788"/>
      <c r="N4" s="788"/>
      <c r="O4" s="788"/>
      <c r="P4" s="788"/>
    </row>
    <row r="5" spans="1:16" ht="15" customHeight="1" x14ac:dyDescent="0.25"/>
    <row r="6" spans="1:16" ht="27.2" customHeight="1" x14ac:dyDescent="0.25">
      <c r="A6" s="767" t="s">
        <v>321</v>
      </c>
      <c r="B6" s="767"/>
      <c r="C6" s="767"/>
      <c r="D6" s="767"/>
      <c r="E6" s="767"/>
      <c r="F6" s="789" t="s">
        <v>584</v>
      </c>
      <c r="G6" s="789"/>
      <c r="H6" s="789"/>
      <c r="I6" s="789"/>
      <c r="J6" s="789"/>
      <c r="K6" s="789"/>
      <c r="L6" s="789"/>
      <c r="M6" s="789"/>
      <c r="N6" s="789"/>
      <c r="O6" s="789"/>
      <c r="P6" s="789"/>
    </row>
    <row r="7" spans="1:16" ht="15" customHeight="1" x14ac:dyDescent="0.25"/>
    <row r="8" spans="1:16" ht="54.4" customHeight="1" x14ac:dyDescent="0.25">
      <c r="A8" s="767" t="s">
        <v>322</v>
      </c>
      <c r="B8" s="767"/>
      <c r="C8" s="767"/>
      <c r="D8" s="767"/>
      <c r="E8" s="767"/>
      <c r="F8" s="789" t="s">
        <v>33</v>
      </c>
      <c r="G8" s="789"/>
      <c r="H8" s="789"/>
      <c r="I8" s="789"/>
      <c r="J8" s="789"/>
      <c r="K8" s="789"/>
      <c r="L8" s="789"/>
      <c r="M8" s="789"/>
      <c r="N8" s="789"/>
      <c r="O8" s="789"/>
      <c r="P8" s="789"/>
    </row>
    <row r="9" spans="1:16" ht="15" customHeight="1" x14ac:dyDescent="0.25"/>
    <row r="10" spans="1:16" ht="27.2" customHeight="1" x14ac:dyDescent="0.25">
      <c r="A10" s="767" t="s">
        <v>50</v>
      </c>
      <c r="B10" s="767"/>
      <c r="C10" s="767"/>
      <c r="D10" s="767"/>
      <c r="E10" s="767"/>
      <c r="F10" s="789" t="s">
        <v>130</v>
      </c>
      <c r="G10" s="789"/>
      <c r="H10" s="789"/>
      <c r="I10" s="789"/>
      <c r="J10" s="789"/>
      <c r="K10" s="789"/>
      <c r="L10" s="789"/>
      <c r="M10" s="789"/>
      <c r="N10" s="789"/>
      <c r="O10" s="789"/>
      <c r="P10" s="789"/>
    </row>
    <row r="11" spans="1:16" ht="15" customHeight="1" x14ac:dyDescent="0.25"/>
    <row r="12" spans="1:16" ht="15" customHeight="1" x14ac:dyDescent="0.25">
      <c r="A12" s="767" t="s">
        <v>154</v>
      </c>
      <c r="B12" s="767"/>
      <c r="C12" s="767"/>
      <c r="D12" s="767"/>
      <c r="E12" s="767"/>
      <c r="F12" s="789" t="s">
        <v>692</v>
      </c>
      <c r="G12" s="789"/>
      <c r="H12" s="789"/>
      <c r="I12" s="789"/>
      <c r="J12" s="789"/>
      <c r="K12" s="789"/>
      <c r="L12" s="789"/>
      <c r="M12" s="789"/>
      <c r="N12" s="789"/>
      <c r="O12" s="789"/>
      <c r="P12" s="789"/>
    </row>
    <row r="13" spans="1:16" ht="15" customHeight="1" x14ac:dyDescent="0.25"/>
    <row r="14" spans="1:16" ht="15" customHeight="1" x14ac:dyDescent="0.25">
      <c r="A14" s="767" t="s">
        <v>323</v>
      </c>
      <c r="B14" s="767"/>
      <c r="C14" s="767"/>
      <c r="D14" s="767"/>
      <c r="E14" s="767"/>
      <c r="F14" s="767"/>
      <c r="G14" s="767"/>
      <c r="H14" s="767"/>
      <c r="I14" s="767"/>
      <c r="J14" s="767"/>
      <c r="K14" s="767"/>
      <c r="L14" s="767"/>
      <c r="M14" s="767"/>
      <c r="N14" s="767"/>
      <c r="O14" s="767"/>
      <c r="P14" s="767"/>
    </row>
    <row r="15" spans="1:16" ht="15" customHeight="1" x14ac:dyDescent="0.25"/>
    <row r="16" spans="1:16" ht="40.9" customHeight="1" x14ac:dyDescent="0.25">
      <c r="A16" s="672" t="s">
        <v>97</v>
      </c>
      <c r="B16" s="784" t="s">
        <v>324</v>
      </c>
      <c r="C16" s="784"/>
      <c r="D16" s="784"/>
      <c r="E16" s="784"/>
      <c r="F16" s="784" t="s">
        <v>198</v>
      </c>
      <c r="G16" s="784"/>
      <c r="H16" s="784"/>
      <c r="I16" s="784"/>
      <c r="J16" s="784" t="s">
        <v>156</v>
      </c>
      <c r="K16" s="784"/>
      <c r="L16" s="784"/>
      <c r="M16" s="784" t="s">
        <v>157</v>
      </c>
      <c r="N16" s="784"/>
      <c r="O16" s="784" t="s">
        <v>498</v>
      </c>
      <c r="P16" s="784"/>
    </row>
    <row r="17" spans="1:16" ht="15" customHeight="1" x14ac:dyDescent="0.25">
      <c r="A17" s="672">
        <v>1</v>
      </c>
      <c r="B17" s="784">
        <v>2</v>
      </c>
      <c r="C17" s="784"/>
      <c r="D17" s="784"/>
      <c r="E17" s="784"/>
      <c r="F17" s="784">
        <v>3</v>
      </c>
      <c r="G17" s="784"/>
      <c r="H17" s="784"/>
      <c r="I17" s="784"/>
      <c r="J17" s="784">
        <v>4</v>
      </c>
      <c r="K17" s="784"/>
      <c r="L17" s="784"/>
      <c r="M17" s="784">
        <v>5</v>
      </c>
      <c r="N17" s="784"/>
      <c r="O17" s="784">
        <v>6</v>
      </c>
      <c r="P17" s="784"/>
    </row>
    <row r="18" spans="1:16" ht="40.9" customHeight="1" x14ac:dyDescent="0.25">
      <c r="A18" s="673" t="s">
        <v>5</v>
      </c>
      <c r="B18" s="780" t="s">
        <v>339</v>
      </c>
      <c r="C18" s="780"/>
      <c r="D18" s="780"/>
      <c r="E18" s="780"/>
      <c r="F18" s="780" t="s">
        <v>1016</v>
      </c>
      <c r="G18" s="780"/>
      <c r="H18" s="780"/>
      <c r="I18" s="780"/>
      <c r="J18" s="780"/>
      <c r="K18" s="780"/>
      <c r="L18" s="780"/>
      <c r="M18" s="780"/>
      <c r="N18" s="780"/>
      <c r="O18" s="780"/>
      <c r="P18" s="780"/>
    </row>
    <row r="19" spans="1:16" ht="122.45" customHeight="1" x14ac:dyDescent="0.25">
      <c r="A19" s="674" t="s">
        <v>6</v>
      </c>
      <c r="B19" s="781" t="s">
        <v>1025</v>
      </c>
      <c r="C19" s="782"/>
      <c r="D19" s="782"/>
      <c r="E19" s="782"/>
      <c r="F19" s="782" t="s">
        <v>1026</v>
      </c>
      <c r="G19" s="782"/>
      <c r="H19" s="782"/>
      <c r="I19" s="782"/>
      <c r="J19" s="782" t="s">
        <v>2958</v>
      </c>
      <c r="K19" s="782"/>
      <c r="L19" s="782"/>
      <c r="M19" s="866">
        <f>ROUND((741700 + 6188 * (0.4 * 600 + 0.6 * 2200)) * 1 * 1.53 * 0.6 * 0.2 * 1.3, 0)</f>
        <v>2481074</v>
      </c>
      <c r="N19" s="782"/>
      <c r="O19" s="782" t="s">
        <v>1027</v>
      </c>
      <c r="P19" s="782"/>
    </row>
    <row r="20" spans="1:16" ht="15" customHeight="1" x14ac:dyDescent="0.25">
      <c r="A20" s="676"/>
      <c r="B20" s="864" t="s">
        <v>306</v>
      </c>
      <c r="C20" s="864"/>
      <c r="D20" s="864"/>
      <c r="E20" s="864"/>
      <c r="F20" s="864" t="s">
        <v>129</v>
      </c>
      <c r="G20" s="864"/>
      <c r="H20" s="864"/>
      <c r="I20" s="864"/>
      <c r="J20" s="864" t="s">
        <v>129</v>
      </c>
      <c r="K20" s="864"/>
      <c r="L20" s="864"/>
      <c r="M20" s="864"/>
      <c r="N20" s="864"/>
      <c r="O20" s="864"/>
      <c r="P20" s="864"/>
    </row>
    <row r="21" spans="1:16" ht="15" customHeight="1" x14ac:dyDescent="0.25">
      <c r="A21" s="675"/>
      <c r="B21" s="865" t="s">
        <v>507</v>
      </c>
      <c r="C21" s="865"/>
      <c r="D21" s="865"/>
      <c r="E21" s="865"/>
      <c r="F21" s="865" t="s">
        <v>508</v>
      </c>
      <c r="G21" s="865"/>
      <c r="H21" s="865"/>
      <c r="I21" s="865"/>
      <c r="J21" s="865" t="s">
        <v>129</v>
      </c>
      <c r="K21" s="865"/>
      <c r="L21" s="865"/>
      <c r="M21" s="865"/>
      <c r="N21" s="865"/>
      <c r="O21" s="865"/>
      <c r="P21" s="865"/>
    </row>
    <row r="22" spans="1:16" ht="40.9" customHeight="1" x14ac:dyDescent="0.25">
      <c r="A22" s="675"/>
      <c r="B22" s="865" t="s">
        <v>336</v>
      </c>
      <c r="C22" s="865"/>
      <c r="D22" s="865"/>
      <c r="E22" s="865"/>
      <c r="F22" s="865" t="s">
        <v>337</v>
      </c>
      <c r="G22" s="865"/>
      <c r="H22" s="865"/>
      <c r="I22" s="865"/>
      <c r="J22" s="865" t="s">
        <v>129</v>
      </c>
      <c r="K22" s="865"/>
      <c r="L22" s="865"/>
      <c r="M22" s="865"/>
      <c r="N22" s="865"/>
      <c r="O22" s="865"/>
      <c r="P22" s="865"/>
    </row>
    <row r="23" spans="1:16" ht="95.25" customHeight="1" x14ac:dyDescent="0.25">
      <c r="A23" s="675"/>
      <c r="B23" s="865" t="s">
        <v>1764</v>
      </c>
      <c r="C23" s="865"/>
      <c r="D23" s="865"/>
      <c r="E23" s="865"/>
      <c r="F23" s="865" t="s">
        <v>1765</v>
      </c>
      <c r="G23" s="865"/>
      <c r="H23" s="865"/>
      <c r="I23" s="865"/>
      <c r="J23" s="865" t="s">
        <v>129</v>
      </c>
      <c r="K23" s="865"/>
      <c r="L23" s="865"/>
      <c r="M23" s="865"/>
      <c r="N23" s="865"/>
      <c r="O23" s="865"/>
      <c r="P23" s="865"/>
    </row>
    <row r="24" spans="1:16" ht="149.65" customHeight="1" x14ac:dyDescent="0.25">
      <c r="A24" s="675"/>
      <c r="B24" s="865" t="s">
        <v>329</v>
      </c>
      <c r="C24" s="865"/>
      <c r="D24" s="865"/>
      <c r="E24" s="865"/>
      <c r="F24" s="865" t="s">
        <v>1940</v>
      </c>
      <c r="G24" s="865"/>
      <c r="H24" s="865"/>
      <c r="I24" s="865"/>
      <c r="J24" s="865" t="s">
        <v>129</v>
      </c>
      <c r="K24" s="865"/>
      <c r="L24" s="865"/>
      <c r="M24" s="865"/>
      <c r="N24" s="865"/>
      <c r="O24" s="865"/>
      <c r="P24" s="865"/>
    </row>
    <row r="25" spans="1:16" ht="15" customHeight="1" x14ac:dyDescent="0.25">
      <c r="A25" s="676"/>
      <c r="B25" s="864" t="s">
        <v>330</v>
      </c>
      <c r="C25" s="864"/>
      <c r="D25" s="864"/>
      <c r="E25" s="864"/>
      <c r="F25" s="864" t="s">
        <v>129</v>
      </c>
      <c r="G25" s="864"/>
      <c r="H25" s="864"/>
      <c r="I25" s="864"/>
      <c r="J25" s="864" t="s">
        <v>129</v>
      </c>
      <c r="K25" s="864"/>
      <c r="L25" s="864"/>
      <c r="M25" s="864"/>
      <c r="N25" s="864"/>
      <c r="O25" s="864"/>
      <c r="P25" s="864"/>
    </row>
    <row r="26" spans="1:16" ht="40.9" customHeight="1" x14ac:dyDescent="0.25">
      <c r="A26" s="675"/>
      <c r="B26" s="865" t="s">
        <v>1402</v>
      </c>
      <c r="C26" s="865"/>
      <c r="D26" s="865"/>
      <c r="E26" s="865"/>
      <c r="F26" s="865" t="s">
        <v>2957</v>
      </c>
      <c r="G26" s="865"/>
      <c r="H26" s="865"/>
      <c r="I26" s="865"/>
      <c r="J26" s="865" t="s">
        <v>129</v>
      </c>
      <c r="K26" s="865"/>
      <c r="L26" s="865"/>
      <c r="M26" s="865"/>
      <c r="N26" s="865"/>
      <c r="O26" s="865"/>
      <c r="P26" s="865"/>
    </row>
    <row r="27" spans="1:16" ht="15" customHeight="1" x14ac:dyDescent="0.25">
      <c r="A27" s="675"/>
      <c r="B27" s="865" t="s">
        <v>1403</v>
      </c>
      <c r="C27" s="865"/>
      <c r="D27" s="865"/>
      <c r="E27" s="865"/>
      <c r="F27" s="865" t="s">
        <v>2956</v>
      </c>
      <c r="G27" s="865"/>
      <c r="H27" s="865"/>
      <c r="I27" s="865"/>
      <c r="J27" s="865" t="s">
        <v>129</v>
      </c>
      <c r="K27" s="865"/>
      <c r="L27" s="865"/>
      <c r="M27" s="865"/>
      <c r="N27" s="865"/>
      <c r="O27" s="865"/>
      <c r="P27" s="865"/>
    </row>
    <row r="28" spans="1:16" ht="54.4" customHeight="1" x14ac:dyDescent="0.25">
      <c r="A28" s="675"/>
      <c r="B28" s="865" t="s">
        <v>1404</v>
      </c>
      <c r="C28" s="865"/>
      <c r="D28" s="865"/>
      <c r="E28" s="865"/>
      <c r="F28" s="865" t="s">
        <v>2955</v>
      </c>
      <c r="G28" s="865"/>
      <c r="H28" s="865"/>
      <c r="I28" s="865"/>
      <c r="J28" s="865" t="s">
        <v>129</v>
      </c>
      <c r="K28" s="865"/>
      <c r="L28" s="865"/>
      <c r="M28" s="865"/>
      <c r="N28" s="865"/>
      <c r="O28" s="865"/>
      <c r="P28" s="865"/>
    </row>
    <row r="29" spans="1:16" ht="27.2" customHeight="1" x14ac:dyDescent="0.25">
      <c r="A29" s="675"/>
      <c r="B29" s="865" t="s">
        <v>1405</v>
      </c>
      <c r="C29" s="865"/>
      <c r="D29" s="865"/>
      <c r="E29" s="865"/>
      <c r="F29" s="865" t="s">
        <v>2954</v>
      </c>
      <c r="G29" s="865"/>
      <c r="H29" s="865"/>
      <c r="I29" s="865"/>
      <c r="J29" s="865" t="s">
        <v>129</v>
      </c>
      <c r="K29" s="865"/>
      <c r="L29" s="865"/>
      <c r="M29" s="865"/>
      <c r="N29" s="865"/>
      <c r="O29" s="865"/>
      <c r="P29" s="865"/>
    </row>
    <row r="30" spans="1:16" ht="40.9" customHeight="1" x14ac:dyDescent="0.25">
      <c r="A30" s="675"/>
      <c r="B30" s="865" t="s">
        <v>1406</v>
      </c>
      <c r="C30" s="865"/>
      <c r="D30" s="865"/>
      <c r="E30" s="865"/>
      <c r="F30" s="865" t="s">
        <v>2953</v>
      </c>
      <c r="G30" s="865"/>
      <c r="H30" s="865"/>
      <c r="I30" s="865"/>
      <c r="J30" s="865" t="s">
        <v>129</v>
      </c>
      <c r="K30" s="865"/>
      <c r="L30" s="865"/>
      <c r="M30" s="865"/>
      <c r="N30" s="865"/>
      <c r="O30" s="865"/>
      <c r="P30" s="865"/>
    </row>
    <row r="31" spans="1:16" ht="27.2" customHeight="1" x14ac:dyDescent="0.25">
      <c r="A31" s="675"/>
      <c r="B31" s="865" t="s">
        <v>1407</v>
      </c>
      <c r="C31" s="865"/>
      <c r="D31" s="865"/>
      <c r="E31" s="865"/>
      <c r="F31" s="865" t="s">
        <v>2953</v>
      </c>
      <c r="G31" s="865"/>
      <c r="H31" s="865"/>
      <c r="I31" s="865"/>
      <c r="J31" s="865" t="s">
        <v>129</v>
      </c>
      <c r="K31" s="865"/>
      <c r="L31" s="865"/>
      <c r="M31" s="865"/>
      <c r="N31" s="865"/>
      <c r="O31" s="865"/>
      <c r="P31" s="865"/>
    </row>
    <row r="32" spans="1:16" ht="27.2" customHeight="1" x14ac:dyDescent="0.25">
      <c r="A32" s="675"/>
      <c r="B32" s="865" t="s">
        <v>1408</v>
      </c>
      <c r="C32" s="865"/>
      <c r="D32" s="865"/>
      <c r="E32" s="865"/>
      <c r="F32" s="865" t="s">
        <v>2952</v>
      </c>
      <c r="G32" s="865"/>
      <c r="H32" s="865"/>
      <c r="I32" s="865"/>
      <c r="J32" s="865" t="s">
        <v>129</v>
      </c>
      <c r="K32" s="865"/>
      <c r="L32" s="865"/>
      <c r="M32" s="865"/>
      <c r="N32" s="865"/>
      <c r="O32" s="865"/>
      <c r="P32" s="865"/>
    </row>
    <row r="33" spans="1:16" ht="27.2" customHeight="1" x14ac:dyDescent="0.25">
      <c r="A33" s="675"/>
      <c r="B33" s="865" t="s">
        <v>1409</v>
      </c>
      <c r="C33" s="865"/>
      <c r="D33" s="865"/>
      <c r="E33" s="865"/>
      <c r="F33" s="865" t="s">
        <v>2951</v>
      </c>
      <c r="G33" s="865"/>
      <c r="H33" s="865"/>
      <c r="I33" s="865"/>
      <c r="J33" s="865" t="s">
        <v>129</v>
      </c>
      <c r="K33" s="865"/>
      <c r="L33" s="865"/>
      <c r="M33" s="865"/>
      <c r="N33" s="865"/>
      <c r="O33" s="865"/>
      <c r="P33" s="865"/>
    </row>
    <row r="34" spans="1:16" ht="54.4" customHeight="1" x14ac:dyDescent="0.25">
      <c r="A34" s="675"/>
      <c r="B34" s="865" t="s">
        <v>1410</v>
      </c>
      <c r="C34" s="865"/>
      <c r="D34" s="865"/>
      <c r="E34" s="865"/>
      <c r="F34" s="865" t="s">
        <v>2950</v>
      </c>
      <c r="G34" s="865"/>
      <c r="H34" s="865"/>
      <c r="I34" s="865"/>
      <c r="J34" s="865" t="s">
        <v>129</v>
      </c>
      <c r="K34" s="865"/>
      <c r="L34" s="865"/>
      <c r="M34" s="865"/>
      <c r="N34" s="865"/>
      <c r="O34" s="865"/>
      <c r="P34" s="865"/>
    </row>
    <row r="35" spans="1:16" ht="95.25" customHeight="1" x14ac:dyDescent="0.25">
      <c r="A35" s="674" t="s">
        <v>7</v>
      </c>
      <c r="B35" s="781" t="s">
        <v>1757</v>
      </c>
      <c r="C35" s="782"/>
      <c r="D35" s="782"/>
      <c r="E35" s="782"/>
      <c r="F35" s="782" t="s">
        <v>1758</v>
      </c>
      <c r="G35" s="782"/>
      <c r="H35" s="782"/>
      <c r="I35" s="782"/>
      <c r="J35" s="782" t="s">
        <v>2883</v>
      </c>
      <c r="K35" s="782"/>
      <c r="L35" s="782"/>
      <c r="M35" s="866">
        <f>ROUND(421600 * 1 * 1.53 * 0.6 * 4.5 * 0.2 * 0.8 * 1.3, 0)</f>
        <v>362259</v>
      </c>
      <c r="N35" s="782"/>
      <c r="O35" s="782" t="s">
        <v>1759</v>
      </c>
      <c r="P35" s="782"/>
    </row>
    <row r="36" spans="1:16" ht="15" customHeight="1" x14ac:dyDescent="0.25">
      <c r="A36" s="676"/>
      <c r="B36" s="864" t="s">
        <v>306</v>
      </c>
      <c r="C36" s="864"/>
      <c r="D36" s="864"/>
      <c r="E36" s="864"/>
      <c r="F36" s="864" t="s">
        <v>129</v>
      </c>
      <c r="G36" s="864"/>
      <c r="H36" s="864"/>
      <c r="I36" s="864"/>
      <c r="J36" s="864" t="s">
        <v>129</v>
      </c>
      <c r="K36" s="864"/>
      <c r="L36" s="864"/>
      <c r="M36" s="864"/>
      <c r="N36" s="864"/>
      <c r="O36" s="864"/>
      <c r="P36" s="864"/>
    </row>
    <row r="37" spans="1:16" ht="15" customHeight="1" x14ac:dyDescent="0.25">
      <c r="A37" s="675"/>
      <c r="B37" s="865" t="s">
        <v>507</v>
      </c>
      <c r="C37" s="865"/>
      <c r="D37" s="865"/>
      <c r="E37" s="865"/>
      <c r="F37" s="865" t="s">
        <v>508</v>
      </c>
      <c r="G37" s="865"/>
      <c r="H37" s="865"/>
      <c r="I37" s="865"/>
      <c r="J37" s="865" t="s">
        <v>129</v>
      </c>
      <c r="K37" s="865"/>
      <c r="L37" s="865"/>
      <c r="M37" s="865"/>
      <c r="N37" s="865"/>
      <c r="O37" s="865"/>
      <c r="P37" s="865"/>
    </row>
    <row r="38" spans="1:16" ht="40.9" customHeight="1" x14ac:dyDescent="0.25">
      <c r="A38" s="675"/>
      <c r="B38" s="865" t="s">
        <v>336</v>
      </c>
      <c r="C38" s="865"/>
      <c r="D38" s="865"/>
      <c r="E38" s="865"/>
      <c r="F38" s="865" t="s">
        <v>337</v>
      </c>
      <c r="G38" s="865"/>
      <c r="H38" s="865"/>
      <c r="I38" s="865"/>
      <c r="J38" s="865" t="s">
        <v>129</v>
      </c>
      <c r="K38" s="865"/>
      <c r="L38" s="865"/>
      <c r="M38" s="865"/>
      <c r="N38" s="865"/>
      <c r="O38" s="865"/>
      <c r="P38" s="865"/>
    </row>
    <row r="39" spans="1:16" ht="272.10000000000002" customHeight="1" x14ac:dyDescent="0.25">
      <c r="A39" s="675"/>
      <c r="B39" s="865" t="s">
        <v>2041</v>
      </c>
      <c r="C39" s="865"/>
      <c r="D39" s="865"/>
      <c r="E39" s="865"/>
      <c r="F39" s="865" t="s">
        <v>2693</v>
      </c>
      <c r="G39" s="865"/>
      <c r="H39" s="865"/>
      <c r="I39" s="865"/>
      <c r="J39" s="865" t="s">
        <v>129</v>
      </c>
      <c r="K39" s="865"/>
      <c r="L39" s="865"/>
      <c r="M39" s="865"/>
      <c r="N39" s="865"/>
      <c r="O39" s="865"/>
      <c r="P39" s="865"/>
    </row>
    <row r="40" spans="1:16" ht="95.25" customHeight="1" x14ac:dyDescent="0.25">
      <c r="A40" s="675"/>
      <c r="B40" s="865" t="s">
        <v>1764</v>
      </c>
      <c r="C40" s="865"/>
      <c r="D40" s="865"/>
      <c r="E40" s="865"/>
      <c r="F40" s="865" t="s">
        <v>2692</v>
      </c>
      <c r="G40" s="865"/>
      <c r="H40" s="865"/>
      <c r="I40" s="865"/>
      <c r="J40" s="865" t="s">
        <v>129</v>
      </c>
      <c r="K40" s="865"/>
      <c r="L40" s="865"/>
      <c r="M40" s="865"/>
      <c r="N40" s="865"/>
      <c r="O40" s="865"/>
      <c r="P40" s="865"/>
    </row>
    <row r="41" spans="1:16" ht="244.9" customHeight="1" x14ac:dyDescent="0.25">
      <c r="A41" s="675"/>
      <c r="B41" s="865" t="s">
        <v>1760</v>
      </c>
      <c r="C41" s="865"/>
      <c r="D41" s="865"/>
      <c r="E41" s="865"/>
      <c r="F41" s="865" t="s">
        <v>2691</v>
      </c>
      <c r="G41" s="865"/>
      <c r="H41" s="865"/>
      <c r="I41" s="865"/>
      <c r="J41" s="865" t="s">
        <v>129</v>
      </c>
      <c r="K41" s="865"/>
      <c r="L41" s="865"/>
      <c r="M41" s="865"/>
      <c r="N41" s="865"/>
      <c r="O41" s="865"/>
      <c r="P41" s="865"/>
    </row>
    <row r="42" spans="1:16" ht="149.65" customHeight="1" x14ac:dyDescent="0.25">
      <c r="A42" s="675"/>
      <c r="B42" s="865" t="s">
        <v>329</v>
      </c>
      <c r="C42" s="865"/>
      <c r="D42" s="865"/>
      <c r="E42" s="865"/>
      <c r="F42" s="865" t="s">
        <v>2882</v>
      </c>
      <c r="G42" s="865"/>
      <c r="H42" s="865"/>
      <c r="I42" s="865"/>
      <c r="J42" s="865" t="s">
        <v>129</v>
      </c>
      <c r="K42" s="865"/>
      <c r="L42" s="865"/>
      <c r="M42" s="865"/>
      <c r="N42" s="865"/>
      <c r="O42" s="865"/>
      <c r="P42" s="865"/>
    </row>
    <row r="43" spans="1:16" ht="15" customHeight="1" x14ac:dyDescent="0.25">
      <c r="A43" s="676"/>
      <c r="B43" s="864" t="s">
        <v>330</v>
      </c>
      <c r="C43" s="864"/>
      <c r="D43" s="864"/>
      <c r="E43" s="864"/>
      <c r="F43" s="864" t="s">
        <v>129</v>
      </c>
      <c r="G43" s="864"/>
      <c r="H43" s="864"/>
      <c r="I43" s="864"/>
      <c r="J43" s="864" t="s">
        <v>129</v>
      </c>
      <c r="K43" s="864"/>
      <c r="L43" s="864"/>
      <c r="M43" s="864"/>
      <c r="N43" s="864"/>
      <c r="O43" s="864"/>
      <c r="P43" s="864"/>
    </row>
    <row r="44" spans="1:16" ht="40.9" customHeight="1" x14ac:dyDescent="0.25">
      <c r="A44" s="675"/>
      <c r="B44" s="865" t="s">
        <v>1402</v>
      </c>
      <c r="C44" s="865"/>
      <c r="D44" s="865"/>
      <c r="E44" s="865"/>
      <c r="F44" s="865" t="s">
        <v>2881</v>
      </c>
      <c r="G44" s="865"/>
      <c r="H44" s="865"/>
      <c r="I44" s="865"/>
      <c r="J44" s="865" t="s">
        <v>129</v>
      </c>
      <c r="K44" s="865"/>
      <c r="L44" s="865"/>
      <c r="M44" s="865"/>
      <c r="N44" s="865"/>
      <c r="O44" s="865"/>
      <c r="P44" s="865"/>
    </row>
    <row r="45" spans="1:16" ht="15" customHeight="1" x14ac:dyDescent="0.25">
      <c r="A45" s="675"/>
      <c r="B45" s="865" t="s">
        <v>1403</v>
      </c>
      <c r="C45" s="865"/>
      <c r="D45" s="865"/>
      <c r="E45" s="865"/>
      <c r="F45" s="865" t="s">
        <v>2880</v>
      </c>
      <c r="G45" s="865"/>
      <c r="H45" s="865"/>
      <c r="I45" s="865"/>
      <c r="J45" s="865" t="s">
        <v>129</v>
      </c>
      <c r="K45" s="865"/>
      <c r="L45" s="865"/>
      <c r="M45" s="865"/>
      <c r="N45" s="865"/>
      <c r="O45" s="865"/>
      <c r="P45" s="865"/>
    </row>
    <row r="46" spans="1:16" ht="54.4" customHeight="1" x14ac:dyDescent="0.25">
      <c r="A46" s="675"/>
      <c r="B46" s="865" t="s">
        <v>1404</v>
      </c>
      <c r="C46" s="865"/>
      <c r="D46" s="865"/>
      <c r="E46" s="865"/>
      <c r="F46" s="865" t="s">
        <v>2879</v>
      </c>
      <c r="G46" s="865"/>
      <c r="H46" s="865"/>
      <c r="I46" s="865"/>
      <c r="J46" s="865" t="s">
        <v>129</v>
      </c>
      <c r="K46" s="865"/>
      <c r="L46" s="865"/>
      <c r="M46" s="865"/>
      <c r="N46" s="865"/>
      <c r="O46" s="865"/>
      <c r="P46" s="865"/>
    </row>
    <row r="47" spans="1:16" ht="27.2" customHeight="1" x14ac:dyDescent="0.25">
      <c r="A47" s="675"/>
      <c r="B47" s="865" t="s">
        <v>1405</v>
      </c>
      <c r="C47" s="865"/>
      <c r="D47" s="865"/>
      <c r="E47" s="865"/>
      <c r="F47" s="865" t="s">
        <v>2876</v>
      </c>
      <c r="G47" s="865"/>
      <c r="H47" s="865"/>
      <c r="I47" s="865"/>
      <c r="J47" s="865" t="s">
        <v>129</v>
      </c>
      <c r="K47" s="865"/>
      <c r="L47" s="865"/>
      <c r="M47" s="865"/>
      <c r="N47" s="865"/>
      <c r="O47" s="865"/>
      <c r="P47" s="865"/>
    </row>
    <row r="48" spans="1:16" ht="40.9" customHeight="1" x14ac:dyDescent="0.25">
      <c r="A48" s="675"/>
      <c r="B48" s="865" t="s">
        <v>1406</v>
      </c>
      <c r="C48" s="865"/>
      <c r="D48" s="865"/>
      <c r="E48" s="865"/>
      <c r="F48" s="865" t="s">
        <v>2878</v>
      </c>
      <c r="G48" s="865"/>
      <c r="H48" s="865"/>
      <c r="I48" s="865"/>
      <c r="J48" s="865" t="s">
        <v>129</v>
      </c>
      <c r="K48" s="865"/>
      <c r="L48" s="865"/>
      <c r="M48" s="865"/>
      <c r="N48" s="865"/>
      <c r="O48" s="865"/>
      <c r="P48" s="865"/>
    </row>
    <row r="49" spans="1:16" ht="27.2" customHeight="1" x14ac:dyDescent="0.25">
      <c r="A49" s="675"/>
      <c r="B49" s="865" t="s">
        <v>1407</v>
      </c>
      <c r="C49" s="865"/>
      <c r="D49" s="865"/>
      <c r="E49" s="865"/>
      <c r="F49" s="865" t="s">
        <v>2877</v>
      </c>
      <c r="G49" s="865"/>
      <c r="H49" s="865"/>
      <c r="I49" s="865"/>
      <c r="J49" s="865" t="s">
        <v>129</v>
      </c>
      <c r="K49" s="865"/>
      <c r="L49" s="865"/>
      <c r="M49" s="865"/>
      <c r="N49" s="865"/>
      <c r="O49" s="865"/>
      <c r="P49" s="865"/>
    </row>
    <row r="50" spans="1:16" ht="27.2" customHeight="1" x14ac:dyDescent="0.25">
      <c r="A50" s="675"/>
      <c r="B50" s="865" t="s">
        <v>1408</v>
      </c>
      <c r="C50" s="865"/>
      <c r="D50" s="865"/>
      <c r="E50" s="865"/>
      <c r="F50" s="865" t="s">
        <v>2876</v>
      </c>
      <c r="G50" s="865"/>
      <c r="H50" s="865"/>
      <c r="I50" s="865"/>
      <c r="J50" s="865" t="s">
        <v>129</v>
      </c>
      <c r="K50" s="865"/>
      <c r="L50" s="865"/>
      <c r="M50" s="865"/>
      <c r="N50" s="865"/>
      <c r="O50" s="865"/>
      <c r="P50" s="865"/>
    </row>
    <row r="51" spans="1:16" ht="27.2" customHeight="1" x14ac:dyDescent="0.25">
      <c r="A51" s="675"/>
      <c r="B51" s="865" t="s">
        <v>1409</v>
      </c>
      <c r="C51" s="865"/>
      <c r="D51" s="865"/>
      <c r="E51" s="865"/>
      <c r="F51" s="865" t="s">
        <v>2875</v>
      </c>
      <c r="G51" s="865"/>
      <c r="H51" s="865"/>
      <c r="I51" s="865"/>
      <c r="J51" s="865" t="s">
        <v>129</v>
      </c>
      <c r="K51" s="865"/>
      <c r="L51" s="865"/>
      <c r="M51" s="865"/>
      <c r="N51" s="865"/>
      <c r="O51" s="865"/>
      <c r="P51" s="865"/>
    </row>
    <row r="52" spans="1:16" ht="54.4" customHeight="1" x14ac:dyDescent="0.25">
      <c r="A52" s="675"/>
      <c r="B52" s="865" t="s">
        <v>1410</v>
      </c>
      <c r="C52" s="865"/>
      <c r="D52" s="865"/>
      <c r="E52" s="865"/>
      <c r="F52" s="865" t="s">
        <v>2874</v>
      </c>
      <c r="G52" s="865"/>
      <c r="H52" s="865"/>
      <c r="I52" s="865"/>
      <c r="J52" s="865" t="s">
        <v>129</v>
      </c>
      <c r="K52" s="865"/>
      <c r="L52" s="865"/>
      <c r="M52" s="865"/>
      <c r="N52" s="865"/>
      <c r="O52" s="865"/>
      <c r="P52" s="865"/>
    </row>
    <row r="53" spans="1:16" ht="149.65" customHeight="1" x14ac:dyDescent="0.25">
      <c r="A53" s="674" t="s">
        <v>38</v>
      </c>
      <c r="B53" s="781" t="s">
        <v>1761</v>
      </c>
      <c r="C53" s="782"/>
      <c r="D53" s="782"/>
      <c r="E53" s="782"/>
      <c r="F53" s="782" t="s">
        <v>1762</v>
      </c>
      <c r="G53" s="782"/>
      <c r="H53" s="782"/>
      <c r="I53" s="782"/>
      <c r="J53" s="782" t="s">
        <v>1941</v>
      </c>
      <c r="K53" s="782"/>
      <c r="L53" s="782"/>
      <c r="M53" s="866">
        <f>ROUND((952600 + 21230 * (0.4 * 2 + 0.6 * 1)) * 1 * 1.53 * 0.6 * 0.2 * 1.3, 0)</f>
        <v>234461</v>
      </c>
      <c r="N53" s="782"/>
      <c r="O53" s="782" t="s">
        <v>129</v>
      </c>
      <c r="P53" s="782"/>
    </row>
    <row r="54" spans="1:16" x14ac:dyDescent="0.25">
      <c r="A54" s="676"/>
      <c r="B54" s="864" t="s">
        <v>306</v>
      </c>
      <c r="C54" s="864"/>
      <c r="D54" s="864"/>
      <c r="E54" s="864"/>
      <c r="F54" s="864" t="s">
        <v>129</v>
      </c>
      <c r="G54" s="864"/>
      <c r="H54" s="864"/>
      <c r="I54" s="864"/>
      <c r="J54" s="864" t="s">
        <v>129</v>
      </c>
      <c r="K54" s="864"/>
      <c r="L54" s="864"/>
      <c r="M54" s="864"/>
      <c r="N54" s="864"/>
      <c r="O54" s="864"/>
      <c r="P54" s="864"/>
    </row>
    <row r="55" spans="1:16" x14ac:dyDescent="0.25">
      <c r="A55" s="675"/>
      <c r="B55" s="865" t="s">
        <v>507</v>
      </c>
      <c r="C55" s="865"/>
      <c r="D55" s="865"/>
      <c r="E55" s="865"/>
      <c r="F55" s="865" t="s">
        <v>508</v>
      </c>
      <c r="G55" s="865"/>
      <c r="H55" s="865"/>
      <c r="I55" s="865"/>
      <c r="J55" s="865" t="s">
        <v>129</v>
      </c>
      <c r="K55" s="865"/>
      <c r="L55" s="865"/>
      <c r="M55" s="865"/>
      <c r="N55" s="865"/>
      <c r="O55" s="865"/>
      <c r="P55" s="865"/>
    </row>
    <row r="56" spans="1:16" ht="40.9" customHeight="1" x14ac:dyDescent="0.25">
      <c r="A56" s="675"/>
      <c r="B56" s="865" t="s">
        <v>336</v>
      </c>
      <c r="C56" s="865"/>
      <c r="D56" s="865"/>
      <c r="E56" s="865"/>
      <c r="F56" s="865" t="s">
        <v>337</v>
      </c>
      <c r="G56" s="865"/>
      <c r="H56" s="865"/>
      <c r="I56" s="865"/>
      <c r="J56" s="865" t="s">
        <v>129</v>
      </c>
      <c r="K56" s="865"/>
      <c r="L56" s="865"/>
      <c r="M56" s="865"/>
      <c r="N56" s="865"/>
      <c r="O56" s="865"/>
      <c r="P56" s="865"/>
    </row>
    <row r="57" spans="1:16" ht="95.25" customHeight="1" x14ac:dyDescent="0.25">
      <c r="A57" s="675"/>
      <c r="B57" s="865" t="s">
        <v>1764</v>
      </c>
      <c r="C57" s="865"/>
      <c r="D57" s="865"/>
      <c r="E57" s="865"/>
      <c r="F57" s="865" t="s">
        <v>1765</v>
      </c>
      <c r="G57" s="865"/>
      <c r="H57" s="865"/>
      <c r="I57" s="865"/>
      <c r="J57" s="865" t="s">
        <v>129</v>
      </c>
      <c r="K57" s="865"/>
      <c r="L57" s="865"/>
      <c r="M57" s="865"/>
      <c r="N57" s="865"/>
      <c r="O57" s="865"/>
      <c r="P57" s="865"/>
    </row>
    <row r="58" spans="1:16" ht="149.65" customHeight="1" x14ac:dyDescent="0.25">
      <c r="A58" s="675"/>
      <c r="B58" s="865" t="s">
        <v>329</v>
      </c>
      <c r="C58" s="865"/>
      <c r="D58" s="865"/>
      <c r="E58" s="865"/>
      <c r="F58" s="865" t="s">
        <v>1940</v>
      </c>
      <c r="G58" s="865"/>
      <c r="H58" s="865"/>
      <c r="I58" s="865"/>
      <c r="J58" s="865" t="s">
        <v>129</v>
      </c>
      <c r="K58" s="865"/>
      <c r="L58" s="865"/>
      <c r="M58" s="865"/>
      <c r="N58" s="865"/>
      <c r="O58" s="865"/>
      <c r="P58" s="865"/>
    </row>
    <row r="59" spans="1:16" x14ac:dyDescent="0.25">
      <c r="A59" s="676"/>
      <c r="B59" s="864" t="s">
        <v>330</v>
      </c>
      <c r="C59" s="864"/>
      <c r="D59" s="864"/>
      <c r="E59" s="864"/>
      <c r="F59" s="864" t="s">
        <v>129</v>
      </c>
      <c r="G59" s="864"/>
      <c r="H59" s="864"/>
      <c r="I59" s="864"/>
      <c r="J59" s="864" t="s">
        <v>129</v>
      </c>
      <c r="K59" s="864"/>
      <c r="L59" s="864"/>
      <c r="M59" s="864"/>
      <c r="N59" s="864"/>
      <c r="O59" s="864"/>
      <c r="P59" s="864"/>
    </row>
    <row r="60" spans="1:16" ht="40.9" customHeight="1" x14ac:dyDescent="0.25">
      <c r="A60" s="675"/>
      <c r="B60" s="865" t="s">
        <v>1402</v>
      </c>
      <c r="C60" s="865"/>
      <c r="D60" s="865"/>
      <c r="E60" s="865"/>
      <c r="F60" s="865" t="s">
        <v>1942</v>
      </c>
      <c r="G60" s="865"/>
      <c r="H60" s="865"/>
      <c r="I60" s="865"/>
      <c r="J60" s="865" t="s">
        <v>129</v>
      </c>
      <c r="K60" s="865"/>
      <c r="L60" s="865"/>
      <c r="M60" s="865"/>
      <c r="N60" s="865"/>
      <c r="O60" s="865"/>
      <c r="P60" s="865"/>
    </row>
    <row r="61" spans="1:16" x14ac:dyDescent="0.25">
      <c r="A61" s="675"/>
      <c r="B61" s="865" t="s">
        <v>1403</v>
      </c>
      <c r="C61" s="865"/>
      <c r="D61" s="865"/>
      <c r="E61" s="865"/>
      <c r="F61" s="865" t="s">
        <v>1943</v>
      </c>
      <c r="G61" s="865"/>
      <c r="H61" s="865"/>
      <c r="I61" s="865"/>
      <c r="J61" s="865" t="s">
        <v>129</v>
      </c>
      <c r="K61" s="865"/>
      <c r="L61" s="865"/>
      <c r="M61" s="865"/>
      <c r="N61" s="865"/>
      <c r="O61" s="865"/>
      <c r="P61" s="865"/>
    </row>
    <row r="62" spans="1:16" ht="54.4" customHeight="1" x14ac:dyDescent="0.25">
      <c r="A62" s="675"/>
      <c r="B62" s="865" t="s">
        <v>1404</v>
      </c>
      <c r="C62" s="865"/>
      <c r="D62" s="865"/>
      <c r="E62" s="865"/>
      <c r="F62" s="865" t="s">
        <v>1944</v>
      </c>
      <c r="G62" s="865"/>
      <c r="H62" s="865"/>
      <c r="I62" s="865"/>
      <c r="J62" s="865" t="s">
        <v>129</v>
      </c>
      <c r="K62" s="865"/>
      <c r="L62" s="865"/>
      <c r="M62" s="865"/>
      <c r="N62" s="865"/>
      <c r="O62" s="865"/>
      <c r="P62" s="865"/>
    </row>
    <row r="63" spans="1:16" ht="27.2" customHeight="1" x14ac:dyDescent="0.25">
      <c r="A63" s="675"/>
      <c r="B63" s="865" t="s">
        <v>1405</v>
      </c>
      <c r="C63" s="865"/>
      <c r="D63" s="865"/>
      <c r="E63" s="865"/>
      <c r="F63" s="865" t="s">
        <v>1945</v>
      </c>
      <c r="G63" s="865"/>
      <c r="H63" s="865"/>
      <c r="I63" s="865"/>
      <c r="J63" s="865" t="s">
        <v>129</v>
      </c>
      <c r="K63" s="865"/>
      <c r="L63" s="865"/>
      <c r="M63" s="865"/>
      <c r="N63" s="865"/>
      <c r="O63" s="865"/>
      <c r="P63" s="865"/>
    </row>
    <row r="64" spans="1:16" ht="27.2" customHeight="1" x14ac:dyDescent="0.25">
      <c r="A64" s="675"/>
      <c r="B64" s="865" t="s">
        <v>1946</v>
      </c>
      <c r="C64" s="865"/>
      <c r="D64" s="865"/>
      <c r="E64" s="865"/>
      <c r="F64" s="865" t="s">
        <v>1947</v>
      </c>
      <c r="G64" s="865"/>
      <c r="H64" s="865"/>
      <c r="I64" s="865"/>
      <c r="J64" s="865" t="s">
        <v>129</v>
      </c>
      <c r="K64" s="865"/>
      <c r="L64" s="865"/>
      <c r="M64" s="865"/>
      <c r="N64" s="865"/>
      <c r="O64" s="865"/>
      <c r="P64" s="865"/>
    </row>
    <row r="65" spans="1:16" ht="27.2" customHeight="1" x14ac:dyDescent="0.25">
      <c r="A65" s="675"/>
      <c r="B65" s="865" t="s">
        <v>1442</v>
      </c>
      <c r="C65" s="865"/>
      <c r="D65" s="865"/>
      <c r="E65" s="865"/>
      <c r="F65" s="865" t="s">
        <v>1948</v>
      </c>
      <c r="G65" s="865"/>
      <c r="H65" s="865"/>
      <c r="I65" s="865"/>
      <c r="J65" s="865" t="s">
        <v>129</v>
      </c>
      <c r="K65" s="865"/>
      <c r="L65" s="865"/>
      <c r="M65" s="865"/>
      <c r="N65" s="865"/>
      <c r="O65" s="865"/>
      <c r="P65" s="865"/>
    </row>
    <row r="66" spans="1:16" ht="27.2" customHeight="1" x14ac:dyDescent="0.25">
      <c r="A66" s="675"/>
      <c r="B66" s="865" t="s">
        <v>1949</v>
      </c>
      <c r="C66" s="865"/>
      <c r="D66" s="865"/>
      <c r="E66" s="865"/>
      <c r="F66" s="865" t="s">
        <v>1947</v>
      </c>
      <c r="G66" s="865"/>
      <c r="H66" s="865"/>
      <c r="I66" s="865"/>
      <c r="J66" s="865" t="s">
        <v>129</v>
      </c>
      <c r="K66" s="865"/>
      <c r="L66" s="865"/>
      <c r="M66" s="865"/>
      <c r="N66" s="865"/>
      <c r="O66" s="865"/>
      <c r="P66" s="865"/>
    </row>
    <row r="67" spans="1:16" ht="27.2" customHeight="1" x14ac:dyDescent="0.25">
      <c r="A67" s="675"/>
      <c r="B67" s="865" t="s">
        <v>1409</v>
      </c>
      <c r="C67" s="865"/>
      <c r="D67" s="865"/>
      <c r="E67" s="865"/>
      <c r="F67" s="865" t="s">
        <v>1947</v>
      </c>
      <c r="G67" s="865"/>
      <c r="H67" s="865"/>
      <c r="I67" s="865"/>
      <c r="J67" s="865" t="s">
        <v>129</v>
      </c>
      <c r="K67" s="865"/>
      <c r="L67" s="865"/>
      <c r="M67" s="865"/>
      <c r="N67" s="865"/>
      <c r="O67" s="865"/>
      <c r="P67" s="865"/>
    </row>
    <row r="68" spans="1:16" ht="54.4" customHeight="1" x14ac:dyDescent="0.25">
      <c r="A68" s="675"/>
      <c r="B68" s="865" t="s">
        <v>1410</v>
      </c>
      <c r="C68" s="865"/>
      <c r="D68" s="865"/>
      <c r="E68" s="865"/>
      <c r="F68" s="865" t="s">
        <v>1950</v>
      </c>
      <c r="G68" s="865"/>
      <c r="H68" s="865"/>
      <c r="I68" s="865"/>
      <c r="J68" s="865" t="s">
        <v>129</v>
      </c>
      <c r="K68" s="865"/>
      <c r="L68" s="865"/>
      <c r="M68" s="865"/>
      <c r="N68" s="865"/>
      <c r="O68" s="865"/>
      <c r="P68" s="865"/>
    </row>
    <row r="69" spans="1:16" ht="122.45" customHeight="1" x14ac:dyDescent="0.25">
      <c r="A69" s="674" t="s">
        <v>40</v>
      </c>
      <c r="B69" s="781" t="s">
        <v>1043</v>
      </c>
      <c r="C69" s="782"/>
      <c r="D69" s="782"/>
      <c r="E69" s="782"/>
      <c r="F69" s="782" t="s">
        <v>1044</v>
      </c>
      <c r="G69" s="782"/>
      <c r="H69" s="782"/>
      <c r="I69" s="782"/>
      <c r="J69" s="782" t="s">
        <v>2873</v>
      </c>
      <c r="K69" s="782"/>
      <c r="L69" s="782"/>
      <c r="M69" s="866">
        <f>ROUND((72700 + 16 * (0.4 * 500 + 0.6 * 400)) * 1 * 1.53 * 0.6 * 0.2 * 1.3, 0)</f>
        <v>19032</v>
      </c>
      <c r="N69" s="782"/>
      <c r="O69" s="782" t="s">
        <v>1045</v>
      </c>
      <c r="P69" s="782"/>
    </row>
    <row r="70" spans="1:16" x14ac:dyDescent="0.25">
      <c r="A70" s="676"/>
      <c r="B70" s="864" t="s">
        <v>306</v>
      </c>
      <c r="C70" s="864"/>
      <c r="D70" s="864"/>
      <c r="E70" s="864"/>
      <c r="F70" s="864" t="s">
        <v>129</v>
      </c>
      <c r="G70" s="864"/>
      <c r="H70" s="864"/>
      <c r="I70" s="864"/>
      <c r="J70" s="864" t="s">
        <v>129</v>
      </c>
      <c r="K70" s="864"/>
      <c r="L70" s="864"/>
      <c r="M70" s="864"/>
      <c r="N70" s="864"/>
      <c r="O70" s="864"/>
      <c r="P70" s="864"/>
    </row>
    <row r="71" spans="1:16" x14ac:dyDescent="0.25">
      <c r="A71" s="675"/>
      <c r="B71" s="865" t="s">
        <v>507</v>
      </c>
      <c r="C71" s="865"/>
      <c r="D71" s="865"/>
      <c r="E71" s="865"/>
      <c r="F71" s="865" t="s">
        <v>508</v>
      </c>
      <c r="G71" s="865"/>
      <c r="H71" s="865"/>
      <c r="I71" s="865"/>
      <c r="J71" s="865" t="s">
        <v>129</v>
      </c>
      <c r="K71" s="865"/>
      <c r="L71" s="865"/>
      <c r="M71" s="865"/>
      <c r="N71" s="865"/>
      <c r="O71" s="865"/>
      <c r="P71" s="865"/>
    </row>
    <row r="72" spans="1:16" ht="40.9" customHeight="1" x14ac:dyDescent="0.25">
      <c r="A72" s="675"/>
      <c r="B72" s="865" t="s">
        <v>336</v>
      </c>
      <c r="C72" s="865"/>
      <c r="D72" s="865"/>
      <c r="E72" s="865"/>
      <c r="F72" s="865" t="s">
        <v>337</v>
      </c>
      <c r="G72" s="865"/>
      <c r="H72" s="865"/>
      <c r="I72" s="865"/>
      <c r="J72" s="865" t="s">
        <v>129</v>
      </c>
      <c r="K72" s="865"/>
      <c r="L72" s="865"/>
      <c r="M72" s="865"/>
      <c r="N72" s="865"/>
      <c r="O72" s="865"/>
      <c r="P72" s="865"/>
    </row>
    <row r="73" spans="1:16" ht="95.25" customHeight="1" x14ac:dyDescent="0.25">
      <c r="A73" s="675"/>
      <c r="B73" s="865" t="s">
        <v>1764</v>
      </c>
      <c r="C73" s="865"/>
      <c r="D73" s="865"/>
      <c r="E73" s="865"/>
      <c r="F73" s="865" t="s">
        <v>1765</v>
      </c>
      <c r="G73" s="865"/>
      <c r="H73" s="865"/>
      <c r="I73" s="865"/>
      <c r="J73" s="865" t="s">
        <v>129</v>
      </c>
      <c r="K73" s="865"/>
      <c r="L73" s="865"/>
      <c r="M73" s="865"/>
      <c r="N73" s="865"/>
      <c r="O73" s="865"/>
      <c r="P73" s="865"/>
    </row>
    <row r="74" spans="1:16" ht="149.65" customHeight="1" x14ac:dyDescent="0.25">
      <c r="A74" s="675"/>
      <c r="B74" s="865" t="s">
        <v>329</v>
      </c>
      <c r="C74" s="865"/>
      <c r="D74" s="865"/>
      <c r="E74" s="865"/>
      <c r="F74" s="865" t="s">
        <v>2872</v>
      </c>
      <c r="G74" s="865"/>
      <c r="H74" s="865"/>
      <c r="I74" s="865"/>
      <c r="J74" s="865" t="s">
        <v>129</v>
      </c>
      <c r="K74" s="865"/>
      <c r="L74" s="865"/>
      <c r="M74" s="865"/>
      <c r="N74" s="865"/>
      <c r="O74" s="865"/>
      <c r="P74" s="865"/>
    </row>
    <row r="75" spans="1:16" x14ac:dyDescent="0.25">
      <c r="A75" s="676"/>
      <c r="B75" s="864" t="s">
        <v>330</v>
      </c>
      <c r="C75" s="864"/>
      <c r="D75" s="864"/>
      <c r="E75" s="864"/>
      <c r="F75" s="864" t="s">
        <v>129</v>
      </c>
      <c r="G75" s="864"/>
      <c r="H75" s="864"/>
      <c r="I75" s="864"/>
      <c r="J75" s="864" t="s">
        <v>129</v>
      </c>
      <c r="K75" s="864"/>
      <c r="L75" s="864"/>
      <c r="M75" s="864"/>
      <c r="N75" s="864"/>
      <c r="O75" s="864"/>
      <c r="P75" s="864"/>
    </row>
    <row r="76" spans="1:16" ht="54.4" customHeight="1" x14ac:dyDescent="0.25">
      <c r="A76" s="675"/>
      <c r="B76" s="865" t="s">
        <v>1411</v>
      </c>
      <c r="C76" s="865"/>
      <c r="D76" s="865"/>
      <c r="E76" s="865"/>
      <c r="F76" s="865" t="s">
        <v>2871</v>
      </c>
      <c r="G76" s="865"/>
      <c r="H76" s="865"/>
      <c r="I76" s="865"/>
      <c r="J76" s="865" t="s">
        <v>129</v>
      </c>
      <c r="K76" s="865"/>
      <c r="L76" s="865"/>
      <c r="M76" s="865"/>
      <c r="N76" s="865"/>
      <c r="O76" s="865"/>
      <c r="P76" s="865"/>
    </row>
    <row r="77" spans="1:16" ht="27.2" customHeight="1" x14ac:dyDescent="0.25">
      <c r="A77" s="675"/>
      <c r="B77" s="865" t="s">
        <v>1412</v>
      </c>
      <c r="C77" s="865"/>
      <c r="D77" s="865"/>
      <c r="E77" s="865"/>
      <c r="F77" s="865" t="s">
        <v>2870</v>
      </c>
      <c r="G77" s="865"/>
      <c r="H77" s="865"/>
      <c r="I77" s="865"/>
      <c r="J77" s="865" t="s">
        <v>129</v>
      </c>
      <c r="K77" s="865"/>
      <c r="L77" s="865"/>
      <c r="M77" s="865"/>
      <c r="N77" s="865"/>
      <c r="O77" s="865"/>
      <c r="P77" s="865"/>
    </row>
    <row r="78" spans="1:16" ht="40.9" customHeight="1" x14ac:dyDescent="0.25">
      <c r="A78" s="675"/>
      <c r="B78" s="865" t="s">
        <v>1413</v>
      </c>
      <c r="C78" s="865"/>
      <c r="D78" s="865"/>
      <c r="E78" s="865"/>
      <c r="F78" s="865" t="s">
        <v>2869</v>
      </c>
      <c r="G78" s="865"/>
      <c r="H78" s="865"/>
      <c r="I78" s="865"/>
      <c r="J78" s="865" t="s">
        <v>129</v>
      </c>
      <c r="K78" s="865"/>
      <c r="L78" s="865"/>
      <c r="M78" s="865"/>
      <c r="N78" s="865"/>
      <c r="O78" s="865"/>
      <c r="P78" s="865"/>
    </row>
    <row r="79" spans="1:16" ht="27.2" customHeight="1" x14ac:dyDescent="0.25">
      <c r="A79" s="675"/>
      <c r="B79" s="865" t="s">
        <v>1414</v>
      </c>
      <c r="C79" s="865"/>
      <c r="D79" s="865"/>
      <c r="E79" s="865"/>
      <c r="F79" s="865" t="s">
        <v>2868</v>
      </c>
      <c r="G79" s="865"/>
      <c r="H79" s="865"/>
      <c r="I79" s="865"/>
      <c r="J79" s="865" t="s">
        <v>129</v>
      </c>
      <c r="K79" s="865"/>
      <c r="L79" s="865"/>
      <c r="M79" s="865"/>
      <c r="N79" s="865"/>
      <c r="O79" s="865"/>
      <c r="P79" s="865"/>
    </row>
    <row r="80" spans="1:16" ht="27.2" customHeight="1" x14ac:dyDescent="0.25">
      <c r="A80" s="675"/>
      <c r="B80" s="865" t="s">
        <v>1415</v>
      </c>
      <c r="C80" s="865"/>
      <c r="D80" s="865"/>
      <c r="E80" s="865"/>
      <c r="F80" s="865" t="s">
        <v>2866</v>
      </c>
      <c r="G80" s="865"/>
      <c r="H80" s="865"/>
      <c r="I80" s="865"/>
      <c r="J80" s="865" t="s">
        <v>129</v>
      </c>
      <c r="K80" s="865"/>
      <c r="L80" s="865"/>
      <c r="M80" s="865"/>
      <c r="N80" s="865"/>
      <c r="O80" s="865"/>
      <c r="P80" s="865"/>
    </row>
    <row r="81" spans="1:16" ht="27.2" customHeight="1" x14ac:dyDescent="0.25">
      <c r="A81" s="675"/>
      <c r="B81" s="865" t="s">
        <v>1416</v>
      </c>
      <c r="C81" s="865"/>
      <c r="D81" s="865"/>
      <c r="E81" s="865"/>
      <c r="F81" s="865" t="s">
        <v>2867</v>
      </c>
      <c r="G81" s="865"/>
      <c r="H81" s="865"/>
      <c r="I81" s="865"/>
      <c r="J81" s="865" t="s">
        <v>129</v>
      </c>
      <c r="K81" s="865"/>
      <c r="L81" s="865"/>
      <c r="M81" s="865"/>
      <c r="N81" s="865"/>
      <c r="O81" s="865"/>
      <c r="P81" s="865"/>
    </row>
    <row r="82" spans="1:16" ht="27.2" customHeight="1" x14ac:dyDescent="0.25">
      <c r="A82" s="675"/>
      <c r="B82" s="865" t="s">
        <v>1417</v>
      </c>
      <c r="C82" s="865"/>
      <c r="D82" s="865"/>
      <c r="E82" s="865"/>
      <c r="F82" s="865" t="s">
        <v>2866</v>
      </c>
      <c r="G82" s="865"/>
      <c r="H82" s="865"/>
      <c r="I82" s="865"/>
      <c r="J82" s="865" t="s">
        <v>129</v>
      </c>
      <c r="K82" s="865"/>
      <c r="L82" s="865"/>
      <c r="M82" s="865"/>
      <c r="N82" s="865"/>
      <c r="O82" s="865"/>
      <c r="P82" s="865"/>
    </row>
    <row r="83" spans="1:16" ht="54.4" customHeight="1" x14ac:dyDescent="0.25">
      <c r="A83" s="675"/>
      <c r="B83" s="865" t="s">
        <v>1418</v>
      </c>
      <c r="C83" s="865"/>
      <c r="D83" s="865"/>
      <c r="E83" s="865"/>
      <c r="F83" s="865" t="s">
        <v>2865</v>
      </c>
      <c r="G83" s="865"/>
      <c r="H83" s="865"/>
      <c r="I83" s="865"/>
      <c r="J83" s="865" t="s">
        <v>129</v>
      </c>
      <c r="K83" s="865"/>
      <c r="L83" s="865"/>
      <c r="M83" s="865"/>
      <c r="N83" s="865"/>
      <c r="O83" s="865"/>
      <c r="P83" s="865"/>
    </row>
    <row r="84" spans="1:16" ht="149.65" customHeight="1" x14ac:dyDescent="0.25">
      <c r="A84" s="674" t="s">
        <v>42</v>
      </c>
      <c r="B84" s="781" t="s">
        <v>1778</v>
      </c>
      <c r="C84" s="782"/>
      <c r="D84" s="782"/>
      <c r="E84" s="782"/>
      <c r="F84" s="782" t="s">
        <v>1779</v>
      </c>
      <c r="G84" s="782"/>
      <c r="H84" s="782"/>
      <c r="I84" s="782"/>
      <c r="J84" s="782" t="s">
        <v>2949</v>
      </c>
      <c r="K84" s="782"/>
      <c r="L84" s="782"/>
      <c r="M84" s="866">
        <f>ROUND((3478 + 441 * 23) * 1 * 7.1 * 0.6 * 4.7 * 0.2 * 1.28, 0)</f>
        <v>69816</v>
      </c>
      <c r="N84" s="782"/>
      <c r="O84" s="782" t="s">
        <v>129</v>
      </c>
      <c r="P84" s="782"/>
    </row>
    <row r="85" spans="1:16" x14ac:dyDescent="0.25">
      <c r="A85" s="676"/>
      <c r="B85" s="864" t="s">
        <v>306</v>
      </c>
      <c r="C85" s="864"/>
      <c r="D85" s="864"/>
      <c r="E85" s="864"/>
      <c r="F85" s="864" t="s">
        <v>129</v>
      </c>
      <c r="G85" s="864"/>
      <c r="H85" s="864"/>
      <c r="I85" s="864"/>
      <c r="J85" s="864" t="s">
        <v>129</v>
      </c>
      <c r="K85" s="864"/>
      <c r="L85" s="864"/>
      <c r="M85" s="864"/>
      <c r="N85" s="864"/>
      <c r="O85" s="864"/>
      <c r="P85" s="864"/>
    </row>
    <row r="86" spans="1:16" x14ac:dyDescent="0.25">
      <c r="A86" s="675"/>
      <c r="B86" s="865" t="s">
        <v>507</v>
      </c>
      <c r="C86" s="865"/>
      <c r="D86" s="865"/>
      <c r="E86" s="865"/>
      <c r="F86" s="865" t="s">
        <v>508</v>
      </c>
      <c r="G86" s="865"/>
      <c r="H86" s="865"/>
      <c r="I86" s="865"/>
      <c r="J86" s="865" t="s">
        <v>129</v>
      </c>
      <c r="K86" s="865"/>
      <c r="L86" s="865"/>
      <c r="M86" s="865"/>
      <c r="N86" s="865"/>
      <c r="O86" s="865"/>
      <c r="P86" s="865"/>
    </row>
    <row r="87" spans="1:16" ht="40.9" customHeight="1" x14ac:dyDescent="0.25">
      <c r="A87" s="675"/>
      <c r="B87" s="865" t="s">
        <v>360</v>
      </c>
      <c r="C87" s="865"/>
      <c r="D87" s="865"/>
      <c r="E87" s="865"/>
      <c r="F87" s="865" t="s">
        <v>361</v>
      </c>
      <c r="G87" s="865"/>
      <c r="H87" s="865"/>
      <c r="I87" s="865"/>
      <c r="J87" s="865" t="s">
        <v>129</v>
      </c>
      <c r="K87" s="865"/>
      <c r="L87" s="865"/>
      <c r="M87" s="865"/>
      <c r="N87" s="865"/>
      <c r="O87" s="865"/>
      <c r="P87" s="865"/>
    </row>
    <row r="88" spans="1:16" ht="68.099999999999994" customHeight="1" x14ac:dyDescent="0.25">
      <c r="A88" s="675"/>
      <c r="B88" s="865" t="s">
        <v>1780</v>
      </c>
      <c r="C88" s="865"/>
      <c r="D88" s="865"/>
      <c r="E88" s="865"/>
      <c r="F88" s="865" t="s">
        <v>2663</v>
      </c>
      <c r="G88" s="865"/>
      <c r="H88" s="865"/>
      <c r="I88" s="865"/>
      <c r="J88" s="865" t="s">
        <v>129</v>
      </c>
      <c r="K88" s="865"/>
      <c r="L88" s="865"/>
      <c r="M88" s="865"/>
      <c r="N88" s="865"/>
      <c r="O88" s="865"/>
      <c r="P88" s="865"/>
    </row>
    <row r="89" spans="1:16" ht="108.75" customHeight="1" x14ac:dyDescent="0.25">
      <c r="A89" s="675"/>
      <c r="B89" s="865" t="s">
        <v>2608</v>
      </c>
      <c r="C89" s="865"/>
      <c r="D89" s="865"/>
      <c r="E89" s="865"/>
      <c r="F89" s="865" t="s">
        <v>334</v>
      </c>
      <c r="G89" s="865"/>
      <c r="H89" s="865"/>
      <c r="I89" s="865"/>
      <c r="J89" s="865" t="s">
        <v>129</v>
      </c>
      <c r="K89" s="865"/>
      <c r="L89" s="865"/>
      <c r="M89" s="865"/>
      <c r="N89" s="865"/>
      <c r="O89" s="865"/>
      <c r="P89" s="865"/>
    </row>
    <row r="90" spans="1:16" ht="149.65" customHeight="1" x14ac:dyDescent="0.25">
      <c r="A90" s="675"/>
      <c r="B90" s="865" t="s">
        <v>329</v>
      </c>
      <c r="C90" s="865"/>
      <c r="D90" s="865"/>
      <c r="E90" s="865"/>
      <c r="F90" s="865" t="s">
        <v>2944</v>
      </c>
      <c r="G90" s="865"/>
      <c r="H90" s="865"/>
      <c r="I90" s="865"/>
      <c r="J90" s="865" t="s">
        <v>129</v>
      </c>
      <c r="K90" s="865"/>
      <c r="L90" s="865"/>
      <c r="M90" s="865"/>
      <c r="N90" s="865"/>
      <c r="O90" s="865"/>
      <c r="P90" s="865"/>
    </row>
    <row r="91" spans="1:16" x14ac:dyDescent="0.25">
      <c r="A91" s="676"/>
      <c r="B91" s="864" t="s">
        <v>330</v>
      </c>
      <c r="C91" s="864"/>
      <c r="D91" s="864"/>
      <c r="E91" s="864"/>
      <c r="F91" s="864" t="s">
        <v>129</v>
      </c>
      <c r="G91" s="864"/>
      <c r="H91" s="864"/>
      <c r="I91" s="864"/>
      <c r="J91" s="864" t="s">
        <v>129</v>
      </c>
      <c r="K91" s="864"/>
      <c r="L91" s="864"/>
      <c r="M91" s="864"/>
      <c r="N91" s="864"/>
      <c r="O91" s="864"/>
      <c r="P91" s="864"/>
    </row>
    <row r="92" spans="1:16" ht="27.2" customHeight="1" x14ac:dyDescent="0.25">
      <c r="A92" s="675"/>
      <c r="B92" s="865" t="s">
        <v>1477</v>
      </c>
      <c r="C92" s="865"/>
      <c r="D92" s="865"/>
      <c r="E92" s="865"/>
      <c r="F92" s="865" t="s">
        <v>2948</v>
      </c>
      <c r="G92" s="865"/>
      <c r="H92" s="865"/>
      <c r="I92" s="865"/>
      <c r="J92" s="865" t="s">
        <v>129</v>
      </c>
      <c r="K92" s="865"/>
      <c r="L92" s="865"/>
      <c r="M92" s="865"/>
      <c r="N92" s="865"/>
      <c r="O92" s="865"/>
      <c r="P92" s="865"/>
    </row>
    <row r="93" spans="1:16" ht="27.2" customHeight="1" x14ac:dyDescent="0.25">
      <c r="A93" s="675"/>
      <c r="B93" s="865" t="s">
        <v>1952</v>
      </c>
      <c r="C93" s="865"/>
      <c r="D93" s="865"/>
      <c r="E93" s="865"/>
      <c r="F93" s="865" t="s">
        <v>2947</v>
      </c>
      <c r="G93" s="865"/>
      <c r="H93" s="865"/>
      <c r="I93" s="865"/>
      <c r="J93" s="865" t="s">
        <v>129</v>
      </c>
      <c r="K93" s="865"/>
      <c r="L93" s="865"/>
      <c r="M93" s="865"/>
      <c r="N93" s="865"/>
      <c r="O93" s="865"/>
      <c r="P93" s="865"/>
    </row>
    <row r="94" spans="1:16" x14ac:dyDescent="0.25">
      <c r="A94" s="675"/>
      <c r="B94" s="865" t="s">
        <v>1480</v>
      </c>
      <c r="C94" s="865"/>
      <c r="D94" s="865"/>
      <c r="E94" s="865"/>
      <c r="F94" s="865" t="s">
        <v>2946</v>
      </c>
      <c r="G94" s="865"/>
      <c r="H94" s="865"/>
      <c r="I94" s="865"/>
      <c r="J94" s="865" t="s">
        <v>129</v>
      </c>
      <c r="K94" s="865"/>
      <c r="L94" s="865"/>
      <c r="M94" s="865"/>
      <c r="N94" s="865"/>
      <c r="O94" s="865"/>
      <c r="P94" s="865"/>
    </row>
    <row r="95" spans="1:16" ht="135.94999999999999" customHeight="1" x14ac:dyDescent="0.25">
      <c r="A95" s="674" t="s">
        <v>158</v>
      </c>
      <c r="B95" s="781" t="s">
        <v>1782</v>
      </c>
      <c r="C95" s="782"/>
      <c r="D95" s="782"/>
      <c r="E95" s="782"/>
      <c r="F95" s="782" t="s">
        <v>1783</v>
      </c>
      <c r="G95" s="782"/>
      <c r="H95" s="782"/>
      <c r="I95" s="782"/>
      <c r="J95" s="782" t="s">
        <v>2945</v>
      </c>
      <c r="K95" s="782"/>
      <c r="L95" s="782"/>
      <c r="M95" s="866">
        <f>ROUND((59180 + 190 * 23) * 1 * 7.1 * 0.6 * 4.7 * 0.2 * 1.28, 0)</f>
        <v>325734</v>
      </c>
      <c r="N95" s="782"/>
      <c r="O95" s="782" t="s">
        <v>129</v>
      </c>
      <c r="P95" s="782"/>
    </row>
    <row r="96" spans="1:16" x14ac:dyDescent="0.25">
      <c r="A96" s="676"/>
      <c r="B96" s="864" t="s">
        <v>306</v>
      </c>
      <c r="C96" s="864"/>
      <c r="D96" s="864"/>
      <c r="E96" s="864"/>
      <c r="F96" s="864" t="s">
        <v>129</v>
      </c>
      <c r="G96" s="864"/>
      <c r="H96" s="864"/>
      <c r="I96" s="864"/>
      <c r="J96" s="864" t="s">
        <v>129</v>
      </c>
      <c r="K96" s="864"/>
      <c r="L96" s="864"/>
      <c r="M96" s="864"/>
      <c r="N96" s="864"/>
      <c r="O96" s="864"/>
      <c r="P96" s="864"/>
    </row>
    <row r="97" spans="1:16" x14ac:dyDescent="0.25">
      <c r="A97" s="675"/>
      <c r="B97" s="865" t="s">
        <v>507</v>
      </c>
      <c r="C97" s="865"/>
      <c r="D97" s="865"/>
      <c r="E97" s="865"/>
      <c r="F97" s="865" t="s">
        <v>508</v>
      </c>
      <c r="G97" s="865"/>
      <c r="H97" s="865"/>
      <c r="I97" s="865"/>
      <c r="J97" s="865" t="s">
        <v>129</v>
      </c>
      <c r="K97" s="865"/>
      <c r="L97" s="865"/>
      <c r="M97" s="865"/>
      <c r="N97" s="865"/>
      <c r="O97" s="865"/>
      <c r="P97" s="865"/>
    </row>
    <row r="98" spans="1:16" ht="40.9" customHeight="1" x14ac:dyDescent="0.25">
      <c r="A98" s="675"/>
      <c r="B98" s="865" t="s">
        <v>360</v>
      </c>
      <c r="C98" s="865"/>
      <c r="D98" s="865"/>
      <c r="E98" s="865"/>
      <c r="F98" s="865" t="s">
        <v>361</v>
      </c>
      <c r="G98" s="865"/>
      <c r="H98" s="865"/>
      <c r="I98" s="865"/>
      <c r="J98" s="865" t="s">
        <v>129</v>
      </c>
      <c r="K98" s="865"/>
      <c r="L98" s="865"/>
      <c r="M98" s="865"/>
      <c r="N98" s="865"/>
      <c r="O98" s="865"/>
      <c r="P98" s="865"/>
    </row>
    <row r="99" spans="1:16" ht="68.099999999999994" customHeight="1" x14ac:dyDescent="0.25">
      <c r="A99" s="675"/>
      <c r="B99" s="865" t="s">
        <v>1780</v>
      </c>
      <c r="C99" s="865"/>
      <c r="D99" s="865"/>
      <c r="E99" s="865"/>
      <c r="F99" s="865" t="s">
        <v>2663</v>
      </c>
      <c r="G99" s="865"/>
      <c r="H99" s="865"/>
      <c r="I99" s="865"/>
      <c r="J99" s="865" t="s">
        <v>129</v>
      </c>
      <c r="K99" s="865"/>
      <c r="L99" s="865"/>
      <c r="M99" s="865"/>
      <c r="N99" s="865"/>
      <c r="O99" s="865"/>
      <c r="P99" s="865"/>
    </row>
    <row r="100" spans="1:16" ht="108.75" customHeight="1" x14ac:dyDescent="0.25">
      <c r="A100" s="675"/>
      <c r="B100" s="865" t="s">
        <v>2608</v>
      </c>
      <c r="C100" s="865"/>
      <c r="D100" s="865"/>
      <c r="E100" s="865"/>
      <c r="F100" s="865" t="s">
        <v>334</v>
      </c>
      <c r="G100" s="865"/>
      <c r="H100" s="865"/>
      <c r="I100" s="865"/>
      <c r="J100" s="865" t="s">
        <v>129</v>
      </c>
      <c r="K100" s="865"/>
      <c r="L100" s="865"/>
      <c r="M100" s="865"/>
      <c r="N100" s="865"/>
      <c r="O100" s="865"/>
      <c r="P100" s="865"/>
    </row>
    <row r="101" spans="1:16" ht="149.65" customHeight="1" x14ac:dyDescent="0.25">
      <c r="A101" s="675"/>
      <c r="B101" s="865" t="s">
        <v>329</v>
      </c>
      <c r="C101" s="865"/>
      <c r="D101" s="865"/>
      <c r="E101" s="865"/>
      <c r="F101" s="865" t="s">
        <v>2944</v>
      </c>
      <c r="G101" s="865"/>
      <c r="H101" s="865"/>
      <c r="I101" s="865"/>
      <c r="J101" s="865" t="s">
        <v>129</v>
      </c>
      <c r="K101" s="865"/>
      <c r="L101" s="865"/>
      <c r="M101" s="865"/>
      <c r="N101" s="865"/>
      <c r="O101" s="865"/>
      <c r="P101" s="865"/>
    </row>
    <row r="102" spans="1:16" x14ac:dyDescent="0.25">
      <c r="A102" s="676"/>
      <c r="B102" s="864" t="s">
        <v>330</v>
      </c>
      <c r="C102" s="864"/>
      <c r="D102" s="864"/>
      <c r="E102" s="864"/>
      <c r="F102" s="864" t="s">
        <v>129</v>
      </c>
      <c r="G102" s="864"/>
      <c r="H102" s="864"/>
      <c r="I102" s="864"/>
      <c r="J102" s="864" t="s">
        <v>129</v>
      </c>
      <c r="K102" s="864"/>
      <c r="L102" s="864"/>
      <c r="M102" s="864"/>
      <c r="N102" s="864"/>
      <c r="O102" s="864"/>
      <c r="P102" s="864"/>
    </row>
    <row r="103" spans="1:16" ht="27.2" customHeight="1" x14ac:dyDescent="0.25">
      <c r="A103" s="675"/>
      <c r="B103" s="865" t="s">
        <v>1477</v>
      </c>
      <c r="C103" s="865"/>
      <c r="D103" s="865"/>
      <c r="E103" s="865"/>
      <c r="F103" s="865" t="s">
        <v>2943</v>
      </c>
      <c r="G103" s="865"/>
      <c r="H103" s="865"/>
      <c r="I103" s="865"/>
      <c r="J103" s="865" t="s">
        <v>129</v>
      </c>
      <c r="K103" s="865"/>
      <c r="L103" s="865"/>
      <c r="M103" s="865"/>
      <c r="N103" s="865"/>
      <c r="O103" s="865"/>
      <c r="P103" s="865"/>
    </row>
    <row r="104" spans="1:16" ht="27.2" customHeight="1" x14ac:dyDescent="0.25">
      <c r="A104" s="675"/>
      <c r="B104" s="865" t="s">
        <v>1952</v>
      </c>
      <c r="C104" s="865"/>
      <c r="D104" s="865"/>
      <c r="E104" s="865"/>
      <c r="F104" s="865" t="s">
        <v>2942</v>
      </c>
      <c r="G104" s="865"/>
      <c r="H104" s="865"/>
      <c r="I104" s="865"/>
      <c r="J104" s="865" t="s">
        <v>129</v>
      </c>
      <c r="K104" s="865"/>
      <c r="L104" s="865"/>
      <c r="M104" s="865"/>
      <c r="N104" s="865"/>
      <c r="O104" s="865"/>
      <c r="P104" s="865"/>
    </row>
    <row r="105" spans="1:16" x14ac:dyDescent="0.25">
      <c r="A105" s="675"/>
      <c r="B105" s="865" t="s">
        <v>1480</v>
      </c>
      <c r="C105" s="865"/>
      <c r="D105" s="865"/>
      <c r="E105" s="865"/>
      <c r="F105" s="865" t="s">
        <v>2941</v>
      </c>
      <c r="G105" s="865"/>
      <c r="H105" s="865"/>
      <c r="I105" s="865"/>
      <c r="J105" s="865" t="s">
        <v>129</v>
      </c>
      <c r="K105" s="865"/>
      <c r="L105" s="865"/>
      <c r="M105" s="865"/>
      <c r="N105" s="865"/>
      <c r="O105" s="865"/>
      <c r="P105" s="865"/>
    </row>
    <row r="106" spans="1:16" ht="122.45" customHeight="1" x14ac:dyDescent="0.25">
      <c r="A106" s="674" t="s">
        <v>173</v>
      </c>
      <c r="B106" s="781" t="s">
        <v>1057</v>
      </c>
      <c r="C106" s="782"/>
      <c r="D106" s="782"/>
      <c r="E106" s="782"/>
      <c r="F106" s="782" t="s">
        <v>1058</v>
      </c>
      <c r="G106" s="782"/>
      <c r="H106" s="782"/>
      <c r="I106" s="782"/>
      <c r="J106" s="782" t="s">
        <v>2940</v>
      </c>
      <c r="K106" s="782"/>
      <c r="L106" s="782"/>
      <c r="M106" s="866">
        <f>ROUND((437500 + 2393 * 600) * 1 * 1.53 * 0.6 * 0.8 * 0.35 * 1.3, 0)</f>
        <v>625967</v>
      </c>
      <c r="N106" s="782"/>
      <c r="O106" s="782" t="s">
        <v>129</v>
      </c>
      <c r="P106" s="782"/>
    </row>
    <row r="107" spans="1:16" x14ac:dyDescent="0.25">
      <c r="A107" s="676"/>
      <c r="B107" s="864" t="s">
        <v>306</v>
      </c>
      <c r="C107" s="864"/>
      <c r="D107" s="864"/>
      <c r="E107" s="864"/>
      <c r="F107" s="864" t="s">
        <v>129</v>
      </c>
      <c r="G107" s="864"/>
      <c r="H107" s="864"/>
      <c r="I107" s="864"/>
      <c r="J107" s="864" t="s">
        <v>129</v>
      </c>
      <c r="K107" s="864"/>
      <c r="L107" s="864"/>
      <c r="M107" s="864"/>
      <c r="N107" s="864"/>
      <c r="O107" s="864"/>
      <c r="P107" s="864"/>
    </row>
    <row r="108" spans="1:16" x14ac:dyDescent="0.25">
      <c r="A108" s="675"/>
      <c r="B108" s="865" t="s">
        <v>507</v>
      </c>
      <c r="C108" s="865"/>
      <c r="D108" s="865"/>
      <c r="E108" s="865"/>
      <c r="F108" s="865" t="s">
        <v>508</v>
      </c>
      <c r="G108" s="865"/>
      <c r="H108" s="865"/>
      <c r="I108" s="865"/>
      <c r="J108" s="865" t="s">
        <v>129</v>
      </c>
      <c r="K108" s="865"/>
      <c r="L108" s="865"/>
      <c r="M108" s="865"/>
      <c r="N108" s="865"/>
      <c r="O108" s="865"/>
      <c r="P108" s="865"/>
    </row>
    <row r="109" spans="1:16" ht="40.9" customHeight="1" x14ac:dyDescent="0.25">
      <c r="A109" s="675"/>
      <c r="B109" s="865" t="s">
        <v>336</v>
      </c>
      <c r="C109" s="865"/>
      <c r="D109" s="865"/>
      <c r="E109" s="865"/>
      <c r="F109" s="865" t="s">
        <v>337</v>
      </c>
      <c r="G109" s="865"/>
      <c r="H109" s="865"/>
      <c r="I109" s="865"/>
      <c r="J109" s="865" t="s">
        <v>129</v>
      </c>
      <c r="K109" s="865"/>
      <c r="L109" s="865"/>
      <c r="M109" s="865"/>
      <c r="N109" s="865"/>
      <c r="O109" s="865"/>
      <c r="P109" s="865"/>
    </row>
    <row r="110" spans="1:16" ht="122.45" customHeight="1" x14ac:dyDescent="0.25">
      <c r="A110" s="675"/>
      <c r="B110" s="865" t="s">
        <v>1059</v>
      </c>
      <c r="C110" s="865"/>
      <c r="D110" s="865"/>
      <c r="E110" s="865"/>
      <c r="F110" s="865" t="s">
        <v>1060</v>
      </c>
      <c r="G110" s="865"/>
      <c r="H110" s="865"/>
      <c r="I110" s="865"/>
      <c r="J110" s="865" t="s">
        <v>129</v>
      </c>
      <c r="K110" s="865"/>
      <c r="L110" s="865"/>
      <c r="M110" s="865"/>
      <c r="N110" s="865"/>
      <c r="O110" s="865"/>
      <c r="P110" s="865"/>
    </row>
    <row r="111" spans="1:16" ht="135.94999999999999" customHeight="1" x14ac:dyDescent="0.25">
      <c r="A111" s="675"/>
      <c r="B111" s="865" t="s">
        <v>1371</v>
      </c>
      <c r="C111" s="865"/>
      <c r="D111" s="865"/>
      <c r="E111" s="865"/>
      <c r="F111" s="865" t="s">
        <v>2446</v>
      </c>
      <c r="G111" s="865"/>
      <c r="H111" s="865"/>
      <c r="I111" s="865"/>
      <c r="J111" s="865" t="s">
        <v>129</v>
      </c>
      <c r="K111" s="865"/>
      <c r="L111" s="865"/>
      <c r="M111" s="865"/>
      <c r="N111" s="865"/>
      <c r="O111" s="865"/>
      <c r="P111" s="865"/>
    </row>
    <row r="112" spans="1:16" ht="149.65" customHeight="1" x14ac:dyDescent="0.25">
      <c r="A112" s="675"/>
      <c r="B112" s="865" t="s">
        <v>329</v>
      </c>
      <c r="C112" s="865"/>
      <c r="D112" s="865"/>
      <c r="E112" s="865"/>
      <c r="F112" s="865" t="s">
        <v>2939</v>
      </c>
      <c r="G112" s="865"/>
      <c r="H112" s="865"/>
      <c r="I112" s="865"/>
      <c r="J112" s="865" t="s">
        <v>129</v>
      </c>
      <c r="K112" s="865"/>
      <c r="L112" s="865"/>
      <c r="M112" s="865"/>
      <c r="N112" s="865"/>
      <c r="O112" s="865"/>
      <c r="P112" s="865"/>
    </row>
    <row r="113" spans="1:16" x14ac:dyDescent="0.25">
      <c r="A113" s="676"/>
      <c r="B113" s="864" t="s">
        <v>330</v>
      </c>
      <c r="C113" s="864"/>
      <c r="D113" s="864"/>
      <c r="E113" s="864"/>
      <c r="F113" s="864" t="s">
        <v>129</v>
      </c>
      <c r="G113" s="864"/>
      <c r="H113" s="864"/>
      <c r="I113" s="864"/>
      <c r="J113" s="864" t="s">
        <v>129</v>
      </c>
      <c r="K113" s="864"/>
      <c r="L113" s="864"/>
      <c r="M113" s="864"/>
      <c r="N113" s="864"/>
      <c r="O113" s="864"/>
      <c r="P113" s="864"/>
    </row>
    <row r="114" spans="1:16" ht="27.2" customHeight="1" x14ac:dyDescent="0.25">
      <c r="A114" s="675"/>
      <c r="B114" s="865" t="s">
        <v>1419</v>
      </c>
      <c r="C114" s="865"/>
      <c r="D114" s="865"/>
      <c r="E114" s="865"/>
      <c r="F114" s="865" t="s">
        <v>2938</v>
      </c>
      <c r="G114" s="865"/>
      <c r="H114" s="865"/>
      <c r="I114" s="865"/>
      <c r="J114" s="865" t="s">
        <v>129</v>
      </c>
      <c r="K114" s="865"/>
      <c r="L114" s="865"/>
      <c r="M114" s="865"/>
      <c r="N114" s="865"/>
      <c r="O114" s="865"/>
      <c r="P114" s="865"/>
    </row>
    <row r="115" spans="1:16" ht="27.2" customHeight="1" x14ac:dyDescent="0.25">
      <c r="A115" s="675"/>
      <c r="B115" s="865" t="s">
        <v>1420</v>
      </c>
      <c r="C115" s="865"/>
      <c r="D115" s="865"/>
      <c r="E115" s="865"/>
      <c r="F115" s="865" t="s">
        <v>2937</v>
      </c>
      <c r="G115" s="865"/>
      <c r="H115" s="865"/>
      <c r="I115" s="865"/>
      <c r="J115" s="865" t="s">
        <v>129</v>
      </c>
      <c r="K115" s="865"/>
      <c r="L115" s="865"/>
      <c r="M115" s="865"/>
      <c r="N115" s="865"/>
      <c r="O115" s="865"/>
      <c r="P115" s="865"/>
    </row>
    <row r="116" spans="1:16" ht="27.2" customHeight="1" x14ac:dyDescent="0.25">
      <c r="A116" s="675"/>
      <c r="B116" s="865" t="s">
        <v>1421</v>
      </c>
      <c r="C116" s="865"/>
      <c r="D116" s="865"/>
      <c r="E116" s="865"/>
      <c r="F116" s="865" t="s">
        <v>2936</v>
      </c>
      <c r="G116" s="865"/>
      <c r="H116" s="865"/>
      <c r="I116" s="865"/>
      <c r="J116" s="865" t="s">
        <v>129</v>
      </c>
      <c r="K116" s="865"/>
      <c r="L116" s="865"/>
      <c r="M116" s="865"/>
      <c r="N116" s="865"/>
      <c r="O116" s="865"/>
      <c r="P116" s="865"/>
    </row>
    <row r="117" spans="1:16" ht="27.2" customHeight="1" x14ac:dyDescent="0.25">
      <c r="A117" s="675"/>
      <c r="B117" s="865" t="s">
        <v>1422</v>
      </c>
      <c r="C117" s="865"/>
      <c r="D117" s="865"/>
      <c r="E117" s="865"/>
      <c r="F117" s="865" t="s">
        <v>2935</v>
      </c>
      <c r="G117" s="865"/>
      <c r="H117" s="865"/>
      <c r="I117" s="865"/>
      <c r="J117" s="865" t="s">
        <v>129</v>
      </c>
      <c r="K117" s="865"/>
      <c r="L117" s="865"/>
      <c r="M117" s="865"/>
      <c r="N117" s="865"/>
      <c r="O117" s="865"/>
      <c r="P117" s="865"/>
    </row>
    <row r="118" spans="1:16" ht="27.2" customHeight="1" x14ac:dyDescent="0.25">
      <c r="A118" s="675"/>
      <c r="B118" s="865" t="s">
        <v>1423</v>
      </c>
      <c r="C118" s="865"/>
      <c r="D118" s="865"/>
      <c r="E118" s="865"/>
      <c r="F118" s="865" t="s">
        <v>2934</v>
      </c>
      <c r="G118" s="865"/>
      <c r="H118" s="865"/>
      <c r="I118" s="865"/>
      <c r="J118" s="865" t="s">
        <v>129</v>
      </c>
      <c r="K118" s="865"/>
      <c r="L118" s="865"/>
      <c r="M118" s="865"/>
      <c r="N118" s="865"/>
      <c r="O118" s="865"/>
      <c r="P118" s="865"/>
    </row>
    <row r="119" spans="1:16" x14ac:dyDescent="0.25">
      <c r="A119" s="675"/>
      <c r="B119" s="865" t="s">
        <v>1424</v>
      </c>
      <c r="C119" s="865"/>
      <c r="D119" s="865"/>
      <c r="E119" s="865"/>
      <c r="F119" s="865" t="s">
        <v>2933</v>
      </c>
      <c r="G119" s="865"/>
      <c r="H119" s="865"/>
      <c r="I119" s="865"/>
      <c r="J119" s="865" t="s">
        <v>129</v>
      </c>
      <c r="K119" s="865"/>
      <c r="L119" s="865"/>
      <c r="M119" s="865"/>
      <c r="N119" s="865"/>
      <c r="O119" s="865"/>
      <c r="P119" s="865"/>
    </row>
    <row r="120" spans="1:16" ht="40.9" customHeight="1" x14ac:dyDescent="0.25">
      <c r="A120" s="675"/>
      <c r="B120" s="865" t="s">
        <v>1425</v>
      </c>
      <c r="C120" s="865"/>
      <c r="D120" s="865"/>
      <c r="E120" s="865"/>
      <c r="F120" s="865" t="s">
        <v>2932</v>
      </c>
      <c r="G120" s="865"/>
      <c r="H120" s="865"/>
      <c r="I120" s="865"/>
      <c r="J120" s="865" t="s">
        <v>129</v>
      </c>
      <c r="K120" s="865"/>
      <c r="L120" s="865"/>
      <c r="M120" s="865"/>
      <c r="N120" s="865"/>
      <c r="O120" s="865"/>
      <c r="P120" s="865"/>
    </row>
    <row r="121" spans="1:16" ht="27.2" customHeight="1" x14ac:dyDescent="0.25">
      <c r="A121" s="675"/>
      <c r="B121" s="865" t="s">
        <v>1228</v>
      </c>
      <c r="C121" s="865"/>
      <c r="D121" s="865"/>
      <c r="E121" s="865"/>
      <c r="F121" s="865" t="s">
        <v>2930</v>
      </c>
      <c r="G121" s="865"/>
      <c r="H121" s="865"/>
      <c r="I121" s="865"/>
      <c r="J121" s="865" t="s">
        <v>129</v>
      </c>
      <c r="K121" s="865"/>
      <c r="L121" s="865"/>
      <c r="M121" s="865"/>
      <c r="N121" s="865"/>
      <c r="O121" s="865"/>
      <c r="P121" s="865"/>
    </row>
    <row r="122" spans="1:16" ht="40.9" customHeight="1" x14ac:dyDescent="0.25">
      <c r="A122" s="675"/>
      <c r="B122" s="865" t="s">
        <v>1426</v>
      </c>
      <c r="C122" s="865"/>
      <c r="D122" s="865"/>
      <c r="E122" s="865"/>
      <c r="F122" s="865" t="s">
        <v>2930</v>
      </c>
      <c r="G122" s="865"/>
      <c r="H122" s="865"/>
      <c r="I122" s="865"/>
      <c r="J122" s="865" t="s">
        <v>129</v>
      </c>
      <c r="K122" s="865"/>
      <c r="L122" s="865"/>
      <c r="M122" s="865"/>
      <c r="N122" s="865"/>
      <c r="O122" s="865"/>
      <c r="P122" s="865"/>
    </row>
    <row r="123" spans="1:16" ht="27.2" customHeight="1" x14ac:dyDescent="0.25">
      <c r="A123" s="675"/>
      <c r="B123" s="865" t="s">
        <v>1427</v>
      </c>
      <c r="C123" s="865"/>
      <c r="D123" s="865"/>
      <c r="E123" s="865"/>
      <c r="F123" s="865" t="s">
        <v>2931</v>
      </c>
      <c r="G123" s="865"/>
      <c r="H123" s="865"/>
      <c r="I123" s="865"/>
      <c r="J123" s="865" t="s">
        <v>129</v>
      </c>
      <c r="K123" s="865"/>
      <c r="L123" s="865"/>
      <c r="M123" s="865"/>
      <c r="N123" s="865"/>
      <c r="O123" s="865"/>
      <c r="P123" s="865"/>
    </row>
    <row r="124" spans="1:16" ht="27.2" customHeight="1" x14ac:dyDescent="0.25">
      <c r="A124" s="675"/>
      <c r="B124" s="865" t="s">
        <v>1428</v>
      </c>
      <c r="C124" s="865"/>
      <c r="D124" s="865"/>
      <c r="E124" s="865"/>
      <c r="F124" s="865" t="s">
        <v>2931</v>
      </c>
      <c r="G124" s="865"/>
      <c r="H124" s="865"/>
      <c r="I124" s="865"/>
      <c r="J124" s="865" t="s">
        <v>129</v>
      </c>
      <c r="K124" s="865"/>
      <c r="L124" s="865"/>
      <c r="M124" s="865"/>
      <c r="N124" s="865"/>
      <c r="O124" s="865"/>
      <c r="P124" s="865"/>
    </row>
    <row r="125" spans="1:16" ht="27.2" customHeight="1" x14ac:dyDescent="0.25">
      <c r="A125" s="675"/>
      <c r="B125" s="865" t="s">
        <v>1429</v>
      </c>
      <c r="C125" s="865"/>
      <c r="D125" s="865"/>
      <c r="E125" s="865"/>
      <c r="F125" s="865" t="s">
        <v>2930</v>
      </c>
      <c r="G125" s="865"/>
      <c r="H125" s="865"/>
      <c r="I125" s="865"/>
      <c r="J125" s="865" t="s">
        <v>129</v>
      </c>
      <c r="K125" s="865"/>
      <c r="L125" s="865"/>
      <c r="M125" s="865"/>
      <c r="N125" s="865"/>
      <c r="O125" s="865"/>
      <c r="P125" s="865"/>
    </row>
    <row r="126" spans="1:16" ht="27.2" customHeight="1" x14ac:dyDescent="0.25">
      <c r="A126" s="675"/>
      <c r="B126" s="865" t="s">
        <v>1430</v>
      </c>
      <c r="C126" s="865"/>
      <c r="D126" s="865"/>
      <c r="E126" s="865"/>
      <c r="F126" s="865" t="s">
        <v>2929</v>
      </c>
      <c r="G126" s="865"/>
      <c r="H126" s="865"/>
      <c r="I126" s="865"/>
      <c r="J126" s="865" t="s">
        <v>129</v>
      </c>
      <c r="K126" s="865"/>
      <c r="L126" s="865"/>
      <c r="M126" s="865"/>
      <c r="N126" s="865"/>
      <c r="O126" s="865"/>
      <c r="P126" s="865"/>
    </row>
    <row r="127" spans="1:16" x14ac:dyDescent="0.25">
      <c r="A127" s="675"/>
      <c r="B127" s="865" t="s">
        <v>1431</v>
      </c>
      <c r="C127" s="865"/>
      <c r="D127" s="865"/>
      <c r="E127" s="865"/>
      <c r="F127" s="865" t="s">
        <v>2928</v>
      </c>
      <c r="G127" s="865"/>
      <c r="H127" s="865"/>
      <c r="I127" s="865"/>
      <c r="J127" s="865" t="s">
        <v>129</v>
      </c>
      <c r="K127" s="865"/>
      <c r="L127" s="865"/>
      <c r="M127" s="865"/>
      <c r="N127" s="865"/>
      <c r="O127" s="865"/>
      <c r="P127" s="865"/>
    </row>
    <row r="128" spans="1:16" ht="54.4" customHeight="1" x14ac:dyDescent="0.25">
      <c r="A128" s="675"/>
      <c r="B128" s="865" t="s">
        <v>1432</v>
      </c>
      <c r="C128" s="865"/>
      <c r="D128" s="865"/>
      <c r="E128" s="865"/>
      <c r="F128" s="865" t="s">
        <v>2927</v>
      </c>
      <c r="G128" s="865"/>
      <c r="H128" s="865"/>
      <c r="I128" s="865"/>
      <c r="J128" s="865" t="s">
        <v>129</v>
      </c>
      <c r="K128" s="865"/>
      <c r="L128" s="865"/>
      <c r="M128" s="865"/>
      <c r="N128" s="865"/>
      <c r="O128" s="865"/>
      <c r="P128" s="865"/>
    </row>
    <row r="129" spans="1:16" ht="163.15" customHeight="1" x14ac:dyDescent="0.25">
      <c r="A129" s="674" t="s">
        <v>174</v>
      </c>
      <c r="B129" s="781" t="s">
        <v>1078</v>
      </c>
      <c r="C129" s="782"/>
      <c r="D129" s="782"/>
      <c r="E129" s="782"/>
      <c r="F129" s="782" t="s">
        <v>1079</v>
      </c>
      <c r="G129" s="782"/>
      <c r="H129" s="782"/>
      <c r="I129" s="782"/>
      <c r="J129" s="782" t="s">
        <v>2990</v>
      </c>
      <c r="K129" s="782"/>
      <c r="L129" s="782"/>
      <c r="M129" s="866">
        <f>ROUND((463700 + 1299 * (0.4 * 1800 + 0.6 * 3500)) * 1 * 1.68 * 0.6 * 0.9 * 1.2 * 0.2 * 1.28263, 0)</f>
        <v>1152491</v>
      </c>
      <c r="N129" s="782"/>
      <c r="O129" s="782" t="s">
        <v>1784</v>
      </c>
      <c r="P129" s="782"/>
    </row>
    <row r="130" spans="1:16" x14ac:dyDescent="0.25">
      <c r="A130" s="676"/>
      <c r="B130" s="864" t="s">
        <v>306</v>
      </c>
      <c r="C130" s="864"/>
      <c r="D130" s="864"/>
      <c r="E130" s="864"/>
      <c r="F130" s="864" t="s">
        <v>129</v>
      </c>
      <c r="G130" s="864"/>
      <c r="H130" s="864"/>
      <c r="I130" s="864"/>
      <c r="J130" s="864" t="s">
        <v>129</v>
      </c>
      <c r="K130" s="864"/>
      <c r="L130" s="864"/>
      <c r="M130" s="864"/>
      <c r="N130" s="864"/>
      <c r="O130" s="864"/>
      <c r="P130" s="864"/>
    </row>
    <row r="131" spans="1:16" x14ac:dyDescent="0.25">
      <c r="A131" s="675"/>
      <c r="B131" s="865" t="s">
        <v>507</v>
      </c>
      <c r="C131" s="865"/>
      <c r="D131" s="865"/>
      <c r="E131" s="865"/>
      <c r="F131" s="865" t="s">
        <v>508</v>
      </c>
      <c r="G131" s="865"/>
      <c r="H131" s="865"/>
      <c r="I131" s="865"/>
      <c r="J131" s="865" t="s">
        <v>129</v>
      </c>
      <c r="K131" s="865"/>
      <c r="L131" s="865"/>
      <c r="M131" s="865"/>
      <c r="N131" s="865"/>
      <c r="O131" s="865"/>
      <c r="P131" s="865"/>
    </row>
    <row r="132" spans="1:16" ht="40.9" customHeight="1" x14ac:dyDescent="0.25">
      <c r="A132" s="675"/>
      <c r="B132" s="865" t="s">
        <v>331</v>
      </c>
      <c r="C132" s="865"/>
      <c r="D132" s="865"/>
      <c r="E132" s="865"/>
      <c r="F132" s="865" t="s">
        <v>332</v>
      </c>
      <c r="G132" s="865"/>
      <c r="H132" s="865"/>
      <c r="I132" s="865"/>
      <c r="J132" s="865" t="s">
        <v>129</v>
      </c>
      <c r="K132" s="865"/>
      <c r="L132" s="865"/>
      <c r="M132" s="865"/>
      <c r="N132" s="865"/>
      <c r="O132" s="865"/>
      <c r="P132" s="865"/>
    </row>
    <row r="133" spans="1:16" ht="108.75" customHeight="1" x14ac:dyDescent="0.25">
      <c r="A133" s="675"/>
      <c r="B133" s="865" t="s">
        <v>1809</v>
      </c>
      <c r="C133" s="865"/>
      <c r="D133" s="865"/>
      <c r="E133" s="865"/>
      <c r="F133" s="865" t="s">
        <v>1810</v>
      </c>
      <c r="G133" s="865"/>
      <c r="H133" s="865"/>
      <c r="I133" s="865"/>
      <c r="J133" s="865" t="s">
        <v>129</v>
      </c>
      <c r="K133" s="865"/>
      <c r="L133" s="865"/>
      <c r="M133" s="865"/>
      <c r="N133" s="865"/>
      <c r="O133" s="865"/>
      <c r="P133" s="865"/>
    </row>
    <row r="134" spans="1:16" ht="95.25" customHeight="1" x14ac:dyDescent="0.25">
      <c r="A134" s="675"/>
      <c r="B134" s="865" t="s">
        <v>1080</v>
      </c>
      <c r="C134" s="865"/>
      <c r="D134" s="865"/>
      <c r="E134" s="865"/>
      <c r="F134" s="865" t="s">
        <v>2976</v>
      </c>
      <c r="G134" s="865"/>
      <c r="H134" s="865"/>
      <c r="I134" s="865"/>
      <c r="J134" s="865" t="s">
        <v>129</v>
      </c>
      <c r="K134" s="865"/>
      <c r="L134" s="865"/>
      <c r="M134" s="865"/>
      <c r="N134" s="865"/>
      <c r="O134" s="865"/>
      <c r="P134" s="865"/>
    </row>
    <row r="135" spans="1:16" ht="122.45" customHeight="1" x14ac:dyDescent="0.25">
      <c r="A135" s="675"/>
      <c r="B135" s="865" t="s">
        <v>1785</v>
      </c>
      <c r="C135" s="865"/>
      <c r="D135" s="865"/>
      <c r="E135" s="865"/>
      <c r="F135" s="865" t="s">
        <v>2975</v>
      </c>
      <c r="G135" s="865"/>
      <c r="H135" s="865"/>
      <c r="I135" s="865"/>
      <c r="J135" s="865" t="s">
        <v>129</v>
      </c>
      <c r="K135" s="865"/>
      <c r="L135" s="865"/>
      <c r="M135" s="865"/>
      <c r="N135" s="865"/>
      <c r="O135" s="865"/>
      <c r="P135" s="865"/>
    </row>
    <row r="136" spans="1:16" ht="149.65" customHeight="1" x14ac:dyDescent="0.25">
      <c r="A136" s="675"/>
      <c r="B136" s="865" t="s">
        <v>329</v>
      </c>
      <c r="C136" s="865"/>
      <c r="D136" s="865"/>
      <c r="E136" s="865"/>
      <c r="F136" s="865" t="s">
        <v>2662</v>
      </c>
      <c r="G136" s="865"/>
      <c r="H136" s="865"/>
      <c r="I136" s="865"/>
      <c r="J136" s="865" t="s">
        <v>129</v>
      </c>
      <c r="K136" s="865"/>
      <c r="L136" s="865"/>
      <c r="M136" s="865"/>
      <c r="N136" s="865"/>
      <c r="O136" s="865"/>
      <c r="P136" s="865"/>
    </row>
    <row r="137" spans="1:16" x14ac:dyDescent="0.25">
      <c r="A137" s="676"/>
      <c r="B137" s="864" t="s">
        <v>330</v>
      </c>
      <c r="C137" s="864"/>
      <c r="D137" s="864"/>
      <c r="E137" s="864"/>
      <c r="F137" s="864" t="s">
        <v>129</v>
      </c>
      <c r="G137" s="864"/>
      <c r="H137" s="864"/>
      <c r="I137" s="864"/>
      <c r="J137" s="864" t="s">
        <v>129</v>
      </c>
      <c r="K137" s="864"/>
      <c r="L137" s="864"/>
      <c r="M137" s="864"/>
      <c r="N137" s="864"/>
      <c r="O137" s="864"/>
      <c r="P137" s="864"/>
    </row>
    <row r="138" spans="1:16" x14ac:dyDescent="0.25">
      <c r="A138" s="675"/>
      <c r="B138" s="865" t="s">
        <v>1028</v>
      </c>
      <c r="C138" s="865"/>
      <c r="D138" s="865"/>
      <c r="E138" s="865"/>
      <c r="F138" s="865" t="s">
        <v>2989</v>
      </c>
      <c r="G138" s="865"/>
      <c r="H138" s="865"/>
      <c r="I138" s="865"/>
      <c r="J138" s="865" t="s">
        <v>129</v>
      </c>
      <c r="K138" s="865"/>
      <c r="L138" s="865"/>
      <c r="M138" s="865"/>
      <c r="N138" s="865"/>
      <c r="O138" s="865"/>
      <c r="P138" s="865"/>
    </row>
    <row r="139" spans="1:16" ht="27.2" customHeight="1" x14ac:dyDescent="0.25">
      <c r="A139" s="675"/>
      <c r="B139" s="865" t="s">
        <v>1082</v>
      </c>
      <c r="C139" s="865"/>
      <c r="D139" s="865"/>
      <c r="E139" s="865"/>
      <c r="F139" s="865" t="s">
        <v>2988</v>
      </c>
      <c r="G139" s="865"/>
      <c r="H139" s="865"/>
      <c r="I139" s="865"/>
      <c r="J139" s="865" t="s">
        <v>129</v>
      </c>
      <c r="K139" s="865"/>
      <c r="L139" s="865"/>
      <c r="M139" s="865"/>
      <c r="N139" s="865"/>
      <c r="O139" s="865"/>
      <c r="P139" s="865"/>
    </row>
    <row r="140" spans="1:16" x14ac:dyDescent="0.25">
      <c r="A140" s="675"/>
      <c r="B140" s="865" t="s">
        <v>1083</v>
      </c>
      <c r="C140" s="865"/>
      <c r="D140" s="865"/>
      <c r="E140" s="865"/>
      <c r="F140" s="865" t="s">
        <v>2987</v>
      </c>
      <c r="G140" s="865"/>
      <c r="H140" s="865"/>
      <c r="I140" s="865"/>
      <c r="J140" s="865" t="s">
        <v>129</v>
      </c>
      <c r="K140" s="865"/>
      <c r="L140" s="865"/>
      <c r="M140" s="865"/>
      <c r="N140" s="865"/>
      <c r="O140" s="865"/>
      <c r="P140" s="865"/>
    </row>
    <row r="141" spans="1:16" ht="27.2" customHeight="1" x14ac:dyDescent="0.25">
      <c r="A141" s="675"/>
      <c r="B141" s="865" t="s">
        <v>1084</v>
      </c>
      <c r="C141" s="865"/>
      <c r="D141" s="865"/>
      <c r="E141" s="865"/>
      <c r="F141" s="865" t="s">
        <v>2986</v>
      </c>
      <c r="G141" s="865"/>
      <c r="H141" s="865"/>
      <c r="I141" s="865"/>
      <c r="J141" s="865" t="s">
        <v>129</v>
      </c>
      <c r="K141" s="865"/>
      <c r="L141" s="865"/>
      <c r="M141" s="865"/>
      <c r="N141" s="865"/>
      <c r="O141" s="865"/>
      <c r="P141" s="865"/>
    </row>
    <row r="142" spans="1:16" ht="81.599999999999994" customHeight="1" x14ac:dyDescent="0.25">
      <c r="A142" s="675"/>
      <c r="B142" s="865" t="s">
        <v>1085</v>
      </c>
      <c r="C142" s="865"/>
      <c r="D142" s="865"/>
      <c r="E142" s="865"/>
      <c r="F142" s="865" t="s">
        <v>2985</v>
      </c>
      <c r="G142" s="865"/>
      <c r="H142" s="865"/>
      <c r="I142" s="865"/>
      <c r="J142" s="865" t="s">
        <v>129</v>
      </c>
      <c r="K142" s="865"/>
      <c r="L142" s="865"/>
      <c r="M142" s="865"/>
      <c r="N142" s="865"/>
      <c r="O142" s="865"/>
      <c r="P142" s="865"/>
    </row>
    <row r="143" spans="1:16" ht="27.2" customHeight="1" x14ac:dyDescent="0.25">
      <c r="A143" s="675"/>
      <c r="B143" s="865" t="s">
        <v>1086</v>
      </c>
      <c r="C143" s="865"/>
      <c r="D143" s="865"/>
      <c r="E143" s="865"/>
      <c r="F143" s="865" t="s">
        <v>2984</v>
      </c>
      <c r="G143" s="865"/>
      <c r="H143" s="865"/>
      <c r="I143" s="865"/>
      <c r="J143" s="865" t="s">
        <v>129</v>
      </c>
      <c r="K143" s="865"/>
      <c r="L143" s="865"/>
      <c r="M143" s="865"/>
      <c r="N143" s="865"/>
      <c r="O143" s="865"/>
      <c r="P143" s="865"/>
    </row>
    <row r="144" spans="1:16" ht="27.2" customHeight="1" x14ac:dyDescent="0.25">
      <c r="A144" s="675"/>
      <c r="B144" s="865" t="s">
        <v>1087</v>
      </c>
      <c r="C144" s="865"/>
      <c r="D144" s="865"/>
      <c r="E144" s="865"/>
      <c r="F144" s="865" t="s">
        <v>2983</v>
      </c>
      <c r="G144" s="865"/>
      <c r="H144" s="865"/>
      <c r="I144" s="865"/>
      <c r="J144" s="865" t="s">
        <v>129</v>
      </c>
      <c r="K144" s="865"/>
      <c r="L144" s="865"/>
      <c r="M144" s="865"/>
      <c r="N144" s="865"/>
      <c r="O144" s="865"/>
      <c r="P144" s="865"/>
    </row>
    <row r="145" spans="1:16" ht="27.2" customHeight="1" x14ac:dyDescent="0.25">
      <c r="A145" s="675"/>
      <c r="B145" s="865" t="s">
        <v>1088</v>
      </c>
      <c r="C145" s="865"/>
      <c r="D145" s="865"/>
      <c r="E145" s="865"/>
      <c r="F145" s="865" t="s">
        <v>2983</v>
      </c>
      <c r="G145" s="865"/>
      <c r="H145" s="865"/>
      <c r="I145" s="865"/>
      <c r="J145" s="865" t="s">
        <v>129</v>
      </c>
      <c r="K145" s="865"/>
      <c r="L145" s="865"/>
      <c r="M145" s="865"/>
      <c r="N145" s="865"/>
      <c r="O145" s="865"/>
      <c r="P145" s="865"/>
    </row>
    <row r="146" spans="1:16" ht="27.2" customHeight="1" x14ac:dyDescent="0.25">
      <c r="A146" s="675"/>
      <c r="B146" s="865" t="s">
        <v>1089</v>
      </c>
      <c r="C146" s="865"/>
      <c r="D146" s="865"/>
      <c r="E146" s="865"/>
      <c r="F146" s="865" t="s">
        <v>2982</v>
      </c>
      <c r="G146" s="865"/>
      <c r="H146" s="865"/>
      <c r="I146" s="865"/>
      <c r="J146" s="865" t="s">
        <v>129</v>
      </c>
      <c r="K146" s="865"/>
      <c r="L146" s="865"/>
      <c r="M146" s="865"/>
      <c r="N146" s="865"/>
      <c r="O146" s="865"/>
      <c r="P146" s="865"/>
    </row>
    <row r="147" spans="1:16" ht="27.2" customHeight="1" x14ac:dyDescent="0.25">
      <c r="A147" s="675"/>
      <c r="B147" s="865" t="s">
        <v>1070</v>
      </c>
      <c r="C147" s="865"/>
      <c r="D147" s="865"/>
      <c r="E147" s="865"/>
      <c r="F147" s="865" t="s">
        <v>2981</v>
      </c>
      <c r="G147" s="865"/>
      <c r="H147" s="865"/>
      <c r="I147" s="865"/>
      <c r="J147" s="865" t="s">
        <v>129</v>
      </c>
      <c r="K147" s="865"/>
      <c r="L147" s="865"/>
      <c r="M147" s="865"/>
      <c r="N147" s="865"/>
      <c r="O147" s="865"/>
      <c r="P147" s="865"/>
    </row>
    <row r="148" spans="1:16" ht="27.2" customHeight="1" x14ac:dyDescent="0.25">
      <c r="A148" s="675"/>
      <c r="B148" s="865" t="s">
        <v>1071</v>
      </c>
      <c r="C148" s="865"/>
      <c r="D148" s="865"/>
      <c r="E148" s="865"/>
      <c r="F148" s="865" t="s">
        <v>2980</v>
      </c>
      <c r="G148" s="865"/>
      <c r="H148" s="865"/>
      <c r="I148" s="865"/>
      <c r="J148" s="865" t="s">
        <v>129</v>
      </c>
      <c r="K148" s="865"/>
      <c r="L148" s="865"/>
      <c r="M148" s="865"/>
      <c r="N148" s="865"/>
      <c r="O148" s="865"/>
      <c r="P148" s="865"/>
    </row>
    <row r="149" spans="1:16" ht="27.2" customHeight="1" x14ac:dyDescent="0.25">
      <c r="A149" s="675"/>
      <c r="B149" s="865" t="s">
        <v>1038</v>
      </c>
      <c r="C149" s="865"/>
      <c r="D149" s="865"/>
      <c r="E149" s="865"/>
      <c r="F149" s="865" t="s">
        <v>2979</v>
      </c>
      <c r="G149" s="865"/>
      <c r="H149" s="865"/>
      <c r="I149" s="865"/>
      <c r="J149" s="865" t="s">
        <v>129</v>
      </c>
      <c r="K149" s="865"/>
      <c r="L149" s="865"/>
      <c r="M149" s="865"/>
      <c r="N149" s="865"/>
      <c r="O149" s="865"/>
      <c r="P149" s="865"/>
    </row>
    <row r="150" spans="1:16" x14ac:dyDescent="0.25">
      <c r="A150" s="675"/>
      <c r="B150" s="865" t="s">
        <v>1170</v>
      </c>
      <c r="C150" s="865"/>
      <c r="D150" s="865"/>
      <c r="E150" s="865"/>
      <c r="F150" s="865" t="s">
        <v>2978</v>
      </c>
      <c r="G150" s="865"/>
      <c r="H150" s="865"/>
      <c r="I150" s="865"/>
      <c r="J150" s="865" t="s">
        <v>129</v>
      </c>
      <c r="K150" s="865"/>
      <c r="L150" s="865"/>
      <c r="M150" s="865"/>
      <c r="N150" s="865"/>
      <c r="O150" s="865"/>
      <c r="P150" s="865"/>
    </row>
    <row r="151" spans="1:16" ht="163.15" customHeight="1" x14ac:dyDescent="0.25">
      <c r="A151" s="674" t="s">
        <v>175</v>
      </c>
      <c r="B151" s="781" t="s">
        <v>1093</v>
      </c>
      <c r="C151" s="782"/>
      <c r="D151" s="782"/>
      <c r="E151" s="782"/>
      <c r="F151" s="782" t="s">
        <v>1094</v>
      </c>
      <c r="G151" s="782"/>
      <c r="H151" s="782"/>
      <c r="I151" s="782"/>
      <c r="J151" s="782" t="s">
        <v>1433</v>
      </c>
      <c r="K151" s="782"/>
      <c r="L151" s="782"/>
      <c r="M151" s="866">
        <f>ROUND(33400 * 1 * 1.53 * 0.6 * 1.3, 0)</f>
        <v>39860</v>
      </c>
      <c r="N151" s="782"/>
      <c r="O151" s="782" t="s">
        <v>1096</v>
      </c>
      <c r="P151" s="782"/>
    </row>
    <row r="152" spans="1:16" x14ac:dyDescent="0.25">
      <c r="A152" s="676"/>
      <c r="B152" s="864" t="s">
        <v>306</v>
      </c>
      <c r="C152" s="864"/>
      <c r="D152" s="864"/>
      <c r="E152" s="864"/>
      <c r="F152" s="864" t="s">
        <v>129</v>
      </c>
      <c r="G152" s="864"/>
      <c r="H152" s="864"/>
      <c r="I152" s="864"/>
      <c r="J152" s="864" t="s">
        <v>129</v>
      </c>
      <c r="K152" s="864"/>
      <c r="L152" s="864"/>
      <c r="M152" s="864"/>
      <c r="N152" s="864"/>
      <c r="O152" s="864"/>
      <c r="P152" s="864"/>
    </row>
    <row r="153" spans="1:16" x14ac:dyDescent="0.25">
      <c r="A153" s="675"/>
      <c r="B153" s="865" t="s">
        <v>507</v>
      </c>
      <c r="C153" s="865"/>
      <c r="D153" s="865"/>
      <c r="E153" s="865"/>
      <c r="F153" s="865" t="s">
        <v>508</v>
      </c>
      <c r="G153" s="865"/>
      <c r="H153" s="865"/>
      <c r="I153" s="865"/>
      <c r="J153" s="865" t="s">
        <v>129</v>
      </c>
      <c r="K153" s="865"/>
      <c r="L153" s="865"/>
      <c r="M153" s="865"/>
      <c r="N153" s="865"/>
      <c r="O153" s="865"/>
      <c r="P153" s="865"/>
    </row>
    <row r="154" spans="1:16" ht="40.9" customHeight="1" x14ac:dyDescent="0.25">
      <c r="A154" s="675"/>
      <c r="B154" s="865" t="s">
        <v>336</v>
      </c>
      <c r="C154" s="865"/>
      <c r="D154" s="865"/>
      <c r="E154" s="865"/>
      <c r="F154" s="865" t="s">
        <v>337</v>
      </c>
      <c r="G154" s="865"/>
      <c r="H154" s="865"/>
      <c r="I154" s="865"/>
      <c r="J154" s="865" t="s">
        <v>129</v>
      </c>
      <c r="K154" s="865"/>
      <c r="L154" s="865"/>
      <c r="M154" s="865"/>
      <c r="N154" s="865"/>
      <c r="O154" s="865"/>
      <c r="P154" s="865"/>
    </row>
    <row r="155" spans="1:16" ht="149.65" customHeight="1" x14ac:dyDescent="0.25">
      <c r="A155" s="675"/>
      <c r="B155" s="865" t="s">
        <v>329</v>
      </c>
      <c r="C155" s="865"/>
      <c r="D155" s="865"/>
      <c r="E155" s="865"/>
      <c r="F155" s="865" t="s">
        <v>1434</v>
      </c>
      <c r="G155" s="865"/>
      <c r="H155" s="865"/>
      <c r="I155" s="865"/>
      <c r="J155" s="865" t="s">
        <v>129</v>
      </c>
      <c r="K155" s="865"/>
      <c r="L155" s="865"/>
      <c r="M155" s="865"/>
      <c r="N155" s="865"/>
      <c r="O155" s="865"/>
      <c r="P155" s="865"/>
    </row>
    <row r="156" spans="1:16" x14ac:dyDescent="0.25">
      <c r="A156" s="676"/>
      <c r="B156" s="864" t="s">
        <v>330</v>
      </c>
      <c r="C156" s="864"/>
      <c r="D156" s="864"/>
      <c r="E156" s="864"/>
      <c r="F156" s="864" t="s">
        <v>129</v>
      </c>
      <c r="G156" s="864"/>
      <c r="H156" s="864"/>
      <c r="I156" s="864"/>
      <c r="J156" s="864" t="s">
        <v>129</v>
      </c>
      <c r="K156" s="864"/>
      <c r="L156" s="864"/>
      <c r="M156" s="864"/>
      <c r="N156" s="864"/>
      <c r="O156" s="864"/>
      <c r="P156" s="864"/>
    </row>
    <row r="157" spans="1:16" ht="27.2" customHeight="1" x14ac:dyDescent="0.25">
      <c r="A157" s="675"/>
      <c r="B157" s="865" t="s">
        <v>1419</v>
      </c>
      <c r="C157" s="865"/>
      <c r="D157" s="865"/>
      <c r="E157" s="865"/>
      <c r="F157" s="865" t="s">
        <v>1435</v>
      </c>
      <c r="G157" s="865"/>
      <c r="H157" s="865"/>
      <c r="I157" s="865"/>
      <c r="J157" s="865" t="s">
        <v>129</v>
      </c>
      <c r="K157" s="865"/>
      <c r="L157" s="865"/>
      <c r="M157" s="865"/>
      <c r="N157" s="865"/>
      <c r="O157" s="865"/>
      <c r="P157" s="865"/>
    </row>
    <row r="158" spans="1:16" ht="27.2" customHeight="1" x14ac:dyDescent="0.25">
      <c r="A158" s="675"/>
      <c r="B158" s="865" t="s">
        <v>1420</v>
      </c>
      <c r="C158" s="865"/>
      <c r="D158" s="865"/>
      <c r="E158" s="865"/>
      <c r="F158" s="865" t="s">
        <v>1436</v>
      </c>
      <c r="G158" s="865"/>
      <c r="H158" s="865"/>
      <c r="I158" s="865"/>
      <c r="J158" s="865" t="s">
        <v>129</v>
      </c>
      <c r="K158" s="865"/>
      <c r="L158" s="865"/>
      <c r="M158" s="865"/>
      <c r="N158" s="865"/>
      <c r="O158" s="865"/>
      <c r="P158" s="865"/>
    </row>
    <row r="159" spans="1:16" ht="27.2" customHeight="1" x14ac:dyDescent="0.25">
      <c r="A159" s="675"/>
      <c r="B159" s="865" t="s">
        <v>1421</v>
      </c>
      <c r="C159" s="865"/>
      <c r="D159" s="865"/>
      <c r="E159" s="865"/>
      <c r="F159" s="865" t="s">
        <v>1437</v>
      </c>
      <c r="G159" s="865"/>
      <c r="H159" s="865"/>
      <c r="I159" s="865"/>
      <c r="J159" s="865" t="s">
        <v>129</v>
      </c>
      <c r="K159" s="865"/>
      <c r="L159" s="865"/>
      <c r="M159" s="865"/>
      <c r="N159" s="865"/>
      <c r="O159" s="865"/>
      <c r="P159" s="865"/>
    </row>
    <row r="160" spans="1:16" ht="27.2" customHeight="1" x14ac:dyDescent="0.25">
      <c r="A160" s="675"/>
      <c r="B160" s="865" t="s">
        <v>1422</v>
      </c>
      <c r="C160" s="865"/>
      <c r="D160" s="865"/>
      <c r="E160" s="865"/>
      <c r="F160" s="865" t="s">
        <v>1437</v>
      </c>
      <c r="G160" s="865"/>
      <c r="H160" s="865"/>
      <c r="I160" s="865"/>
      <c r="J160" s="865" t="s">
        <v>129</v>
      </c>
      <c r="K160" s="865"/>
      <c r="L160" s="865"/>
      <c r="M160" s="865"/>
      <c r="N160" s="865"/>
      <c r="O160" s="865"/>
      <c r="P160" s="865"/>
    </row>
    <row r="161" spans="1:16" ht="27.2" customHeight="1" x14ac:dyDescent="0.25">
      <c r="A161" s="675"/>
      <c r="B161" s="865" t="s">
        <v>1423</v>
      </c>
      <c r="C161" s="865"/>
      <c r="D161" s="865"/>
      <c r="E161" s="865"/>
      <c r="F161" s="865" t="s">
        <v>1438</v>
      </c>
      <c r="G161" s="865"/>
      <c r="H161" s="865"/>
      <c r="I161" s="865"/>
      <c r="J161" s="865" t="s">
        <v>129</v>
      </c>
      <c r="K161" s="865"/>
      <c r="L161" s="865"/>
      <c r="M161" s="865"/>
      <c r="N161" s="865"/>
      <c r="O161" s="865"/>
      <c r="P161" s="865"/>
    </row>
    <row r="162" spans="1:16" x14ac:dyDescent="0.25">
      <c r="A162" s="675"/>
      <c r="B162" s="865" t="s">
        <v>1424</v>
      </c>
      <c r="C162" s="865"/>
      <c r="D162" s="865"/>
      <c r="E162" s="865"/>
      <c r="F162" s="865" t="s">
        <v>1439</v>
      </c>
      <c r="G162" s="865"/>
      <c r="H162" s="865"/>
      <c r="I162" s="865"/>
      <c r="J162" s="865" t="s">
        <v>129</v>
      </c>
      <c r="K162" s="865"/>
      <c r="L162" s="865"/>
      <c r="M162" s="865"/>
      <c r="N162" s="865"/>
      <c r="O162" s="865"/>
      <c r="P162" s="865"/>
    </row>
    <row r="163" spans="1:16" ht="54.4" customHeight="1" x14ac:dyDescent="0.25">
      <c r="A163" s="675"/>
      <c r="B163" s="865" t="s">
        <v>1440</v>
      </c>
      <c r="C163" s="865"/>
      <c r="D163" s="865"/>
      <c r="E163" s="865"/>
      <c r="F163" s="865" t="s">
        <v>1441</v>
      </c>
      <c r="G163" s="865"/>
      <c r="H163" s="865"/>
      <c r="I163" s="865"/>
      <c r="J163" s="865" t="s">
        <v>129</v>
      </c>
      <c r="K163" s="865"/>
      <c r="L163" s="865"/>
      <c r="M163" s="865"/>
      <c r="N163" s="865"/>
      <c r="O163" s="865"/>
      <c r="P163" s="865"/>
    </row>
    <row r="164" spans="1:16" ht="135.94999999999999" customHeight="1" x14ac:dyDescent="0.25">
      <c r="A164" s="674" t="s">
        <v>20</v>
      </c>
      <c r="B164" s="781" t="s">
        <v>1111</v>
      </c>
      <c r="C164" s="782"/>
      <c r="D164" s="782"/>
      <c r="E164" s="782"/>
      <c r="F164" s="782" t="s">
        <v>1112</v>
      </c>
      <c r="G164" s="782"/>
      <c r="H164" s="782"/>
      <c r="I164" s="782"/>
      <c r="J164" s="782" t="s">
        <v>2864</v>
      </c>
      <c r="K164" s="782"/>
      <c r="L164" s="782"/>
      <c r="M164" s="866">
        <f>ROUND((757900 + 26 * 18) * 1 * 1.53 * 0.6 * 0.2 * 1.3, 0)</f>
        <v>181007</v>
      </c>
      <c r="N164" s="782"/>
      <c r="O164" s="782" t="s">
        <v>1113</v>
      </c>
      <c r="P164" s="782"/>
    </row>
    <row r="165" spans="1:16" x14ac:dyDescent="0.25">
      <c r="A165" s="676"/>
      <c r="B165" s="864" t="s">
        <v>306</v>
      </c>
      <c r="C165" s="864"/>
      <c r="D165" s="864"/>
      <c r="E165" s="864"/>
      <c r="F165" s="864" t="s">
        <v>129</v>
      </c>
      <c r="G165" s="864"/>
      <c r="H165" s="864"/>
      <c r="I165" s="864"/>
      <c r="J165" s="864" t="s">
        <v>129</v>
      </c>
      <c r="K165" s="864"/>
      <c r="L165" s="864"/>
      <c r="M165" s="864"/>
      <c r="N165" s="864"/>
      <c r="O165" s="864"/>
      <c r="P165" s="864"/>
    </row>
    <row r="166" spans="1:16" x14ac:dyDescent="0.25">
      <c r="A166" s="675"/>
      <c r="B166" s="865" t="s">
        <v>507</v>
      </c>
      <c r="C166" s="865"/>
      <c r="D166" s="865"/>
      <c r="E166" s="865"/>
      <c r="F166" s="865" t="s">
        <v>508</v>
      </c>
      <c r="G166" s="865"/>
      <c r="H166" s="865"/>
      <c r="I166" s="865"/>
      <c r="J166" s="865" t="s">
        <v>129</v>
      </c>
      <c r="K166" s="865"/>
      <c r="L166" s="865"/>
      <c r="M166" s="865"/>
      <c r="N166" s="865"/>
      <c r="O166" s="865"/>
      <c r="P166" s="865"/>
    </row>
    <row r="167" spans="1:16" ht="40.9" customHeight="1" x14ac:dyDescent="0.25">
      <c r="A167" s="675"/>
      <c r="B167" s="865" t="s">
        <v>336</v>
      </c>
      <c r="C167" s="865"/>
      <c r="D167" s="865"/>
      <c r="E167" s="865"/>
      <c r="F167" s="865" t="s">
        <v>337</v>
      </c>
      <c r="G167" s="865"/>
      <c r="H167" s="865"/>
      <c r="I167" s="865"/>
      <c r="J167" s="865" t="s">
        <v>129</v>
      </c>
      <c r="K167" s="865"/>
      <c r="L167" s="865"/>
      <c r="M167" s="865"/>
      <c r="N167" s="865"/>
      <c r="O167" s="865"/>
      <c r="P167" s="865"/>
    </row>
    <row r="168" spans="1:16" ht="95.25" customHeight="1" x14ac:dyDescent="0.25">
      <c r="A168" s="675"/>
      <c r="B168" s="865" t="s">
        <v>1764</v>
      </c>
      <c r="C168" s="865"/>
      <c r="D168" s="865"/>
      <c r="E168" s="865"/>
      <c r="F168" s="865" t="s">
        <v>1765</v>
      </c>
      <c r="G168" s="865"/>
      <c r="H168" s="865"/>
      <c r="I168" s="865"/>
      <c r="J168" s="865" t="s">
        <v>129</v>
      </c>
      <c r="K168" s="865"/>
      <c r="L168" s="865"/>
      <c r="M168" s="865"/>
      <c r="N168" s="865"/>
      <c r="O168" s="865"/>
      <c r="P168" s="865"/>
    </row>
    <row r="169" spans="1:16" ht="149.65" customHeight="1" x14ac:dyDescent="0.25">
      <c r="A169" s="675"/>
      <c r="B169" s="865" t="s">
        <v>329</v>
      </c>
      <c r="C169" s="865"/>
      <c r="D169" s="865"/>
      <c r="E169" s="865"/>
      <c r="F169" s="865" t="s">
        <v>2863</v>
      </c>
      <c r="G169" s="865"/>
      <c r="H169" s="865"/>
      <c r="I169" s="865"/>
      <c r="J169" s="865" t="s">
        <v>129</v>
      </c>
      <c r="K169" s="865"/>
      <c r="L169" s="865"/>
      <c r="M169" s="865"/>
      <c r="N169" s="865"/>
      <c r="O169" s="865"/>
      <c r="P169" s="865"/>
    </row>
    <row r="170" spans="1:16" x14ac:dyDescent="0.25">
      <c r="A170" s="676"/>
      <c r="B170" s="864" t="s">
        <v>330</v>
      </c>
      <c r="C170" s="864"/>
      <c r="D170" s="864"/>
      <c r="E170" s="864"/>
      <c r="F170" s="864" t="s">
        <v>129</v>
      </c>
      <c r="G170" s="864"/>
      <c r="H170" s="864"/>
      <c r="I170" s="864"/>
      <c r="J170" s="864" t="s">
        <v>129</v>
      </c>
      <c r="K170" s="864"/>
      <c r="L170" s="864"/>
      <c r="M170" s="864"/>
      <c r="N170" s="864"/>
      <c r="O170" s="864"/>
      <c r="P170" s="864"/>
    </row>
    <row r="171" spans="1:16" ht="40.9" customHeight="1" x14ac:dyDescent="0.25">
      <c r="A171" s="675"/>
      <c r="B171" s="865" t="s">
        <v>1402</v>
      </c>
      <c r="C171" s="865"/>
      <c r="D171" s="865"/>
      <c r="E171" s="865"/>
      <c r="F171" s="865" t="s">
        <v>2862</v>
      </c>
      <c r="G171" s="865"/>
      <c r="H171" s="865"/>
      <c r="I171" s="865"/>
      <c r="J171" s="865" t="s">
        <v>129</v>
      </c>
      <c r="K171" s="865"/>
      <c r="L171" s="865"/>
      <c r="M171" s="865"/>
      <c r="N171" s="865"/>
      <c r="O171" s="865"/>
      <c r="P171" s="865"/>
    </row>
    <row r="172" spans="1:16" x14ac:dyDescent="0.25">
      <c r="A172" s="675"/>
      <c r="B172" s="865" t="s">
        <v>1403</v>
      </c>
      <c r="C172" s="865"/>
      <c r="D172" s="865"/>
      <c r="E172" s="865"/>
      <c r="F172" s="865" t="s">
        <v>2861</v>
      </c>
      <c r="G172" s="865"/>
      <c r="H172" s="865"/>
      <c r="I172" s="865"/>
      <c r="J172" s="865" t="s">
        <v>129</v>
      </c>
      <c r="K172" s="865"/>
      <c r="L172" s="865"/>
      <c r="M172" s="865"/>
      <c r="N172" s="865"/>
      <c r="O172" s="865"/>
      <c r="P172" s="865"/>
    </row>
    <row r="173" spans="1:16" ht="54.4" customHeight="1" x14ac:dyDescent="0.25">
      <c r="A173" s="675"/>
      <c r="B173" s="865" t="s">
        <v>1404</v>
      </c>
      <c r="C173" s="865"/>
      <c r="D173" s="865"/>
      <c r="E173" s="865"/>
      <c r="F173" s="865" t="s">
        <v>2860</v>
      </c>
      <c r="G173" s="865"/>
      <c r="H173" s="865"/>
      <c r="I173" s="865"/>
      <c r="J173" s="865" t="s">
        <v>129</v>
      </c>
      <c r="K173" s="865"/>
      <c r="L173" s="865"/>
      <c r="M173" s="865"/>
      <c r="N173" s="865"/>
      <c r="O173" s="865"/>
      <c r="P173" s="865"/>
    </row>
    <row r="174" spans="1:16" ht="27.2" customHeight="1" x14ac:dyDescent="0.25">
      <c r="A174" s="675"/>
      <c r="B174" s="865" t="s">
        <v>1405</v>
      </c>
      <c r="C174" s="865"/>
      <c r="D174" s="865"/>
      <c r="E174" s="865"/>
      <c r="F174" s="865" t="s">
        <v>2859</v>
      </c>
      <c r="G174" s="865"/>
      <c r="H174" s="865"/>
      <c r="I174" s="865"/>
      <c r="J174" s="865" t="s">
        <v>129</v>
      </c>
      <c r="K174" s="865"/>
      <c r="L174" s="865"/>
      <c r="M174" s="865"/>
      <c r="N174" s="865"/>
      <c r="O174" s="865"/>
      <c r="P174" s="865"/>
    </row>
    <row r="175" spans="1:16" ht="40.9" customHeight="1" x14ac:dyDescent="0.25">
      <c r="A175" s="675"/>
      <c r="B175" s="865" t="s">
        <v>1406</v>
      </c>
      <c r="C175" s="865"/>
      <c r="D175" s="865"/>
      <c r="E175" s="865"/>
      <c r="F175" s="865" t="s">
        <v>2858</v>
      </c>
      <c r="G175" s="865"/>
      <c r="H175" s="865"/>
      <c r="I175" s="865"/>
      <c r="J175" s="865" t="s">
        <v>129</v>
      </c>
      <c r="K175" s="865"/>
      <c r="L175" s="865"/>
      <c r="M175" s="865"/>
      <c r="N175" s="865"/>
      <c r="O175" s="865"/>
      <c r="P175" s="865"/>
    </row>
    <row r="176" spans="1:16" ht="27.2" customHeight="1" x14ac:dyDescent="0.25">
      <c r="A176" s="675"/>
      <c r="B176" s="865" t="s">
        <v>1442</v>
      </c>
      <c r="C176" s="865"/>
      <c r="D176" s="865"/>
      <c r="E176" s="865"/>
      <c r="F176" s="865" t="s">
        <v>2857</v>
      </c>
      <c r="G176" s="865"/>
      <c r="H176" s="865"/>
      <c r="I176" s="865"/>
      <c r="J176" s="865" t="s">
        <v>129</v>
      </c>
      <c r="K176" s="865"/>
      <c r="L176" s="865"/>
      <c r="M176" s="865"/>
      <c r="N176" s="865"/>
      <c r="O176" s="865"/>
      <c r="P176" s="865"/>
    </row>
    <row r="177" spans="1:16" ht="27.2" customHeight="1" x14ac:dyDescent="0.25">
      <c r="A177" s="675"/>
      <c r="B177" s="865" t="s">
        <v>1443</v>
      </c>
      <c r="C177" s="865"/>
      <c r="D177" s="865"/>
      <c r="E177" s="865"/>
      <c r="F177" s="865" t="s">
        <v>2856</v>
      </c>
      <c r="G177" s="865"/>
      <c r="H177" s="865"/>
      <c r="I177" s="865"/>
      <c r="J177" s="865" t="s">
        <v>129</v>
      </c>
      <c r="K177" s="865"/>
      <c r="L177" s="865"/>
      <c r="M177" s="865"/>
      <c r="N177" s="865"/>
      <c r="O177" s="865"/>
      <c r="P177" s="865"/>
    </row>
    <row r="178" spans="1:16" ht="54.4" customHeight="1" x14ac:dyDescent="0.25">
      <c r="A178" s="675"/>
      <c r="B178" s="865" t="s">
        <v>1410</v>
      </c>
      <c r="C178" s="865"/>
      <c r="D178" s="865"/>
      <c r="E178" s="865"/>
      <c r="F178" s="865" t="s">
        <v>2855</v>
      </c>
      <c r="G178" s="865"/>
      <c r="H178" s="865"/>
      <c r="I178" s="865"/>
      <c r="J178" s="865" t="s">
        <v>129</v>
      </c>
      <c r="K178" s="865"/>
      <c r="L178" s="865"/>
      <c r="M178" s="865"/>
      <c r="N178" s="865"/>
      <c r="O178" s="865"/>
      <c r="P178" s="865"/>
    </row>
    <row r="179" spans="1:16" ht="204" customHeight="1" x14ac:dyDescent="0.25">
      <c r="A179" s="674" t="s">
        <v>21</v>
      </c>
      <c r="B179" s="781" t="s">
        <v>1116</v>
      </c>
      <c r="C179" s="782"/>
      <c r="D179" s="782"/>
      <c r="E179" s="782"/>
      <c r="F179" s="782" t="s">
        <v>2646</v>
      </c>
      <c r="G179" s="782"/>
      <c r="H179" s="782"/>
      <c r="I179" s="782"/>
      <c r="J179" s="782" t="s">
        <v>2854</v>
      </c>
      <c r="K179" s="782"/>
      <c r="L179" s="782"/>
      <c r="M179" s="866">
        <f>ROUND((1349200 + 299689 * (0.4 * 0.5 + 0.6 * 0.432)) * 1 * 1.27 * 0.6 * 0.2 * 1.3, 0)</f>
        <v>294568</v>
      </c>
      <c r="N179" s="782"/>
      <c r="O179" s="782" t="s">
        <v>1117</v>
      </c>
      <c r="P179" s="782"/>
    </row>
    <row r="180" spans="1:16" x14ac:dyDescent="0.25">
      <c r="A180" s="676"/>
      <c r="B180" s="864" t="s">
        <v>306</v>
      </c>
      <c r="C180" s="864"/>
      <c r="D180" s="864"/>
      <c r="E180" s="864"/>
      <c r="F180" s="864" t="s">
        <v>129</v>
      </c>
      <c r="G180" s="864"/>
      <c r="H180" s="864"/>
      <c r="I180" s="864"/>
      <c r="J180" s="864" t="s">
        <v>129</v>
      </c>
      <c r="K180" s="864"/>
      <c r="L180" s="864"/>
      <c r="M180" s="864"/>
      <c r="N180" s="864"/>
      <c r="O180" s="864"/>
      <c r="P180" s="864"/>
    </row>
    <row r="181" spans="1:16" x14ac:dyDescent="0.25">
      <c r="A181" s="675"/>
      <c r="B181" s="865" t="s">
        <v>507</v>
      </c>
      <c r="C181" s="865"/>
      <c r="D181" s="865"/>
      <c r="E181" s="865"/>
      <c r="F181" s="865" t="s">
        <v>508</v>
      </c>
      <c r="G181" s="865"/>
      <c r="H181" s="865"/>
      <c r="I181" s="865"/>
      <c r="J181" s="865" t="s">
        <v>129</v>
      </c>
      <c r="K181" s="865"/>
      <c r="L181" s="865"/>
      <c r="M181" s="865"/>
      <c r="N181" s="865"/>
      <c r="O181" s="865"/>
      <c r="P181" s="865"/>
    </row>
    <row r="182" spans="1:16" ht="40.9" customHeight="1" x14ac:dyDescent="0.25">
      <c r="A182" s="675"/>
      <c r="B182" s="865" t="s">
        <v>327</v>
      </c>
      <c r="C182" s="865"/>
      <c r="D182" s="865"/>
      <c r="E182" s="865"/>
      <c r="F182" s="865" t="s">
        <v>328</v>
      </c>
      <c r="G182" s="865"/>
      <c r="H182" s="865"/>
      <c r="I182" s="865"/>
      <c r="J182" s="865" t="s">
        <v>129</v>
      </c>
      <c r="K182" s="865"/>
      <c r="L182" s="865"/>
      <c r="M182" s="865"/>
      <c r="N182" s="865"/>
      <c r="O182" s="865"/>
      <c r="P182" s="865"/>
    </row>
    <row r="183" spans="1:16" ht="108.75" customHeight="1" x14ac:dyDescent="0.25">
      <c r="A183" s="675"/>
      <c r="B183" s="865" t="s">
        <v>2608</v>
      </c>
      <c r="C183" s="865"/>
      <c r="D183" s="865"/>
      <c r="E183" s="865"/>
      <c r="F183" s="865" t="s">
        <v>2618</v>
      </c>
      <c r="G183" s="865"/>
      <c r="H183" s="865"/>
      <c r="I183" s="865"/>
      <c r="J183" s="865" t="s">
        <v>129</v>
      </c>
      <c r="K183" s="865"/>
      <c r="L183" s="865"/>
      <c r="M183" s="865"/>
      <c r="N183" s="865"/>
      <c r="O183" s="865"/>
      <c r="P183" s="865"/>
    </row>
    <row r="184" spans="1:16" ht="149.65" customHeight="1" x14ac:dyDescent="0.25">
      <c r="A184" s="675"/>
      <c r="B184" s="865" t="s">
        <v>329</v>
      </c>
      <c r="C184" s="865"/>
      <c r="D184" s="865"/>
      <c r="E184" s="865"/>
      <c r="F184" s="865" t="s">
        <v>2853</v>
      </c>
      <c r="G184" s="865"/>
      <c r="H184" s="865"/>
      <c r="I184" s="865"/>
      <c r="J184" s="865" t="s">
        <v>129</v>
      </c>
      <c r="K184" s="865"/>
      <c r="L184" s="865"/>
      <c r="M184" s="865"/>
      <c r="N184" s="865"/>
      <c r="O184" s="865"/>
      <c r="P184" s="865"/>
    </row>
    <row r="185" spans="1:16" x14ac:dyDescent="0.25">
      <c r="A185" s="676"/>
      <c r="B185" s="864" t="s">
        <v>330</v>
      </c>
      <c r="C185" s="864"/>
      <c r="D185" s="864"/>
      <c r="E185" s="864"/>
      <c r="F185" s="864" t="s">
        <v>129</v>
      </c>
      <c r="G185" s="864"/>
      <c r="H185" s="864"/>
      <c r="I185" s="864"/>
      <c r="J185" s="864" t="s">
        <v>129</v>
      </c>
      <c r="K185" s="864"/>
      <c r="L185" s="864"/>
      <c r="M185" s="864"/>
      <c r="N185" s="864"/>
      <c r="O185" s="864"/>
      <c r="P185" s="864"/>
    </row>
    <row r="186" spans="1:16" ht="27.2" customHeight="1" x14ac:dyDescent="0.25">
      <c r="A186" s="675"/>
      <c r="B186" s="865" t="s">
        <v>1419</v>
      </c>
      <c r="C186" s="865"/>
      <c r="D186" s="865"/>
      <c r="E186" s="865"/>
      <c r="F186" s="865" t="s">
        <v>2852</v>
      </c>
      <c r="G186" s="865"/>
      <c r="H186" s="865"/>
      <c r="I186" s="865"/>
      <c r="J186" s="865" t="s">
        <v>129</v>
      </c>
      <c r="K186" s="865"/>
      <c r="L186" s="865"/>
      <c r="M186" s="865"/>
      <c r="N186" s="865"/>
      <c r="O186" s="865"/>
      <c r="P186" s="865"/>
    </row>
    <row r="187" spans="1:16" ht="27.2" customHeight="1" x14ac:dyDescent="0.25">
      <c r="A187" s="675"/>
      <c r="B187" s="865" t="s">
        <v>1423</v>
      </c>
      <c r="C187" s="865"/>
      <c r="D187" s="865"/>
      <c r="E187" s="865"/>
      <c r="F187" s="865" t="s">
        <v>2851</v>
      </c>
      <c r="G187" s="865"/>
      <c r="H187" s="865"/>
      <c r="I187" s="865"/>
      <c r="J187" s="865" t="s">
        <v>129</v>
      </c>
      <c r="K187" s="865"/>
      <c r="L187" s="865"/>
      <c r="M187" s="865"/>
      <c r="N187" s="865"/>
      <c r="O187" s="865"/>
      <c r="P187" s="865"/>
    </row>
    <row r="188" spans="1:16" x14ac:dyDescent="0.25">
      <c r="A188" s="675"/>
      <c r="B188" s="865" t="s">
        <v>1424</v>
      </c>
      <c r="C188" s="865"/>
      <c r="D188" s="865"/>
      <c r="E188" s="865"/>
      <c r="F188" s="865" t="s">
        <v>2850</v>
      </c>
      <c r="G188" s="865"/>
      <c r="H188" s="865"/>
      <c r="I188" s="865"/>
      <c r="J188" s="865" t="s">
        <v>129</v>
      </c>
      <c r="K188" s="865"/>
      <c r="L188" s="865"/>
      <c r="M188" s="865"/>
      <c r="N188" s="865"/>
      <c r="O188" s="865"/>
      <c r="P188" s="865"/>
    </row>
    <row r="189" spans="1:16" ht="54.4" customHeight="1" x14ac:dyDescent="0.25">
      <c r="A189" s="675"/>
      <c r="B189" s="865" t="s">
        <v>1444</v>
      </c>
      <c r="C189" s="865"/>
      <c r="D189" s="865"/>
      <c r="E189" s="865"/>
      <c r="F189" s="865" t="s">
        <v>2849</v>
      </c>
      <c r="G189" s="865"/>
      <c r="H189" s="865"/>
      <c r="I189" s="865"/>
      <c r="J189" s="865" t="s">
        <v>129</v>
      </c>
      <c r="K189" s="865"/>
      <c r="L189" s="865"/>
      <c r="M189" s="865"/>
      <c r="N189" s="865"/>
      <c r="O189" s="865"/>
      <c r="P189" s="865"/>
    </row>
    <row r="190" spans="1:16" ht="27.2" customHeight="1" x14ac:dyDescent="0.25">
      <c r="A190" s="675"/>
      <c r="B190" s="865" t="s">
        <v>1228</v>
      </c>
      <c r="C190" s="865"/>
      <c r="D190" s="865"/>
      <c r="E190" s="865"/>
      <c r="F190" s="865" t="s">
        <v>2848</v>
      </c>
      <c r="G190" s="865"/>
      <c r="H190" s="865"/>
      <c r="I190" s="865"/>
      <c r="J190" s="865" t="s">
        <v>129</v>
      </c>
      <c r="K190" s="865"/>
      <c r="L190" s="865"/>
      <c r="M190" s="865"/>
      <c r="N190" s="865"/>
      <c r="O190" s="865"/>
      <c r="P190" s="865"/>
    </row>
    <row r="191" spans="1:16" ht="27.2" customHeight="1" x14ac:dyDescent="0.25">
      <c r="A191" s="675"/>
      <c r="B191" s="865" t="s">
        <v>1445</v>
      </c>
      <c r="C191" s="865"/>
      <c r="D191" s="865"/>
      <c r="E191" s="865"/>
      <c r="F191" s="865" t="s">
        <v>2848</v>
      </c>
      <c r="G191" s="865"/>
      <c r="H191" s="865"/>
      <c r="I191" s="865"/>
      <c r="J191" s="865" t="s">
        <v>129</v>
      </c>
      <c r="K191" s="865"/>
      <c r="L191" s="865"/>
      <c r="M191" s="865"/>
      <c r="N191" s="865"/>
      <c r="O191" s="865"/>
      <c r="P191" s="865"/>
    </row>
    <row r="192" spans="1:16" ht="27.2" customHeight="1" x14ac:dyDescent="0.25">
      <c r="A192" s="675"/>
      <c r="B192" s="865" t="s">
        <v>1446</v>
      </c>
      <c r="C192" s="865"/>
      <c r="D192" s="865"/>
      <c r="E192" s="865"/>
      <c r="F192" s="865" t="s">
        <v>2848</v>
      </c>
      <c r="G192" s="865"/>
      <c r="H192" s="865"/>
      <c r="I192" s="865"/>
      <c r="J192" s="865" t="s">
        <v>129</v>
      </c>
      <c r="K192" s="865"/>
      <c r="L192" s="865"/>
      <c r="M192" s="865"/>
      <c r="N192" s="865"/>
      <c r="O192" s="865"/>
      <c r="P192" s="865"/>
    </row>
    <row r="193" spans="1:16" ht="40.9" customHeight="1" x14ac:dyDescent="0.25">
      <c r="A193" s="675"/>
      <c r="B193" s="865" t="s">
        <v>1447</v>
      </c>
      <c r="C193" s="865"/>
      <c r="D193" s="865"/>
      <c r="E193" s="865"/>
      <c r="F193" s="865" t="s">
        <v>2848</v>
      </c>
      <c r="G193" s="865"/>
      <c r="H193" s="865"/>
      <c r="I193" s="865"/>
      <c r="J193" s="865" t="s">
        <v>129</v>
      </c>
      <c r="K193" s="865"/>
      <c r="L193" s="865"/>
      <c r="M193" s="865"/>
      <c r="N193" s="865"/>
      <c r="O193" s="865"/>
      <c r="P193" s="865"/>
    </row>
    <row r="194" spans="1:16" ht="27.2" customHeight="1" x14ac:dyDescent="0.25">
      <c r="A194" s="675"/>
      <c r="B194" s="865" t="s">
        <v>1429</v>
      </c>
      <c r="C194" s="865"/>
      <c r="D194" s="865"/>
      <c r="E194" s="865"/>
      <c r="F194" s="865" t="s">
        <v>2847</v>
      </c>
      <c r="G194" s="865"/>
      <c r="H194" s="865"/>
      <c r="I194" s="865"/>
      <c r="J194" s="865" t="s">
        <v>129</v>
      </c>
      <c r="K194" s="865"/>
      <c r="L194" s="865"/>
      <c r="M194" s="865"/>
      <c r="N194" s="865"/>
      <c r="O194" s="865"/>
      <c r="P194" s="865"/>
    </row>
    <row r="195" spans="1:16" ht="27.2" customHeight="1" x14ac:dyDescent="0.25">
      <c r="A195" s="675"/>
      <c r="B195" s="865" t="s">
        <v>1448</v>
      </c>
      <c r="C195" s="865"/>
      <c r="D195" s="865"/>
      <c r="E195" s="865"/>
      <c r="F195" s="865" t="s">
        <v>2846</v>
      </c>
      <c r="G195" s="865"/>
      <c r="H195" s="865"/>
      <c r="I195" s="865"/>
      <c r="J195" s="865" t="s">
        <v>129</v>
      </c>
      <c r="K195" s="865"/>
      <c r="L195" s="865"/>
      <c r="M195" s="865"/>
      <c r="N195" s="865"/>
      <c r="O195" s="865"/>
      <c r="P195" s="865"/>
    </row>
    <row r="196" spans="1:16" x14ac:dyDescent="0.25">
      <c r="A196" s="675"/>
      <c r="B196" s="865" t="s">
        <v>1431</v>
      </c>
      <c r="C196" s="865"/>
      <c r="D196" s="865"/>
      <c r="E196" s="865"/>
      <c r="F196" s="865" t="s">
        <v>2845</v>
      </c>
      <c r="G196" s="865"/>
      <c r="H196" s="865"/>
      <c r="I196" s="865"/>
      <c r="J196" s="865" t="s">
        <v>129</v>
      </c>
      <c r="K196" s="865"/>
      <c r="L196" s="865"/>
      <c r="M196" s="865"/>
      <c r="N196" s="865"/>
      <c r="O196" s="865"/>
      <c r="P196" s="865"/>
    </row>
    <row r="197" spans="1:16" ht="54.4" customHeight="1" x14ac:dyDescent="0.25">
      <c r="A197" s="675"/>
      <c r="B197" s="865" t="s">
        <v>1056</v>
      </c>
      <c r="C197" s="865"/>
      <c r="D197" s="865"/>
      <c r="E197" s="865"/>
      <c r="F197" s="865" t="s">
        <v>2844</v>
      </c>
      <c r="G197" s="865"/>
      <c r="H197" s="865"/>
      <c r="I197" s="865"/>
      <c r="J197" s="865" t="s">
        <v>129</v>
      </c>
      <c r="K197" s="865"/>
      <c r="L197" s="865"/>
      <c r="M197" s="865"/>
      <c r="N197" s="865"/>
      <c r="O197" s="865"/>
      <c r="P197" s="865"/>
    </row>
    <row r="198" spans="1:16" ht="135.94999999999999" customHeight="1" x14ac:dyDescent="0.25">
      <c r="A198" s="674" t="s">
        <v>176</v>
      </c>
      <c r="B198" s="781" t="s">
        <v>335</v>
      </c>
      <c r="C198" s="782"/>
      <c r="D198" s="782"/>
      <c r="E198" s="782"/>
      <c r="F198" s="782" t="s">
        <v>1125</v>
      </c>
      <c r="G198" s="782"/>
      <c r="H198" s="782"/>
      <c r="I198" s="782"/>
      <c r="J198" s="782" t="s">
        <v>1449</v>
      </c>
      <c r="K198" s="782"/>
      <c r="L198" s="782"/>
      <c r="M198" s="866">
        <f>ROUND((62200 + 4139 * (0.4 * 20 + 0.6 * 14)) * 1 * 1.53 * 0.6 * 1.3, 0)</f>
        <v>155237</v>
      </c>
      <c r="N198" s="782"/>
      <c r="O198" s="782" t="s">
        <v>1127</v>
      </c>
      <c r="P198" s="782"/>
    </row>
    <row r="199" spans="1:16" x14ac:dyDescent="0.25">
      <c r="A199" s="676"/>
      <c r="B199" s="864" t="s">
        <v>306</v>
      </c>
      <c r="C199" s="864"/>
      <c r="D199" s="864"/>
      <c r="E199" s="864"/>
      <c r="F199" s="864" t="s">
        <v>129</v>
      </c>
      <c r="G199" s="864"/>
      <c r="H199" s="864"/>
      <c r="I199" s="864"/>
      <c r="J199" s="864" t="s">
        <v>129</v>
      </c>
      <c r="K199" s="864"/>
      <c r="L199" s="864"/>
      <c r="M199" s="864"/>
      <c r="N199" s="864"/>
      <c r="O199" s="864"/>
      <c r="P199" s="864"/>
    </row>
    <row r="200" spans="1:16" x14ac:dyDescent="0.25">
      <c r="A200" s="675"/>
      <c r="B200" s="865" t="s">
        <v>507</v>
      </c>
      <c r="C200" s="865"/>
      <c r="D200" s="865"/>
      <c r="E200" s="865"/>
      <c r="F200" s="865" t="s">
        <v>508</v>
      </c>
      <c r="G200" s="865"/>
      <c r="H200" s="865"/>
      <c r="I200" s="865"/>
      <c r="J200" s="865" t="s">
        <v>129</v>
      </c>
      <c r="K200" s="865"/>
      <c r="L200" s="865"/>
      <c r="M200" s="865"/>
      <c r="N200" s="865"/>
      <c r="O200" s="865"/>
      <c r="P200" s="865"/>
    </row>
    <row r="201" spans="1:16" ht="40.9" customHeight="1" x14ac:dyDescent="0.25">
      <c r="A201" s="675"/>
      <c r="B201" s="865" t="s">
        <v>336</v>
      </c>
      <c r="C201" s="865"/>
      <c r="D201" s="865"/>
      <c r="E201" s="865"/>
      <c r="F201" s="865" t="s">
        <v>337</v>
      </c>
      <c r="G201" s="865"/>
      <c r="H201" s="865"/>
      <c r="I201" s="865"/>
      <c r="J201" s="865" t="s">
        <v>129</v>
      </c>
      <c r="K201" s="865"/>
      <c r="L201" s="865"/>
      <c r="M201" s="865"/>
      <c r="N201" s="865"/>
      <c r="O201" s="865"/>
      <c r="P201" s="865"/>
    </row>
    <row r="202" spans="1:16" ht="149.65" customHeight="1" x14ac:dyDescent="0.25">
      <c r="A202" s="675"/>
      <c r="B202" s="865" t="s">
        <v>329</v>
      </c>
      <c r="C202" s="865"/>
      <c r="D202" s="865"/>
      <c r="E202" s="865"/>
      <c r="F202" s="865" t="s">
        <v>511</v>
      </c>
      <c r="G202" s="865"/>
      <c r="H202" s="865"/>
      <c r="I202" s="865"/>
      <c r="J202" s="865" t="s">
        <v>129</v>
      </c>
      <c r="K202" s="865"/>
      <c r="L202" s="865"/>
      <c r="M202" s="865"/>
      <c r="N202" s="865"/>
      <c r="O202" s="865"/>
      <c r="P202" s="865"/>
    </row>
    <row r="203" spans="1:16" x14ac:dyDescent="0.25">
      <c r="A203" s="676"/>
      <c r="B203" s="864" t="s">
        <v>330</v>
      </c>
      <c r="C203" s="864"/>
      <c r="D203" s="864"/>
      <c r="E203" s="864"/>
      <c r="F203" s="864" t="s">
        <v>129</v>
      </c>
      <c r="G203" s="864"/>
      <c r="H203" s="864"/>
      <c r="I203" s="864"/>
      <c r="J203" s="864" t="s">
        <v>129</v>
      </c>
      <c r="K203" s="864"/>
      <c r="L203" s="864"/>
      <c r="M203" s="864"/>
      <c r="N203" s="864"/>
      <c r="O203" s="864"/>
      <c r="P203" s="864"/>
    </row>
    <row r="204" spans="1:16" ht="27.2" customHeight="1" x14ac:dyDescent="0.25">
      <c r="A204" s="675"/>
      <c r="B204" s="865" t="s">
        <v>1419</v>
      </c>
      <c r="C204" s="865"/>
      <c r="D204" s="865"/>
      <c r="E204" s="865"/>
      <c r="F204" s="865" t="s">
        <v>1450</v>
      </c>
      <c r="G204" s="865"/>
      <c r="H204" s="865"/>
      <c r="I204" s="865"/>
      <c r="J204" s="865" t="s">
        <v>129</v>
      </c>
      <c r="K204" s="865"/>
      <c r="L204" s="865"/>
      <c r="M204" s="865"/>
      <c r="N204" s="865"/>
      <c r="O204" s="865"/>
      <c r="P204" s="865"/>
    </row>
    <row r="205" spans="1:16" ht="27.2" customHeight="1" x14ac:dyDescent="0.25">
      <c r="A205" s="675"/>
      <c r="B205" s="865" t="s">
        <v>1420</v>
      </c>
      <c r="C205" s="865"/>
      <c r="D205" s="865"/>
      <c r="E205" s="865"/>
      <c r="F205" s="865" t="s">
        <v>1451</v>
      </c>
      <c r="G205" s="865"/>
      <c r="H205" s="865"/>
      <c r="I205" s="865"/>
      <c r="J205" s="865" t="s">
        <v>129</v>
      </c>
      <c r="K205" s="865"/>
      <c r="L205" s="865"/>
      <c r="M205" s="865"/>
      <c r="N205" s="865"/>
      <c r="O205" s="865"/>
      <c r="P205" s="865"/>
    </row>
    <row r="206" spans="1:16" ht="27.2" customHeight="1" x14ac:dyDescent="0.25">
      <c r="A206" s="675"/>
      <c r="B206" s="865" t="s">
        <v>1421</v>
      </c>
      <c r="C206" s="865"/>
      <c r="D206" s="865"/>
      <c r="E206" s="865"/>
      <c r="F206" s="865" t="s">
        <v>1452</v>
      </c>
      <c r="G206" s="865"/>
      <c r="H206" s="865"/>
      <c r="I206" s="865"/>
      <c r="J206" s="865" t="s">
        <v>129</v>
      </c>
      <c r="K206" s="865"/>
      <c r="L206" s="865"/>
      <c r="M206" s="865"/>
      <c r="N206" s="865"/>
      <c r="O206" s="865"/>
      <c r="P206" s="865"/>
    </row>
    <row r="207" spans="1:16" ht="27.2" customHeight="1" x14ac:dyDescent="0.25">
      <c r="A207" s="675"/>
      <c r="B207" s="865" t="s">
        <v>1422</v>
      </c>
      <c r="C207" s="865"/>
      <c r="D207" s="865"/>
      <c r="E207" s="865"/>
      <c r="F207" s="865" t="s">
        <v>1453</v>
      </c>
      <c r="G207" s="865"/>
      <c r="H207" s="865"/>
      <c r="I207" s="865"/>
      <c r="J207" s="865" t="s">
        <v>129</v>
      </c>
      <c r="K207" s="865"/>
      <c r="L207" s="865"/>
      <c r="M207" s="865"/>
      <c r="N207" s="865"/>
      <c r="O207" s="865"/>
      <c r="P207" s="865"/>
    </row>
    <row r="208" spans="1:16" ht="27.2" customHeight="1" x14ac:dyDescent="0.25">
      <c r="A208" s="675"/>
      <c r="B208" s="865" t="s">
        <v>1423</v>
      </c>
      <c r="C208" s="865"/>
      <c r="D208" s="865"/>
      <c r="E208" s="865"/>
      <c r="F208" s="865" t="s">
        <v>1454</v>
      </c>
      <c r="G208" s="865"/>
      <c r="H208" s="865"/>
      <c r="I208" s="865"/>
      <c r="J208" s="865" t="s">
        <v>129</v>
      </c>
      <c r="K208" s="865"/>
      <c r="L208" s="865"/>
      <c r="M208" s="865"/>
      <c r="N208" s="865"/>
      <c r="O208" s="865"/>
      <c r="P208" s="865"/>
    </row>
    <row r="209" spans="1:16" x14ac:dyDescent="0.25">
      <c r="A209" s="675"/>
      <c r="B209" s="865" t="s">
        <v>1424</v>
      </c>
      <c r="C209" s="865"/>
      <c r="D209" s="865"/>
      <c r="E209" s="865"/>
      <c r="F209" s="865" t="s">
        <v>1455</v>
      </c>
      <c r="G209" s="865"/>
      <c r="H209" s="865"/>
      <c r="I209" s="865"/>
      <c r="J209" s="865" t="s">
        <v>129</v>
      </c>
      <c r="K209" s="865"/>
      <c r="L209" s="865"/>
      <c r="M209" s="865"/>
      <c r="N209" s="865"/>
      <c r="O209" s="865"/>
      <c r="P209" s="865"/>
    </row>
    <row r="210" spans="1:16" ht="40.9" customHeight="1" x14ac:dyDescent="0.25">
      <c r="A210" s="675"/>
      <c r="B210" s="865" t="s">
        <v>1425</v>
      </c>
      <c r="C210" s="865"/>
      <c r="D210" s="865"/>
      <c r="E210" s="865"/>
      <c r="F210" s="865" t="s">
        <v>1456</v>
      </c>
      <c r="G210" s="865"/>
      <c r="H210" s="865"/>
      <c r="I210" s="865"/>
      <c r="J210" s="865" t="s">
        <v>129</v>
      </c>
      <c r="K210" s="865"/>
      <c r="L210" s="865"/>
      <c r="M210" s="865"/>
      <c r="N210" s="865"/>
      <c r="O210" s="865"/>
      <c r="P210" s="865"/>
    </row>
    <row r="211" spans="1:16" ht="27.2" customHeight="1" x14ac:dyDescent="0.25">
      <c r="A211" s="675"/>
      <c r="B211" s="865" t="s">
        <v>1228</v>
      </c>
      <c r="C211" s="865"/>
      <c r="D211" s="865"/>
      <c r="E211" s="865"/>
      <c r="F211" s="865" t="s">
        <v>1457</v>
      </c>
      <c r="G211" s="865"/>
      <c r="H211" s="865"/>
      <c r="I211" s="865"/>
      <c r="J211" s="865" t="s">
        <v>129</v>
      </c>
      <c r="K211" s="865"/>
      <c r="L211" s="865"/>
      <c r="M211" s="865"/>
      <c r="N211" s="865"/>
      <c r="O211" s="865"/>
      <c r="P211" s="865"/>
    </row>
    <row r="212" spans="1:16" ht="40.9" customHeight="1" x14ac:dyDescent="0.25">
      <c r="A212" s="675"/>
      <c r="B212" s="865" t="s">
        <v>1426</v>
      </c>
      <c r="C212" s="865"/>
      <c r="D212" s="865"/>
      <c r="E212" s="865"/>
      <c r="F212" s="865" t="s">
        <v>1457</v>
      </c>
      <c r="G212" s="865"/>
      <c r="H212" s="865"/>
      <c r="I212" s="865"/>
      <c r="J212" s="865" t="s">
        <v>129</v>
      </c>
      <c r="K212" s="865"/>
      <c r="L212" s="865"/>
      <c r="M212" s="865"/>
      <c r="N212" s="865"/>
      <c r="O212" s="865"/>
      <c r="P212" s="865"/>
    </row>
    <row r="213" spans="1:16" ht="27.2" customHeight="1" x14ac:dyDescent="0.25">
      <c r="A213" s="675"/>
      <c r="B213" s="865" t="s">
        <v>1427</v>
      </c>
      <c r="C213" s="865"/>
      <c r="D213" s="865"/>
      <c r="E213" s="865"/>
      <c r="F213" s="865" t="s">
        <v>1458</v>
      </c>
      <c r="G213" s="865"/>
      <c r="H213" s="865"/>
      <c r="I213" s="865"/>
      <c r="J213" s="865" t="s">
        <v>129</v>
      </c>
      <c r="K213" s="865"/>
      <c r="L213" s="865"/>
      <c r="M213" s="865"/>
      <c r="N213" s="865"/>
      <c r="O213" s="865"/>
      <c r="P213" s="865"/>
    </row>
    <row r="214" spans="1:16" ht="27.2" customHeight="1" x14ac:dyDescent="0.25">
      <c r="A214" s="675"/>
      <c r="B214" s="865" t="s">
        <v>1428</v>
      </c>
      <c r="C214" s="865"/>
      <c r="D214" s="865"/>
      <c r="E214" s="865"/>
      <c r="F214" s="865" t="s">
        <v>1458</v>
      </c>
      <c r="G214" s="865"/>
      <c r="H214" s="865"/>
      <c r="I214" s="865"/>
      <c r="J214" s="865" t="s">
        <v>129</v>
      </c>
      <c r="K214" s="865"/>
      <c r="L214" s="865"/>
      <c r="M214" s="865"/>
      <c r="N214" s="865"/>
      <c r="O214" s="865"/>
      <c r="P214" s="865"/>
    </row>
    <row r="215" spans="1:16" ht="27.2" customHeight="1" x14ac:dyDescent="0.25">
      <c r="A215" s="675"/>
      <c r="B215" s="865" t="s">
        <v>1429</v>
      </c>
      <c r="C215" s="865"/>
      <c r="D215" s="865"/>
      <c r="E215" s="865"/>
      <c r="F215" s="865" t="s">
        <v>1457</v>
      </c>
      <c r="G215" s="865"/>
      <c r="H215" s="865"/>
      <c r="I215" s="865"/>
      <c r="J215" s="865" t="s">
        <v>129</v>
      </c>
      <c r="K215" s="865"/>
      <c r="L215" s="865"/>
      <c r="M215" s="865"/>
      <c r="N215" s="865"/>
      <c r="O215" s="865"/>
      <c r="P215" s="865"/>
    </row>
    <row r="216" spans="1:16" ht="27.2" customHeight="1" x14ac:dyDescent="0.25">
      <c r="A216" s="675"/>
      <c r="B216" s="865" t="s">
        <v>1430</v>
      </c>
      <c r="C216" s="865"/>
      <c r="D216" s="865"/>
      <c r="E216" s="865"/>
      <c r="F216" s="865" t="s">
        <v>1459</v>
      </c>
      <c r="G216" s="865"/>
      <c r="H216" s="865"/>
      <c r="I216" s="865"/>
      <c r="J216" s="865" t="s">
        <v>129</v>
      </c>
      <c r="K216" s="865"/>
      <c r="L216" s="865"/>
      <c r="M216" s="865"/>
      <c r="N216" s="865"/>
      <c r="O216" s="865"/>
      <c r="P216" s="865"/>
    </row>
    <row r="217" spans="1:16" x14ac:dyDescent="0.25">
      <c r="A217" s="675"/>
      <c r="B217" s="865" t="s">
        <v>1431</v>
      </c>
      <c r="C217" s="865"/>
      <c r="D217" s="865"/>
      <c r="E217" s="865"/>
      <c r="F217" s="865" t="s">
        <v>1460</v>
      </c>
      <c r="G217" s="865"/>
      <c r="H217" s="865"/>
      <c r="I217" s="865"/>
      <c r="J217" s="865" t="s">
        <v>129</v>
      </c>
      <c r="K217" s="865"/>
      <c r="L217" s="865"/>
      <c r="M217" s="865"/>
      <c r="N217" s="865"/>
      <c r="O217" s="865"/>
      <c r="P217" s="865"/>
    </row>
    <row r="218" spans="1:16" ht="54.4" customHeight="1" x14ac:dyDescent="0.25">
      <c r="A218" s="675"/>
      <c r="B218" s="865" t="s">
        <v>1432</v>
      </c>
      <c r="C218" s="865"/>
      <c r="D218" s="865"/>
      <c r="E218" s="865"/>
      <c r="F218" s="865" t="s">
        <v>1461</v>
      </c>
      <c r="G218" s="865"/>
      <c r="H218" s="865"/>
      <c r="I218" s="865"/>
      <c r="J218" s="865" t="s">
        <v>129</v>
      </c>
      <c r="K218" s="865"/>
      <c r="L218" s="865"/>
      <c r="M218" s="865"/>
      <c r="N218" s="865"/>
      <c r="O218" s="865"/>
      <c r="P218" s="865"/>
    </row>
    <row r="219" spans="1:16" ht="163.15" customHeight="1" x14ac:dyDescent="0.25">
      <c r="A219" s="674" t="s">
        <v>177</v>
      </c>
      <c r="B219" s="781" t="s">
        <v>1786</v>
      </c>
      <c r="C219" s="782"/>
      <c r="D219" s="782"/>
      <c r="E219" s="782"/>
      <c r="F219" s="782" t="s">
        <v>1787</v>
      </c>
      <c r="G219" s="782"/>
      <c r="H219" s="782"/>
      <c r="I219" s="782"/>
      <c r="J219" s="782" t="s">
        <v>1953</v>
      </c>
      <c r="K219" s="782"/>
      <c r="L219" s="782"/>
      <c r="M219" s="866">
        <f>ROUND((1150 + 40 * (0.4 * 70 + 0.6 * 40.8)) * 1 * 54.34 * 1 * 1.3, 0)</f>
        <v>229530</v>
      </c>
      <c r="N219" s="782"/>
      <c r="O219" s="782" t="s">
        <v>1789</v>
      </c>
      <c r="P219" s="782"/>
    </row>
    <row r="220" spans="1:16" x14ac:dyDescent="0.25">
      <c r="A220" s="676"/>
      <c r="B220" s="864" t="s">
        <v>306</v>
      </c>
      <c r="C220" s="864"/>
      <c r="D220" s="864"/>
      <c r="E220" s="864"/>
      <c r="F220" s="864" t="s">
        <v>129</v>
      </c>
      <c r="G220" s="864"/>
      <c r="H220" s="864"/>
      <c r="I220" s="864"/>
      <c r="J220" s="864" t="s">
        <v>129</v>
      </c>
      <c r="K220" s="864"/>
      <c r="L220" s="864"/>
      <c r="M220" s="864"/>
      <c r="N220" s="864"/>
      <c r="O220" s="864"/>
      <c r="P220" s="864"/>
    </row>
    <row r="221" spans="1:16" x14ac:dyDescent="0.25">
      <c r="A221" s="675"/>
      <c r="B221" s="865" t="s">
        <v>507</v>
      </c>
      <c r="C221" s="865"/>
      <c r="D221" s="865"/>
      <c r="E221" s="865"/>
      <c r="F221" s="865" t="s">
        <v>1378</v>
      </c>
      <c r="G221" s="865"/>
      <c r="H221" s="865"/>
      <c r="I221" s="865"/>
      <c r="J221" s="865" t="s">
        <v>129</v>
      </c>
      <c r="K221" s="865"/>
      <c r="L221" s="865"/>
      <c r="M221" s="865"/>
      <c r="N221" s="865"/>
      <c r="O221" s="865"/>
      <c r="P221" s="865"/>
    </row>
    <row r="222" spans="1:16" ht="40.9" customHeight="1" x14ac:dyDescent="0.25">
      <c r="A222" s="675"/>
      <c r="B222" s="865" t="s">
        <v>1342</v>
      </c>
      <c r="C222" s="865"/>
      <c r="D222" s="865"/>
      <c r="E222" s="865"/>
      <c r="F222" s="865" t="s">
        <v>1343</v>
      </c>
      <c r="G222" s="865"/>
      <c r="H222" s="865"/>
      <c r="I222" s="865"/>
      <c r="J222" s="865" t="s">
        <v>129</v>
      </c>
      <c r="K222" s="865"/>
      <c r="L222" s="865"/>
      <c r="M222" s="865"/>
      <c r="N222" s="865"/>
      <c r="O222" s="865"/>
      <c r="P222" s="865"/>
    </row>
    <row r="223" spans="1:16" ht="149.65" customHeight="1" x14ac:dyDescent="0.25">
      <c r="A223" s="675"/>
      <c r="B223" s="865" t="s">
        <v>329</v>
      </c>
      <c r="C223" s="865"/>
      <c r="D223" s="865"/>
      <c r="E223" s="865"/>
      <c r="F223" s="865" t="s">
        <v>1791</v>
      </c>
      <c r="G223" s="865"/>
      <c r="H223" s="865"/>
      <c r="I223" s="865"/>
      <c r="J223" s="865" t="s">
        <v>129</v>
      </c>
      <c r="K223" s="865"/>
      <c r="L223" s="865"/>
      <c r="M223" s="865"/>
      <c r="N223" s="865"/>
      <c r="O223" s="865"/>
      <c r="P223" s="865"/>
    </row>
    <row r="224" spans="1:16" x14ac:dyDescent="0.25">
      <c r="A224" s="676"/>
      <c r="B224" s="864" t="s">
        <v>330</v>
      </c>
      <c r="C224" s="864"/>
      <c r="D224" s="864"/>
      <c r="E224" s="864"/>
      <c r="F224" s="864" t="s">
        <v>129</v>
      </c>
      <c r="G224" s="864"/>
      <c r="H224" s="864"/>
      <c r="I224" s="864"/>
      <c r="J224" s="864" t="s">
        <v>129</v>
      </c>
      <c r="K224" s="864"/>
      <c r="L224" s="864"/>
      <c r="M224" s="864"/>
      <c r="N224" s="864"/>
      <c r="O224" s="864"/>
      <c r="P224" s="864"/>
    </row>
    <row r="225" spans="1:16" ht="40.9" customHeight="1" x14ac:dyDescent="0.25">
      <c r="A225" s="675"/>
      <c r="B225" s="865" t="s">
        <v>1792</v>
      </c>
      <c r="C225" s="865"/>
      <c r="D225" s="865"/>
      <c r="E225" s="865"/>
      <c r="F225" s="865" t="s">
        <v>1954</v>
      </c>
      <c r="G225" s="865"/>
      <c r="H225" s="865"/>
      <c r="I225" s="865"/>
      <c r="J225" s="865" t="s">
        <v>129</v>
      </c>
      <c r="K225" s="865"/>
      <c r="L225" s="865"/>
      <c r="M225" s="865"/>
      <c r="N225" s="865"/>
      <c r="O225" s="865"/>
      <c r="P225" s="865"/>
    </row>
    <row r="226" spans="1:16" ht="40.9" customHeight="1" x14ac:dyDescent="0.25">
      <c r="A226" s="675"/>
      <c r="B226" s="865" t="s">
        <v>1794</v>
      </c>
      <c r="C226" s="865"/>
      <c r="D226" s="865"/>
      <c r="E226" s="865"/>
      <c r="F226" s="865" t="s">
        <v>1955</v>
      </c>
      <c r="G226" s="865"/>
      <c r="H226" s="865"/>
      <c r="I226" s="865"/>
      <c r="J226" s="865" t="s">
        <v>129</v>
      </c>
      <c r="K226" s="865"/>
      <c r="L226" s="865"/>
      <c r="M226" s="865"/>
      <c r="N226" s="865"/>
      <c r="O226" s="865"/>
      <c r="P226" s="865"/>
    </row>
    <row r="227" spans="1:16" ht="40.9" customHeight="1" x14ac:dyDescent="0.25">
      <c r="A227" s="675"/>
      <c r="B227" s="865" t="s">
        <v>1796</v>
      </c>
      <c r="C227" s="865"/>
      <c r="D227" s="865"/>
      <c r="E227" s="865"/>
      <c r="F227" s="865" t="s">
        <v>1956</v>
      </c>
      <c r="G227" s="865"/>
      <c r="H227" s="865"/>
      <c r="I227" s="865"/>
      <c r="J227" s="865" t="s">
        <v>129</v>
      </c>
      <c r="K227" s="865"/>
      <c r="L227" s="865"/>
      <c r="M227" s="865"/>
      <c r="N227" s="865"/>
      <c r="O227" s="865"/>
      <c r="P227" s="865"/>
    </row>
    <row r="228" spans="1:16" x14ac:dyDescent="0.25">
      <c r="A228" s="675"/>
      <c r="B228" s="865" t="s">
        <v>1798</v>
      </c>
      <c r="C228" s="865"/>
      <c r="D228" s="865"/>
      <c r="E228" s="865"/>
      <c r="F228" s="865" t="s">
        <v>1957</v>
      </c>
      <c r="G228" s="865"/>
      <c r="H228" s="865"/>
      <c r="I228" s="865"/>
      <c r="J228" s="865" t="s">
        <v>129</v>
      </c>
      <c r="K228" s="865"/>
      <c r="L228" s="865"/>
      <c r="M228" s="865"/>
      <c r="N228" s="865"/>
      <c r="O228" s="865"/>
      <c r="P228" s="865"/>
    </row>
    <row r="229" spans="1:16" ht="27.2" customHeight="1" x14ac:dyDescent="0.25">
      <c r="A229" s="675"/>
      <c r="B229" s="865" t="s">
        <v>1800</v>
      </c>
      <c r="C229" s="865"/>
      <c r="D229" s="865"/>
      <c r="E229" s="865"/>
      <c r="F229" s="865" t="s">
        <v>1958</v>
      </c>
      <c r="G229" s="865"/>
      <c r="H229" s="865"/>
      <c r="I229" s="865"/>
      <c r="J229" s="865" t="s">
        <v>129</v>
      </c>
      <c r="K229" s="865"/>
      <c r="L229" s="865"/>
      <c r="M229" s="865"/>
      <c r="N229" s="865"/>
      <c r="O229" s="865"/>
      <c r="P229" s="865"/>
    </row>
    <row r="230" spans="1:16" x14ac:dyDescent="0.25">
      <c r="A230" s="675"/>
      <c r="B230" s="865" t="s">
        <v>1959</v>
      </c>
      <c r="C230" s="865"/>
      <c r="D230" s="865"/>
      <c r="E230" s="865"/>
      <c r="F230" s="865" t="s">
        <v>1960</v>
      </c>
      <c r="G230" s="865"/>
      <c r="H230" s="865"/>
      <c r="I230" s="865"/>
      <c r="J230" s="865" t="s">
        <v>129</v>
      </c>
      <c r="K230" s="865"/>
      <c r="L230" s="865"/>
      <c r="M230" s="865"/>
      <c r="N230" s="865"/>
      <c r="O230" s="865"/>
      <c r="P230" s="865"/>
    </row>
    <row r="231" spans="1:16" ht="163.15" customHeight="1" x14ac:dyDescent="0.25">
      <c r="A231" s="674" t="s">
        <v>1806</v>
      </c>
      <c r="B231" s="781" t="s">
        <v>1786</v>
      </c>
      <c r="C231" s="782"/>
      <c r="D231" s="782"/>
      <c r="E231" s="782"/>
      <c r="F231" s="782" t="s">
        <v>1787</v>
      </c>
      <c r="G231" s="782"/>
      <c r="H231" s="782"/>
      <c r="I231" s="782"/>
      <c r="J231" s="782" t="s">
        <v>1953</v>
      </c>
      <c r="K231" s="782"/>
      <c r="L231" s="782"/>
      <c r="M231" s="866">
        <f>ROUND((1150 + 40 * (0.4 * 70 + 0.6 * 40.8)) * 1 * 54.34 * 1 * 1.3, 0)</f>
        <v>229530</v>
      </c>
      <c r="N231" s="782"/>
      <c r="O231" s="782" t="s">
        <v>1807</v>
      </c>
      <c r="P231" s="782"/>
    </row>
    <row r="232" spans="1:16" x14ac:dyDescent="0.25">
      <c r="A232" s="676"/>
      <c r="B232" s="864" t="s">
        <v>306</v>
      </c>
      <c r="C232" s="864"/>
      <c r="D232" s="864"/>
      <c r="E232" s="864"/>
      <c r="F232" s="864" t="s">
        <v>129</v>
      </c>
      <c r="G232" s="864"/>
      <c r="H232" s="864"/>
      <c r="I232" s="864"/>
      <c r="J232" s="864" t="s">
        <v>129</v>
      </c>
      <c r="K232" s="864"/>
      <c r="L232" s="864"/>
      <c r="M232" s="864"/>
      <c r="N232" s="864"/>
      <c r="O232" s="864"/>
      <c r="P232" s="864"/>
    </row>
    <row r="233" spans="1:16" x14ac:dyDescent="0.25">
      <c r="A233" s="675"/>
      <c r="B233" s="865" t="s">
        <v>507</v>
      </c>
      <c r="C233" s="865"/>
      <c r="D233" s="865"/>
      <c r="E233" s="865"/>
      <c r="F233" s="865" t="s">
        <v>1378</v>
      </c>
      <c r="G233" s="865"/>
      <c r="H233" s="865"/>
      <c r="I233" s="865"/>
      <c r="J233" s="865" t="s">
        <v>129</v>
      </c>
      <c r="K233" s="865"/>
      <c r="L233" s="865"/>
      <c r="M233" s="865"/>
      <c r="N233" s="865"/>
      <c r="O233" s="865"/>
      <c r="P233" s="865"/>
    </row>
    <row r="234" spans="1:16" ht="40.9" customHeight="1" x14ac:dyDescent="0.25">
      <c r="A234" s="675"/>
      <c r="B234" s="865" t="s">
        <v>1342</v>
      </c>
      <c r="C234" s="865"/>
      <c r="D234" s="865"/>
      <c r="E234" s="865"/>
      <c r="F234" s="865" t="s">
        <v>1343</v>
      </c>
      <c r="G234" s="865"/>
      <c r="H234" s="865"/>
      <c r="I234" s="865"/>
      <c r="J234" s="865" t="s">
        <v>129</v>
      </c>
      <c r="K234" s="865"/>
      <c r="L234" s="865"/>
      <c r="M234" s="865"/>
      <c r="N234" s="865"/>
      <c r="O234" s="865"/>
      <c r="P234" s="865"/>
    </row>
    <row r="235" spans="1:16" ht="149.65" customHeight="1" x14ac:dyDescent="0.25">
      <c r="A235" s="675"/>
      <c r="B235" s="865" t="s">
        <v>329</v>
      </c>
      <c r="C235" s="865"/>
      <c r="D235" s="865"/>
      <c r="E235" s="865"/>
      <c r="F235" s="865" t="s">
        <v>1791</v>
      </c>
      <c r="G235" s="865"/>
      <c r="H235" s="865"/>
      <c r="I235" s="865"/>
      <c r="J235" s="865" t="s">
        <v>129</v>
      </c>
      <c r="K235" s="865"/>
      <c r="L235" s="865"/>
      <c r="M235" s="865"/>
      <c r="N235" s="865"/>
      <c r="O235" s="865"/>
      <c r="P235" s="865"/>
    </row>
    <row r="236" spans="1:16" x14ac:dyDescent="0.25">
      <c r="A236" s="676"/>
      <c r="B236" s="864" t="s">
        <v>330</v>
      </c>
      <c r="C236" s="864"/>
      <c r="D236" s="864"/>
      <c r="E236" s="864"/>
      <c r="F236" s="864" t="s">
        <v>129</v>
      </c>
      <c r="G236" s="864"/>
      <c r="H236" s="864"/>
      <c r="I236" s="864"/>
      <c r="J236" s="864" t="s">
        <v>129</v>
      </c>
      <c r="K236" s="864"/>
      <c r="L236" s="864"/>
      <c r="M236" s="864"/>
      <c r="N236" s="864"/>
      <c r="O236" s="864"/>
      <c r="P236" s="864"/>
    </row>
    <row r="237" spans="1:16" ht="40.9" customHeight="1" x14ac:dyDescent="0.25">
      <c r="A237" s="675"/>
      <c r="B237" s="865" t="s">
        <v>1792</v>
      </c>
      <c r="C237" s="865"/>
      <c r="D237" s="865"/>
      <c r="E237" s="865"/>
      <c r="F237" s="865" t="s">
        <v>1954</v>
      </c>
      <c r="G237" s="865"/>
      <c r="H237" s="865"/>
      <c r="I237" s="865"/>
      <c r="J237" s="865" t="s">
        <v>129</v>
      </c>
      <c r="K237" s="865"/>
      <c r="L237" s="865"/>
      <c r="M237" s="865"/>
      <c r="N237" s="865"/>
      <c r="O237" s="865"/>
      <c r="P237" s="865"/>
    </row>
    <row r="238" spans="1:16" ht="40.9" customHeight="1" x14ac:dyDescent="0.25">
      <c r="A238" s="675"/>
      <c r="B238" s="865" t="s">
        <v>1794</v>
      </c>
      <c r="C238" s="865"/>
      <c r="D238" s="865"/>
      <c r="E238" s="865"/>
      <c r="F238" s="865" t="s">
        <v>1955</v>
      </c>
      <c r="G238" s="865"/>
      <c r="H238" s="865"/>
      <c r="I238" s="865"/>
      <c r="J238" s="865" t="s">
        <v>129</v>
      </c>
      <c r="K238" s="865"/>
      <c r="L238" s="865"/>
      <c r="M238" s="865"/>
      <c r="N238" s="865"/>
      <c r="O238" s="865"/>
      <c r="P238" s="865"/>
    </row>
    <row r="239" spans="1:16" ht="40.9" customHeight="1" x14ac:dyDescent="0.25">
      <c r="A239" s="675"/>
      <c r="B239" s="865" t="s">
        <v>1796</v>
      </c>
      <c r="C239" s="865"/>
      <c r="D239" s="865"/>
      <c r="E239" s="865"/>
      <c r="F239" s="865" t="s">
        <v>1956</v>
      </c>
      <c r="G239" s="865"/>
      <c r="H239" s="865"/>
      <c r="I239" s="865"/>
      <c r="J239" s="865" t="s">
        <v>129</v>
      </c>
      <c r="K239" s="865"/>
      <c r="L239" s="865"/>
      <c r="M239" s="865"/>
      <c r="N239" s="865"/>
      <c r="O239" s="865"/>
      <c r="P239" s="865"/>
    </row>
    <row r="240" spans="1:16" x14ac:dyDescent="0.25">
      <c r="A240" s="675"/>
      <c r="B240" s="865" t="s">
        <v>1798</v>
      </c>
      <c r="C240" s="865"/>
      <c r="D240" s="865"/>
      <c r="E240" s="865"/>
      <c r="F240" s="865" t="s">
        <v>1957</v>
      </c>
      <c r="G240" s="865"/>
      <c r="H240" s="865"/>
      <c r="I240" s="865"/>
      <c r="J240" s="865" t="s">
        <v>129</v>
      </c>
      <c r="K240" s="865"/>
      <c r="L240" s="865"/>
      <c r="M240" s="865"/>
      <c r="N240" s="865"/>
      <c r="O240" s="865"/>
      <c r="P240" s="865"/>
    </row>
    <row r="241" spans="1:16" ht="27.2" customHeight="1" x14ac:dyDescent="0.25">
      <c r="A241" s="675"/>
      <c r="B241" s="865" t="s">
        <v>1800</v>
      </c>
      <c r="C241" s="865"/>
      <c r="D241" s="865"/>
      <c r="E241" s="865"/>
      <c r="F241" s="865" t="s">
        <v>1958</v>
      </c>
      <c r="G241" s="865"/>
      <c r="H241" s="865"/>
      <c r="I241" s="865"/>
      <c r="J241" s="865" t="s">
        <v>129</v>
      </c>
      <c r="K241" s="865"/>
      <c r="L241" s="865"/>
      <c r="M241" s="865"/>
      <c r="N241" s="865"/>
      <c r="O241" s="865"/>
      <c r="P241" s="865"/>
    </row>
    <row r="242" spans="1:16" x14ac:dyDescent="0.25">
      <c r="A242" s="675"/>
      <c r="B242" s="865" t="s">
        <v>1959</v>
      </c>
      <c r="C242" s="865"/>
      <c r="D242" s="865"/>
      <c r="E242" s="865"/>
      <c r="F242" s="865" t="s">
        <v>1960</v>
      </c>
      <c r="G242" s="865"/>
      <c r="H242" s="865"/>
      <c r="I242" s="865"/>
      <c r="J242" s="865" t="s">
        <v>129</v>
      </c>
      <c r="K242" s="865"/>
      <c r="L242" s="865"/>
      <c r="M242" s="865"/>
      <c r="N242" s="865"/>
      <c r="O242" s="865"/>
      <c r="P242" s="865"/>
    </row>
    <row r="243" spans="1:16" ht="204" customHeight="1" x14ac:dyDescent="0.25">
      <c r="A243" s="674" t="s">
        <v>1808</v>
      </c>
      <c r="B243" s="781" t="s">
        <v>2179</v>
      </c>
      <c r="C243" s="782"/>
      <c r="D243" s="782"/>
      <c r="E243" s="782"/>
      <c r="F243" s="782" t="s">
        <v>2178</v>
      </c>
      <c r="G243" s="782"/>
      <c r="H243" s="782"/>
      <c r="I243" s="782"/>
      <c r="J243" s="782" t="s">
        <v>2210</v>
      </c>
      <c r="K243" s="782"/>
      <c r="L243" s="782"/>
      <c r="M243" s="866">
        <f>ROUND(470800 * 1 * 1.68 * 0.6 * 0.9 * 1.27789, 0)</f>
        <v>545799</v>
      </c>
      <c r="N243" s="782"/>
      <c r="O243" s="782" t="s">
        <v>2176</v>
      </c>
      <c r="P243" s="782"/>
    </row>
    <row r="244" spans="1:16" x14ac:dyDescent="0.25">
      <c r="A244" s="676"/>
      <c r="B244" s="864" t="s">
        <v>306</v>
      </c>
      <c r="C244" s="864"/>
      <c r="D244" s="864"/>
      <c r="E244" s="864"/>
      <c r="F244" s="864" t="s">
        <v>129</v>
      </c>
      <c r="G244" s="864"/>
      <c r="H244" s="864"/>
      <c r="I244" s="864"/>
      <c r="J244" s="864" t="s">
        <v>129</v>
      </c>
      <c r="K244" s="864"/>
      <c r="L244" s="864"/>
      <c r="M244" s="864"/>
      <c r="N244" s="864"/>
      <c r="O244" s="864"/>
      <c r="P244" s="864"/>
    </row>
    <row r="245" spans="1:16" x14ac:dyDescent="0.25">
      <c r="A245" s="675"/>
      <c r="B245" s="865" t="s">
        <v>507</v>
      </c>
      <c r="C245" s="865"/>
      <c r="D245" s="865"/>
      <c r="E245" s="865"/>
      <c r="F245" s="865" t="s">
        <v>508</v>
      </c>
      <c r="G245" s="865"/>
      <c r="H245" s="865"/>
      <c r="I245" s="865"/>
      <c r="J245" s="865" t="s">
        <v>129</v>
      </c>
      <c r="K245" s="865"/>
      <c r="L245" s="865"/>
      <c r="M245" s="865"/>
      <c r="N245" s="865"/>
      <c r="O245" s="865"/>
      <c r="P245" s="865"/>
    </row>
    <row r="246" spans="1:16" ht="40.9" customHeight="1" x14ac:dyDescent="0.25">
      <c r="A246" s="675"/>
      <c r="B246" s="865" t="s">
        <v>331</v>
      </c>
      <c r="C246" s="865"/>
      <c r="D246" s="865"/>
      <c r="E246" s="865"/>
      <c r="F246" s="865" t="s">
        <v>332</v>
      </c>
      <c r="G246" s="865"/>
      <c r="H246" s="865"/>
      <c r="I246" s="865"/>
      <c r="J246" s="865" t="s">
        <v>129</v>
      </c>
      <c r="K246" s="865"/>
      <c r="L246" s="865"/>
      <c r="M246" s="865"/>
      <c r="N246" s="865"/>
      <c r="O246" s="865"/>
      <c r="P246" s="865"/>
    </row>
    <row r="247" spans="1:16" ht="108.75" customHeight="1" x14ac:dyDescent="0.25">
      <c r="A247" s="675"/>
      <c r="B247" s="865" t="s">
        <v>1809</v>
      </c>
      <c r="C247" s="865"/>
      <c r="D247" s="865"/>
      <c r="E247" s="865"/>
      <c r="F247" s="865" t="s">
        <v>1810</v>
      </c>
      <c r="G247" s="865"/>
      <c r="H247" s="865"/>
      <c r="I247" s="865"/>
      <c r="J247" s="865" t="s">
        <v>129</v>
      </c>
      <c r="K247" s="865"/>
      <c r="L247" s="865"/>
      <c r="M247" s="865"/>
      <c r="N247" s="865"/>
      <c r="O247" s="865"/>
      <c r="P247" s="865"/>
    </row>
    <row r="248" spans="1:16" ht="149.65" customHeight="1" x14ac:dyDescent="0.25">
      <c r="A248" s="675"/>
      <c r="B248" s="865" t="s">
        <v>329</v>
      </c>
      <c r="C248" s="865"/>
      <c r="D248" s="865"/>
      <c r="E248" s="865"/>
      <c r="F248" s="865" t="s">
        <v>341</v>
      </c>
      <c r="G248" s="865"/>
      <c r="H248" s="865"/>
      <c r="I248" s="865"/>
      <c r="J248" s="865" t="s">
        <v>129</v>
      </c>
      <c r="K248" s="865"/>
      <c r="L248" s="865"/>
      <c r="M248" s="865"/>
      <c r="N248" s="865"/>
      <c r="O248" s="865"/>
      <c r="P248" s="865"/>
    </row>
    <row r="249" spans="1:16" x14ac:dyDescent="0.25">
      <c r="A249" s="676"/>
      <c r="B249" s="864" t="s">
        <v>330</v>
      </c>
      <c r="C249" s="864"/>
      <c r="D249" s="864"/>
      <c r="E249" s="864"/>
      <c r="F249" s="864" t="s">
        <v>129</v>
      </c>
      <c r="G249" s="864"/>
      <c r="H249" s="864"/>
      <c r="I249" s="864"/>
      <c r="J249" s="864" t="s">
        <v>129</v>
      </c>
      <c r="K249" s="864"/>
      <c r="L249" s="864"/>
      <c r="M249" s="864"/>
      <c r="N249" s="864"/>
      <c r="O249" s="864"/>
      <c r="P249" s="864"/>
    </row>
    <row r="250" spans="1:16" x14ac:dyDescent="0.25">
      <c r="A250" s="675"/>
      <c r="B250" s="865" t="s">
        <v>1028</v>
      </c>
      <c r="C250" s="865"/>
      <c r="D250" s="865"/>
      <c r="E250" s="865"/>
      <c r="F250" s="865" t="s">
        <v>2209</v>
      </c>
      <c r="G250" s="865"/>
      <c r="H250" s="865"/>
      <c r="I250" s="865"/>
      <c r="J250" s="865" t="s">
        <v>129</v>
      </c>
      <c r="K250" s="865"/>
      <c r="L250" s="865"/>
      <c r="M250" s="865"/>
      <c r="N250" s="865"/>
      <c r="O250" s="865"/>
      <c r="P250" s="865"/>
    </row>
    <row r="251" spans="1:16" ht="27.2" customHeight="1" x14ac:dyDescent="0.25">
      <c r="A251" s="675"/>
      <c r="B251" s="865" t="s">
        <v>1082</v>
      </c>
      <c r="C251" s="865"/>
      <c r="D251" s="865"/>
      <c r="E251" s="865"/>
      <c r="F251" s="865" t="s">
        <v>2208</v>
      </c>
      <c r="G251" s="865"/>
      <c r="H251" s="865"/>
      <c r="I251" s="865"/>
      <c r="J251" s="865" t="s">
        <v>129</v>
      </c>
      <c r="K251" s="865"/>
      <c r="L251" s="865"/>
      <c r="M251" s="865"/>
      <c r="N251" s="865"/>
      <c r="O251" s="865"/>
      <c r="P251" s="865"/>
    </row>
    <row r="252" spans="1:16" x14ac:dyDescent="0.25">
      <c r="A252" s="675"/>
      <c r="B252" s="865" t="s">
        <v>1083</v>
      </c>
      <c r="C252" s="865"/>
      <c r="D252" s="865"/>
      <c r="E252" s="865"/>
      <c r="F252" s="865" t="s">
        <v>2207</v>
      </c>
      <c r="G252" s="865"/>
      <c r="H252" s="865"/>
      <c r="I252" s="865"/>
      <c r="J252" s="865" t="s">
        <v>129</v>
      </c>
      <c r="K252" s="865"/>
      <c r="L252" s="865"/>
      <c r="M252" s="865"/>
      <c r="N252" s="865"/>
      <c r="O252" s="865"/>
      <c r="P252" s="865"/>
    </row>
    <row r="253" spans="1:16" ht="27.2" customHeight="1" x14ac:dyDescent="0.25">
      <c r="A253" s="675"/>
      <c r="B253" s="865" t="s">
        <v>1084</v>
      </c>
      <c r="C253" s="865"/>
      <c r="D253" s="865"/>
      <c r="E253" s="865"/>
      <c r="F253" s="865" t="s">
        <v>2206</v>
      </c>
      <c r="G253" s="865"/>
      <c r="H253" s="865"/>
      <c r="I253" s="865"/>
      <c r="J253" s="865" t="s">
        <v>129</v>
      </c>
      <c r="K253" s="865"/>
      <c r="L253" s="865"/>
      <c r="M253" s="865"/>
      <c r="N253" s="865"/>
      <c r="O253" s="865"/>
      <c r="P253" s="865"/>
    </row>
    <row r="254" spans="1:16" ht="81.599999999999994" customHeight="1" x14ac:dyDescent="0.25">
      <c r="A254" s="675"/>
      <c r="B254" s="865" t="s">
        <v>1085</v>
      </c>
      <c r="C254" s="865"/>
      <c r="D254" s="865"/>
      <c r="E254" s="865"/>
      <c r="F254" s="865" t="s">
        <v>2205</v>
      </c>
      <c r="G254" s="865"/>
      <c r="H254" s="865"/>
      <c r="I254" s="865"/>
      <c r="J254" s="865" t="s">
        <v>129</v>
      </c>
      <c r="K254" s="865"/>
      <c r="L254" s="865"/>
      <c r="M254" s="865"/>
      <c r="N254" s="865"/>
      <c r="O254" s="865"/>
      <c r="P254" s="865"/>
    </row>
    <row r="255" spans="1:16" ht="27.2" customHeight="1" x14ac:dyDescent="0.25">
      <c r="A255" s="675"/>
      <c r="B255" s="865" t="s">
        <v>1033</v>
      </c>
      <c r="C255" s="865"/>
      <c r="D255" s="865"/>
      <c r="E255" s="865"/>
      <c r="F255" s="865" t="s">
        <v>2204</v>
      </c>
      <c r="G255" s="865"/>
      <c r="H255" s="865"/>
      <c r="I255" s="865"/>
      <c r="J255" s="865" t="s">
        <v>129</v>
      </c>
      <c r="K255" s="865"/>
      <c r="L255" s="865"/>
      <c r="M255" s="865"/>
      <c r="N255" s="865"/>
      <c r="O255" s="865"/>
      <c r="P255" s="865"/>
    </row>
    <row r="256" spans="1:16" ht="27.2" customHeight="1" x14ac:dyDescent="0.25">
      <c r="A256" s="675"/>
      <c r="B256" s="865" t="s">
        <v>1087</v>
      </c>
      <c r="C256" s="865"/>
      <c r="D256" s="865"/>
      <c r="E256" s="865"/>
      <c r="F256" s="865" t="s">
        <v>2203</v>
      </c>
      <c r="G256" s="865"/>
      <c r="H256" s="865"/>
      <c r="I256" s="865"/>
      <c r="J256" s="865" t="s">
        <v>129</v>
      </c>
      <c r="K256" s="865"/>
      <c r="L256" s="865"/>
      <c r="M256" s="865"/>
      <c r="N256" s="865"/>
      <c r="O256" s="865"/>
      <c r="P256" s="865"/>
    </row>
    <row r="257" spans="1:16" ht="27.2" customHeight="1" x14ac:dyDescent="0.25">
      <c r="A257" s="675"/>
      <c r="B257" s="865" t="s">
        <v>1088</v>
      </c>
      <c r="C257" s="865"/>
      <c r="D257" s="865"/>
      <c r="E257" s="865"/>
      <c r="F257" s="865" t="s">
        <v>2203</v>
      </c>
      <c r="G257" s="865"/>
      <c r="H257" s="865"/>
      <c r="I257" s="865"/>
      <c r="J257" s="865" t="s">
        <v>129</v>
      </c>
      <c r="K257" s="865"/>
      <c r="L257" s="865"/>
      <c r="M257" s="865"/>
      <c r="N257" s="865"/>
      <c r="O257" s="865"/>
      <c r="P257" s="865"/>
    </row>
    <row r="258" spans="1:16" ht="27.2" customHeight="1" x14ac:dyDescent="0.25">
      <c r="A258" s="675"/>
      <c r="B258" s="865" t="s">
        <v>1038</v>
      </c>
      <c r="C258" s="865"/>
      <c r="D258" s="865"/>
      <c r="E258" s="865"/>
      <c r="F258" s="865" t="s">
        <v>2202</v>
      </c>
      <c r="G258" s="865"/>
      <c r="H258" s="865"/>
      <c r="I258" s="865"/>
      <c r="J258" s="865" t="s">
        <v>129</v>
      </c>
      <c r="K258" s="865"/>
      <c r="L258" s="865"/>
      <c r="M258" s="865"/>
      <c r="N258" s="865"/>
      <c r="O258" s="865"/>
      <c r="P258" s="865"/>
    </row>
    <row r="259" spans="1:16" x14ac:dyDescent="0.25">
      <c r="A259" s="675"/>
      <c r="B259" s="865" t="s">
        <v>1170</v>
      </c>
      <c r="C259" s="865"/>
      <c r="D259" s="865"/>
      <c r="E259" s="865"/>
      <c r="F259" s="865" t="s">
        <v>2201</v>
      </c>
      <c r="G259" s="865"/>
      <c r="H259" s="865"/>
      <c r="I259" s="865"/>
      <c r="J259" s="865" t="s">
        <v>129</v>
      </c>
      <c r="K259" s="865"/>
      <c r="L259" s="865"/>
      <c r="M259" s="865"/>
      <c r="N259" s="865"/>
      <c r="O259" s="865"/>
      <c r="P259" s="865"/>
    </row>
    <row r="260" spans="1:16" ht="149.65" customHeight="1" x14ac:dyDescent="0.25">
      <c r="A260" s="674" t="s">
        <v>1811</v>
      </c>
      <c r="B260" s="781" t="s">
        <v>1173</v>
      </c>
      <c r="C260" s="782"/>
      <c r="D260" s="782"/>
      <c r="E260" s="782"/>
      <c r="F260" s="782" t="s">
        <v>1174</v>
      </c>
      <c r="G260" s="782"/>
      <c r="H260" s="782"/>
      <c r="I260" s="782"/>
      <c r="J260" s="782" t="s">
        <v>2843</v>
      </c>
      <c r="K260" s="782"/>
      <c r="L260" s="782"/>
      <c r="M260" s="866">
        <f>ROUND((626300 + 25 * 7500) * 1 * 1.27 * 0.6 * 0.2 * 1.29563, 0)</f>
        <v>160688</v>
      </c>
      <c r="N260" s="782"/>
      <c r="O260" s="782" t="s">
        <v>1812</v>
      </c>
      <c r="P260" s="782"/>
    </row>
    <row r="261" spans="1:16" x14ac:dyDescent="0.25">
      <c r="A261" s="676"/>
      <c r="B261" s="864" t="s">
        <v>306</v>
      </c>
      <c r="C261" s="864"/>
      <c r="D261" s="864"/>
      <c r="E261" s="864"/>
      <c r="F261" s="864" t="s">
        <v>129</v>
      </c>
      <c r="G261" s="864"/>
      <c r="H261" s="864"/>
      <c r="I261" s="864"/>
      <c r="J261" s="864" t="s">
        <v>129</v>
      </c>
      <c r="K261" s="864"/>
      <c r="L261" s="864"/>
      <c r="M261" s="864"/>
      <c r="N261" s="864"/>
      <c r="O261" s="864"/>
      <c r="P261" s="864"/>
    </row>
    <row r="262" spans="1:16" x14ac:dyDescent="0.25">
      <c r="A262" s="675"/>
      <c r="B262" s="865" t="s">
        <v>507</v>
      </c>
      <c r="C262" s="865"/>
      <c r="D262" s="865"/>
      <c r="E262" s="865"/>
      <c r="F262" s="865" t="s">
        <v>508</v>
      </c>
      <c r="G262" s="865"/>
      <c r="H262" s="865"/>
      <c r="I262" s="865"/>
      <c r="J262" s="865" t="s">
        <v>129</v>
      </c>
      <c r="K262" s="865"/>
      <c r="L262" s="865"/>
      <c r="M262" s="865"/>
      <c r="N262" s="865"/>
      <c r="O262" s="865"/>
      <c r="P262" s="865"/>
    </row>
    <row r="263" spans="1:16" ht="40.9" customHeight="1" x14ac:dyDescent="0.25">
      <c r="A263" s="675"/>
      <c r="B263" s="865" t="s">
        <v>327</v>
      </c>
      <c r="C263" s="865"/>
      <c r="D263" s="865"/>
      <c r="E263" s="865"/>
      <c r="F263" s="865" t="s">
        <v>328</v>
      </c>
      <c r="G263" s="865"/>
      <c r="H263" s="865"/>
      <c r="I263" s="865"/>
      <c r="J263" s="865" t="s">
        <v>129</v>
      </c>
      <c r="K263" s="865"/>
      <c r="L263" s="865"/>
      <c r="M263" s="865"/>
      <c r="N263" s="865"/>
      <c r="O263" s="865"/>
      <c r="P263" s="865"/>
    </row>
    <row r="264" spans="1:16" ht="108.75" customHeight="1" x14ac:dyDescent="0.25">
      <c r="A264" s="675"/>
      <c r="B264" s="865" t="s">
        <v>2608</v>
      </c>
      <c r="C264" s="865"/>
      <c r="D264" s="865"/>
      <c r="E264" s="865"/>
      <c r="F264" s="865" t="s">
        <v>2618</v>
      </c>
      <c r="G264" s="865"/>
      <c r="H264" s="865"/>
      <c r="I264" s="865"/>
      <c r="J264" s="865" t="s">
        <v>129</v>
      </c>
      <c r="K264" s="865"/>
      <c r="L264" s="865"/>
      <c r="M264" s="865"/>
      <c r="N264" s="865"/>
      <c r="O264" s="865"/>
      <c r="P264" s="865"/>
    </row>
    <row r="265" spans="1:16" ht="149.65" customHeight="1" x14ac:dyDescent="0.25">
      <c r="A265" s="675"/>
      <c r="B265" s="865" t="s">
        <v>329</v>
      </c>
      <c r="C265" s="865"/>
      <c r="D265" s="865"/>
      <c r="E265" s="865"/>
      <c r="F265" s="865" t="s">
        <v>2842</v>
      </c>
      <c r="G265" s="865"/>
      <c r="H265" s="865"/>
      <c r="I265" s="865"/>
      <c r="J265" s="865" t="s">
        <v>129</v>
      </c>
      <c r="K265" s="865"/>
      <c r="L265" s="865"/>
      <c r="M265" s="865"/>
      <c r="N265" s="865"/>
      <c r="O265" s="865"/>
      <c r="P265" s="865"/>
    </row>
    <row r="266" spans="1:16" x14ac:dyDescent="0.25">
      <c r="A266" s="676"/>
      <c r="B266" s="864" t="s">
        <v>330</v>
      </c>
      <c r="C266" s="864"/>
      <c r="D266" s="864"/>
      <c r="E266" s="864"/>
      <c r="F266" s="864" t="s">
        <v>129</v>
      </c>
      <c r="G266" s="864"/>
      <c r="H266" s="864"/>
      <c r="I266" s="864"/>
      <c r="J266" s="864" t="s">
        <v>129</v>
      </c>
      <c r="K266" s="864"/>
      <c r="L266" s="864"/>
      <c r="M266" s="864"/>
      <c r="N266" s="864"/>
      <c r="O266" s="864"/>
      <c r="P266" s="864"/>
    </row>
    <row r="267" spans="1:16" x14ac:dyDescent="0.25">
      <c r="A267" s="675"/>
      <c r="B267" s="865" t="s">
        <v>1028</v>
      </c>
      <c r="C267" s="865"/>
      <c r="D267" s="865"/>
      <c r="E267" s="865"/>
      <c r="F267" s="865" t="s">
        <v>2841</v>
      </c>
      <c r="G267" s="865"/>
      <c r="H267" s="865"/>
      <c r="I267" s="865"/>
      <c r="J267" s="865" t="s">
        <v>129</v>
      </c>
      <c r="K267" s="865"/>
      <c r="L267" s="865"/>
      <c r="M267" s="865"/>
      <c r="N267" s="865"/>
      <c r="O267" s="865"/>
      <c r="P267" s="865"/>
    </row>
    <row r="268" spans="1:16" ht="27.2" customHeight="1" x14ac:dyDescent="0.25">
      <c r="A268" s="675"/>
      <c r="B268" s="865" t="s">
        <v>1423</v>
      </c>
      <c r="C268" s="865"/>
      <c r="D268" s="865"/>
      <c r="E268" s="865"/>
      <c r="F268" s="865" t="s">
        <v>2840</v>
      </c>
      <c r="G268" s="865"/>
      <c r="H268" s="865"/>
      <c r="I268" s="865"/>
      <c r="J268" s="865" t="s">
        <v>129</v>
      </c>
      <c r="K268" s="865"/>
      <c r="L268" s="865"/>
      <c r="M268" s="865"/>
      <c r="N268" s="865"/>
      <c r="O268" s="865"/>
      <c r="P268" s="865"/>
    </row>
    <row r="269" spans="1:16" x14ac:dyDescent="0.25">
      <c r="A269" s="675"/>
      <c r="B269" s="865" t="s">
        <v>1424</v>
      </c>
      <c r="C269" s="865"/>
      <c r="D269" s="865"/>
      <c r="E269" s="865"/>
      <c r="F269" s="865" t="s">
        <v>2839</v>
      </c>
      <c r="G269" s="865"/>
      <c r="H269" s="865"/>
      <c r="I269" s="865"/>
      <c r="J269" s="865" t="s">
        <v>129</v>
      </c>
      <c r="K269" s="865"/>
      <c r="L269" s="865"/>
      <c r="M269" s="865"/>
      <c r="N269" s="865"/>
      <c r="O269" s="865"/>
      <c r="P269" s="865"/>
    </row>
    <row r="270" spans="1:16" ht="54.4" customHeight="1" x14ac:dyDescent="0.25">
      <c r="A270" s="675"/>
      <c r="B270" s="865" t="s">
        <v>1444</v>
      </c>
      <c r="C270" s="865"/>
      <c r="D270" s="865"/>
      <c r="E270" s="865"/>
      <c r="F270" s="865" t="s">
        <v>2838</v>
      </c>
      <c r="G270" s="865"/>
      <c r="H270" s="865"/>
      <c r="I270" s="865"/>
      <c r="J270" s="865" t="s">
        <v>129</v>
      </c>
      <c r="K270" s="865"/>
      <c r="L270" s="865"/>
      <c r="M270" s="865"/>
      <c r="N270" s="865"/>
      <c r="O270" s="865"/>
      <c r="P270" s="865"/>
    </row>
    <row r="271" spans="1:16" x14ac:dyDescent="0.25">
      <c r="A271" s="675"/>
      <c r="B271" s="865" t="s">
        <v>1431</v>
      </c>
      <c r="C271" s="865"/>
      <c r="D271" s="865"/>
      <c r="E271" s="865"/>
      <c r="F271" s="865" t="s">
        <v>2837</v>
      </c>
      <c r="G271" s="865"/>
      <c r="H271" s="865"/>
      <c r="I271" s="865"/>
      <c r="J271" s="865" t="s">
        <v>129</v>
      </c>
      <c r="K271" s="865"/>
      <c r="L271" s="865"/>
      <c r="M271" s="865"/>
      <c r="N271" s="865"/>
      <c r="O271" s="865"/>
      <c r="P271" s="865"/>
    </row>
    <row r="272" spans="1:16" ht="54.4" customHeight="1" x14ac:dyDescent="0.25">
      <c r="A272" s="675"/>
      <c r="B272" s="865" t="s">
        <v>1475</v>
      </c>
      <c r="C272" s="865"/>
      <c r="D272" s="865"/>
      <c r="E272" s="865"/>
      <c r="F272" s="865" t="s">
        <v>2836</v>
      </c>
      <c r="G272" s="865"/>
      <c r="H272" s="865"/>
      <c r="I272" s="865"/>
      <c r="J272" s="865" t="s">
        <v>129</v>
      </c>
      <c r="K272" s="865"/>
      <c r="L272" s="865"/>
      <c r="M272" s="865"/>
      <c r="N272" s="865"/>
      <c r="O272" s="865"/>
      <c r="P272" s="865"/>
    </row>
    <row r="273" spans="1:16" ht="176.85" customHeight="1" x14ac:dyDescent="0.25">
      <c r="A273" s="674" t="s">
        <v>1813</v>
      </c>
      <c r="B273" s="781" t="s">
        <v>1814</v>
      </c>
      <c r="C273" s="782"/>
      <c r="D273" s="782"/>
      <c r="E273" s="782"/>
      <c r="F273" s="782" t="s">
        <v>1815</v>
      </c>
      <c r="G273" s="782"/>
      <c r="H273" s="782"/>
      <c r="I273" s="782"/>
      <c r="J273" s="782" t="s">
        <v>2835</v>
      </c>
      <c r="K273" s="782"/>
      <c r="L273" s="782"/>
      <c r="M273" s="866">
        <f>ROUND((344400 + 69600 * (0.4 * 1 + 0.6 * (1 / 2))) * 1 * 0.24 * 7.1 * 0.6 * 0.2 * 1.3, 0)</f>
        <v>104501</v>
      </c>
      <c r="N273" s="782"/>
      <c r="O273" s="782" t="s">
        <v>1816</v>
      </c>
      <c r="P273" s="782"/>
    </row>
    <row r="274" spans="1:16" x14ac:dyDescent="0.25">
      <c r="A274" s="676"/>
      <c r="B274" s="864" t="s">
        <v>306</v>
      </c>
      <c r="C274" s="864"/>
      <c r="D274" s="864"/>
      <c r="E274" s="864"/>
      <c r="F274" s="864" t="s">
        <v>129</v>
      </c>
      <c r="G274" s="864"/>
      <c r="H274" s="864"/>
      <c r="I274" s="864"/>
      <c r="J274" s="864" t="s">
        <v>129</v>
      </c>
      <c r="K274" s="864"/>
      <c r="L274" s="864"/>
      <c r="M274" s="864"/>
      <c r="N274" s="864"/>
      <c r="O274" s="864"/>
      <c r="P274" s="864"/>
    </row>
    <row r="275" spans="1:16" x14ac:dyDescent="0.25">
      <c r="A275" s="675"/>
      <c r="B275" s="865" t="s">
        <v>507</v>
      </c>
      <c r="C275" s="865"/>
      <c r="D275" s="865"/>
      <c r="E275" s="865"/>
      <c r="F275" s="865" t="s">
        <v>508</v>
      </c>
      <c r="G275" s="865"/>
      <c r="H275" s="865"/>
      <c r="I275" s="865"/>
      <c r="J275" s="865" t="s">
        <v>129</v>
      </c>
      <c r="K275" s="865"/>
      <c r="L275" s="865"/>
      <c r="M275" s="865"/>
      <c r="N275" s="865"/>
      <c r="O275" s="865"/>
      <c r="P275" s="865"/>
    </row>
    <row r="276" spans="1:16" ht="40.9" customHeight="1" x14ac:dyDescent="0.25">
      <c r="A276" s="675"/>
      <c r="B276" s="865" t="s">
        <v>360</v>
      </c>
      <c r="C276" s="865"/>
      <c r="D276" s="865"/>
      <c r="E276" s="865"/>
      <c r="F276" s="865" t="s">
        <v>361</v>
      </c>
      <c r="G276" s="865"/>
      <c r="H276" s="865"/>
      <c r="I276" s="865"/>
      <c r="J276" s="865" t="s">
        <v>129</v>
      </c>
      <c r="K276" s="865"/>
      <c r="L276" s="865"/>
      <c r="M276" s="865"/>
      <c r="N276" s="865"/>
      <c r="O276" s="865"/>
      <c r="P276" s="865"/>
    </row>
    <row r="277" spans="1:16" ht="95.25" customHeight="1" x14ac:dyDescent="0.25">
      <c r="A277" s="675"/>
      <c r="B277" s="865" t="s">
        <v>333</v>
      </c>
      <c r="C277" s="865"/>
      <c r="D277" s="865"/>
      <c r="E277" s="865"/>
      <c r="F277" s="865" t="s">
        <v>1817</v>
      </c>
      <c r="G277" s="865"/>
      <c r="H277" s="865"/>
      <c r="I277" s="865"/>
      <c r="J277" s="865" t="s">
        <v>129</v>
      </c>
      <c r="K277" s="865"/>
      <c r="L277" s="865"/>
      <c r="M277" s="865"/>
      <c r="N277" s="865"/>
      <c r="O277" s="865"/>
      <c r="P277" s="865"/>
    </row>
    <row r="278" spans="1:16" ht="108.75" customHeight="1" x14ac:dyDescent="0.25">
      <c r="A278" s="675"/>
      <c r="B278" s="865" t="s">
        <v>2608</v>
      </c>
      <c r="C278" s="865"/>
      <c r="D278" s="865"/>
      <c r="E278" s="865"/>
      <c r="F278" s="865" t="s">
        <v>2618</v>
      </c>
      <c r="G278" s="865"/>
      <c r="H278" s="865"/>
      <c r="I278" s="865"/>
      <c r="J278" s="865" t="s">
        <v>129</v>
      </c>
      <c r="K278" s="865"/>
      <c r="L278" s="865"/>
      <c r="M278" s="865"/>
      <c r="N278" s="865"/>
      <c r="O278" s="865"/>
      <c r="P278" s="865"/>
    </row>
    <row r="279" spans="1:16" ht="149.65" customHeight="1" x14ac:dyDescent="0.25">
      <c r="A279" s="675"/>
      <c r="B279" s="865" t="s">
        <v>329</v>
      </c>
      <c r="C279" s="865"/>
      <c r="D279" s="865"/>
      <c r="E279" s="865"/>
      <c r="F279" s="865" t="s">
        <v>2834</v>
      </c>
      <c r="G279" s="865"/>
      <c r="H279" s="865"/>
      <c r="I279" s="865"/>
      <c r="J279" s="865" t="s">
        <v>129</v>
      </c>
      <c r="K279" s="865"/>
      <c r="L279" s="865"/>
      <c r="M279" s="865"/>
      <c r="N279" s="865"/>
      <c r="O279" s="865"/>
      <c r="P279" s="865"/>
    </row>
    <row r="280" spans="1:16" x14ac:dyDescent="0.25">
      <c r="A280" s="676"/>
      <c r="B280" s="864" t="s">
        <v>330</v>
      </c>
      <c r="C280" s="864"/>
      <c r="D280" s="864"/>
      <c r="E280" s="864"/>
      <c r="F280" s="864" t="s">
        <v>129</v>
      </c>
      <c r="G280" s="864"/>
      <c r="H280" s="864"/>
      <c r="I280" s="864"/>
      <c r="J280" s="864" t="s">
        <v>129</v>
      </c>
      <c r="K280" s="864"/>
      <c r="L280" s="864"/>
      <c r="M280" s="864"/>
      <c r="N280" s="864"/>
      <c r="O280" s="864"/>
      <c r="P280" s="864"/>
    </row>
    <row r="281" spans="1:16" x14ac:dyDescent="0.25">
      <c r="A281" s="675"/>
      <c r="B281" s="865" t="s">
        <v>1818</v>
      </c>
      <c r="C281" s="865"/>
      <c r="D281" s="865"/>
      <c r="E281" s="865"/>
      <c r="F281" s="865" t="s">
        <v>2833</v>
      </c>
      <c r="G281" s="865"/>
      <c r="H281" s="865"/>
      <c r="I281" s="865"/>
      <c r="J281" s="865" t="s">
        <v>129</v>
      </c>
      <c r="K281" s="865"/>
      <c r="L281" s="865"/>
      <c r="M281" s="865"/>
      <c r="N281" s="865"/>
      <c r="O281" s="865"/>
      <c r="P281" s="865"/>
    </row>
    <row r="282" spans="1:16" ht="40.9" customHeight="1" x14ac:dyDescent="0.25">
      <c r="A282" s="675"/>
      <c r="B282" s="865" t="s">
        <v>1961</v>
      </c>
      <c r="C282" s="865"/>
      <c r="D282" s="865"/>
      <c r="E282" s="865"/>
      <c r="F282" s="865" t="s">
        <v>2831</v>
      </c>
      <c r="G282" s="865"/>
      <c r="H282" s="865"/>
      <c r="I282" s="865"/>
      <c r="J282" s="865" t="s">
        <v>129</v>
      </c>
      <c r="K282" s="865"/>
      <c r="L282" s="865"/>
      <c r="M282" s="865"/>
      <c r="N282" s="865"/>
      <c r="O282" s="865"/>
      <c r="P282" s="865"/>
    </row>
    <row r="283" spans="1:16" x14ac:dyDescent="0.25">
      <c r="A283" s="675"/>
      <c r="B283" s="865" t="s">
        <v>1962</v>
      </c>
      <c r="C283" s="865"/>
      <c r="D283" s="865"/>
      <c r="E283" s="865"/>
      <c r="F283" s="865" t="s">
        <v>2832</v>
      </c>
      <c r="G283" s="865"/>
      <c r="H283" s="865"/>
      <c r="I283" s="865"/>
      <c r="J283" s="865" t="s">
        <v>129</v>
      </c>
      <c r="K283" s="865"/>
      <c r="L283" s="865"/>
      <c r="M283" s="865"/>
      <c r="N283" s="865"/>
      <c r="O283" s="865"/>
      <c r="P283" s="865"/>
    </row>
    <row r="284" spans="1:16" x14ac:dyDescent="0.25">
      <c r="A284" s="675"/>
      <c r="B284" s="865" t="s">
        <v>1963</v>
      </c>
      <c r="C284" s="865"/>
      <c r="D284" s="865"/>
      <c r="E284" s="865"/>
      <c r="F284" s="865" t="s">
        <v>2831</v>
      </c>
      <c r="G284" s="865"/>
      <c r="H284" s="865"/>
      <c r="I284" s="865"/>
      <c r="J284" s="865" t="s">
        <v>129</v>
      </c>
      <c r="K284" s="865"/>
      <c r="L284" s="865"/>
      <c r="M284" s="865"/>
      <c r="N284" s="865"/>
      <c r="O284" s="865"/>
      <c r="P284" s="865"/>
    </row>
    <row r="285" spans="1:16" x14ac:dyDescent="0.25">
      <c r="A285" s="675"/>
      <c r="B285" s="865" t="s">
        <v>1964</v>
      </c>
      <c r="C285" s="865"/>
      <c r="D285" s="865"/>
      <c r="E285" s="865"/>
      <c r="F285" s="865" t="s">
        <v>2830</v>
      </c>
      <c r="G285" s="865"/>
      <c r="H285" s="865"/>
      <c r="I285" s="865"/>
      <c r="J285" s="865" t="s">
        <v>129</v>
      </c>
      <c r="K285" s="865"/>
      <c r="L285" s="865"/>
      <c r="M285" s="865"/>
      <c r="N285" s="865"/>
      <c r="O285" s="865"/>
      <c r="P285" s="865"/>
    </row>
    <row r="286" spans="1:16" x14ac:dyDescent="0.25">
      <c r="A286" s="675"/>
      <c r="B286" s="865" t="s">
        <v>1965</v>
      </c>
      <c r="C286" s="865"/>
      <c r="D286" s="865"/>
      <c r="E286" s="865"/>
      <c r="F286" s="865" t="s">
        <v>2829</v>
      </c>
      <c r="G286" s="865"/>
      <c r="H286" s="865"/>
      <c r="I286" s="865"/>
      <c r="J286" s="865" t="s">
        <v>129</v>
      </c>
      <c r="K286" s="865"/>
      <c r="L286" s="865"/>
      <c r="M286" s="865"/>
      <c r="N286" s="865"/>
      <c r="O286" s="865"/>
      <c r="P286" s="865"/>
    </row>
    <row r="287" spans="1:16" x14ac:dyDescent="0.25">
      <c r="A287" s="675"/>
      <c r="B287" s="865" t="s">
        <v>1966</v>
      </c>
      <c r="C287" s="865"/>
      <c r="D287" s="865"/>
      <c r="E287" s="865"/>
      <c r="F287" s="865" t="s">
        <v>2828</v>
      </c>
      <c r="G287" s="865"/>
      <c r="H287" s="865"/>
      <c r="I287" s="865"/>
      <c r="J287" s="865" t="s">
        <v>129</v>
      </c>
      <c r="K287" s="865"/>
      <c r="L287" s="865"/>
      <c r="M287" s="865"/>
      <c r="N287" s="865"/>
      <c r="O287" s="865"/>
      <c r="P287" s="865"/>
    </row>
    <row r="288" spans="1:16" ht="176.85" customHeight="1" x14ac:dyDescent="0.25">
      <c r="A288" s="674" t="s">
        <v>1826</v>
      </c>
      <c r="B288" s="781" t="s">
        <v>1827</v>
      </c>
      <c r="C288" s="782"/>
      <c r="D288" s="782"/>
      <c r="E288" s="782"/>
      <c r="F288" s="782" t="s">
        <v>1828</v>
      </c>
      <c r="G288" s="782"/>
      <c r="H288" s="782"/>
      <c r="I288" s="782"/>
      <c r="J288" s="782" t="s">
        <v>2827</v>
      </c>
      <c r="K288" s="782"/>
      <c r="L288" s="782"/>
      <c r="M288" s="866">
        <f>ROUND((473500 + 2666 * 200) * 1 * 1.68 * 0.6 * 0.9 * 0.2 * 1.28579, 0)</f>
        <v>234857</v>
      </c>
      <c r="N288" s="782"/>
      <c r="O288" s="782" t="s">
        <v>1829</v>
      </c>
      <c r="P288" s="782"/>
    </row>
    <row r="289" spans="1:16" x14ac:dyDescent="0.25">
      <c r="A289" s="676"/>
      <c r="B289" s="864" t="s">
        <v>306</v>
      </c>
      <c r="C289" s="864"/>
      <c r="D289" s="864"/>
      <c r="E289" s="864"/>
      <c r="F289" s="864" t="s">
        <v>129</v>
      </c>
      <c r="G289" s="864"/>
      <c r="H289" s="864"/>
      <c r="I289" s="864"/>
      <c r="J289" s="864" t="s">
        <v>129</v>
      </c>
      <c r="K289" s="864"/>
      <c r="L289" s="864"/>
      <c r="M289" s="864"/>
      <c r="N289" s="864"/>
      <c r="O289" s="864"/>
      <c r="P289" s="864"/>
    </row>
    <row r="290" spans="1:16" x14ac:dyDescent="0.25">
      <c r="A290" s="675"/>
      <c r="B290" s="865" t="s">
        <v>507</v>
      </c>
      <c r="C290" s="865"/>
      <c r="D290" s="865"/>
      <c r="E290" s="865"/>
      <c r="F290" s="865" t="s">
        <v>508</v>
      </c>
      <c r="G290" s="865"/>
      <c r="H290" s="865"/>
      <c r="I290" s="865"/>
      <c r="J290" s="865" t="s">
        <v>129</v>
      </c>
      <c r="K290" s="865"/>
      <c r="L290" s="865"/>
      <c r="M290" s="865"/>
      <c r="N290" s="865"/>
      <c r="O290" s="865"/>
      <c r="P290" s="865"/>
    </row>
    <row r="291" spans="1:16" ht="40.9" customHeight="1" x14ac:dyDescent="0.25">
      <c r="A291" s="675"/>
      <c r="B291" s="865" t="s">
        <v>331</v>
      </c>
      <c r="C291" s="865"/>
      <c r="D291" s="865"/>
      <c r="E291" s="865"/>
      <c r="F291" s="865" t="s">
        <v>332</v>
      </c>
      <c r="G291" s="865"/>
      <c r="H291" s="865"/>
      <c r="I291" s="865"/>
      <c r="J291" s="865" t="s">
        <v>129</v>
      </c>
      <c r="K291" s="865"/>
      <c r="L291" s="865"/>
      <c r="M291" s="865"/>
      <c r="N291" s="865"/>
      <c r="O291" s="865"/>
      <c r="P291" s="865"/>
    </row>
    <row r="292" spans="1:16" ht="108.75" customHeight="1" x14ac:dyDescent="0.25">
      <c r="A292" s="675"/>
      <c r="B292" s="865" t="s">
        <v>1809</v>
      </c>
      <c r="C292" s="865"/>
      <c r="D292" s="865"/>
      <c r="E292" s="865"/>
      <c r="F292" s="865" t="s">
        <v>1810</v>
      </c>
      <c r="G292" s="865"/>
      <c r="H292" s="865"/>
      <c r="I292" s="865"/>
      <c r="J292" s="865" t="s">
        <v>129</v>
      </c>
      <c r="K292" s="865"/>
      <c r="L292" s="865"/>
      <c r="M292" s="865"/>
      <c r="N292" s="865"/>
      <c r="O292" s="865"/>
      <c r="P292" s="865"/>
    </row>
    <row r="293" spans="1:16" ht="108.75" customHeight="1" x14ac:dyDescent="0.25">
      <c r="A293" s="675"/>
      <c r="B293" s="865" t="s">
        <v>2608</v>
      </c>
      <c r="C293" s="865"/>
      <c r="D293" s="865"/>
      <c r="E293" s="865"/>
      <c r="F293" s="865" t="s">
        <v>334</v>
      </c>
      <c r="G293" s="865"/>
      <c r="H293" s="865"/>
      <c r="I293" s="865"/>
      <c r="J293" s="865" t="s">
        <v>129</v>
      </c>
      <c r="K293" s="865"/>
      <c r="L293" s="865"/>
      <c r="M293" s="865"/>
      <c r="N293" s="865"/>
      <c r="O293" s="865"/>
      <c r="P293" s="865"/>
    </row>
    <row r="294" spans="1:16" ht="149.65" customHeight="1" x14ac:dyDescent="0.25">
      <c r="A294" s="675"/>
      <c r="B294" s="865" t="s">
        <v>329</v>
      </c>
      <c r="C294" s="865"/>
      <c r="D294" s="865"/>
      <c r="E294" s="865"/>
      <c r="F294" s="865" t="s">
        <v>2039</v>
      </c>
      <c r="G294" s="865"/>
      <c r="H294" s="865"/>
      <c r="I294" s="865"/>
      <c r="J294" s="865" t="s">
        <v>129</v>
      </c>
      <c r="K294" s="865"/>
      <c r="L294" s="865"/>
      <c r="M294" s="865"/>
      <c r="N294" s="865"/>
      <c r="O294" s="865"/>
      <c r="P294" s="865"/>
    </row>
    <row r="295" spans="1:16" x14ac:dyDescent="0.25">
      <c r="A295" s="676"/>
      <c r="B295" s="864" t="s">
        <v>330</v>
      </c>
      <c r="C295" s="864"/>
      <c r="D295" s="864"/>
      <c r="E295" s="864"/>
      <c r="F295" s="864" t="s">
        <v>129</v>
      </c>
      <c r="G295" s="864"/>
      <c r="H295" s="864"/>
      <c r="I295" s="864"/>
      <c r="J295" s="864" t="s">
        <v>129</v>
      </c>
      <c r="K295" s="864"/>
      <c r="L295" s="864"/>
      <c r="M295" s="864"/>
      <c r="N295" s="864"/>
      <c r="O295" s="864"/>
      <c r="P295" s="864"/>
    </row>
    <row r="296" spans="1:16" x14ac:dyDescent="0.25">
      <c r="A296" s="675"/>
      <c r="B296" s="865" t="s">
        <v>1028</v>
      </c>
      <c r="C296" s="865"/>
      <c r="D296" s="865"/>
      <c r="E296" s="865"/>
      <c r="F296" s="865" t="s">
        <v>2826</v>
      </c>
      <c r="G296" s="865"/>
      <c r="H296" s="865"/>
      <c r="I296" s="865"/>
      <c r="J296" s="865" t="s">
        <v>129</v>
      </c>
      <c r="K296" s="865"/>
      <c r="L296" s="865"/>
      <c r="M296" s="865"/>
      <c r="N296" s="865"/>
      <c r="O296" s="865"/>
      <c r="P296" s="865"/>
    </row>
    <row r="297" spans="1:16" ht="27.2" customHeight="1" x14ac:dyDescent="0.25">
      <c r="A297" s="675"/>
      <c r="B297" s="865" t="s">
        <v>1082</v>
      </c>
      <c r="C297" s="865"/>
      <c r="D297" s="865"/>
      <c r="E297" s="865"/>
      <c r="F297" s="865" t="s">
        <v>2825</v>
      </c>
      <c r="G297" s="865"/>
      <c r="H297" s="865"/>
      <c r="I297" s="865"/>
      <c r="J297" s="865" t="s">
        <v>129</v>
      </c>
      <c r="K297" s="865"/>
      <c r="L297" s="865"/>
      <c r="M297" s="865"/>
      <c r="N297" s="865"/>
      <c r="O297" s="865"/>
      <c r="P297" s="865"/>
    </row>
    <row r="298" spans="1:16" x14ac:dyDescent="0.25">
      <c r="A298" s="675"/>
      <c r="B298" s="865" t="s">
        <v>1083</v>
      </c>
      <c r="C298" s="865"/>
      <c r="D298" s="865"/>
      <c r="E298" s="865"/>
      <c r="F298" s="865" t="s">
        <v>2824</v>
      </c>
      <c r="G298" s="865"/>
      <c r="H298" s="865"/>
      <c r="I298" s="865"/>
      <c r="J298" s="865" t="s">
        <v>129</v>
      </c>
      <c r="K298" s="865"/>
      <c r="L298" s="865"/>
      <c r="M298" s="865"/>
      <c r="N298" s="865"/>
      <c r="O298" s="865"/>
      <c r="P298" s="865"/>
    </row>
    <row r="299" spans="1:16" ht="27.2" customHeight="1" x14ac:dyDescent="0.25">
      <c r="A299" s="675"/>
      <c r="B299" s="865" t="s">
        <v>1084</v>
      </c>
      <c r="C299" s="865"/>
      <c r="D299" s="865"/>
      <c r="E299" s="865"/>
      <c r="F299" s="865" t="s">
        <v>2823</v>
      </c>
      <c r="G299" s="865"/>
      <c r="H299" s="865"/>
      <c r="I299" s="865"/>
      <c r="J299" s="865" t="s">
        <v>129</v>
      </c>
      <c r="K299" s="865"/>
      <c r="L299" s="865"/>
      <c r="M299" s="865"/>
      <c r="N299" s="865"/>
      <c r="O299" s="865"/>
      <c r="P299" s="865"/>
    </row>
    <row r="300" spans="1:16" ht="81.599999999999994" customHeight="1" x14ac:dyDescent="0.25">
      <c r="A300" s="675"/>
      <c r="B300" s="865" t="s">
        <v>1085</v>
      </c>
      <c r="C300" s="865"/>
      <c r="D300" s="865"/>
      <c r="E300" s="865"/>
      <c r="F300" s="865" t="s">
        <v>2822</v>
      </c>
      <c r="G300" s="865"/>
      <c r="H300" s="865"/>
      <c r="I300" s="865"/>
      <c r="J300" s="865" t="s">
        <v>129</v>
      </c>
      <c r="K300" s="865"/>
      <c r="L300" s="865"/>
      <c r="M300" s="865"/>
      <c r="N300" s="865"/>
      <c r="O300" s="865"/>
      <c r="P300" s="865"/>
    </row>
    <row r="301" spans="1:16" ht="27.2" customHeight="1" x14ac:dyDescent="0.25">
      <c r="A301" s="675"/>
      <c r="B301" s="865" t="s">
        <v>1086</v>
      </c>
      <c r="C301" s="865"/>
      <c r="D301" s="865"/>
      <c r="E301" s="865"/>
      <c r="F301" s="865" t="s">
        <v>2821</v>
      </c>
      <c r="G301" s="865"/>
      <c r="H301" s="865"/>
      <c r="I301" s="865"/>
      <c r="J301" s="865" t="s">
        <v>129</v>
      </c>
      <c r="K301" s="865"/>
      <c r="L301" s="865"/>
      <c r="M301" s="865"/>
      <c r="N301" s="865"/>
      <c r="O301" s="865"/>
      <c r="P301" s="865"/>
    </row>
    <row r="302" spans="1:16" ht="27.2" customHeight="1" x14ac:dyDescent="0.25">
      <c r="A302" s="675"/>
      <c r="B302" s="865" t="s">
        <v>1087</v>
      </c>
      <c r="C302" s="865"/>
      <c r="D302" s="865"/>
      <c r="E302" s="865"/>
      <c r="F302" s="865" t="s">
        <v>2820</v>
      </c>
      <c r="G302" s="865"/>
      <c r="H302" s="865"/>
      <c r="I302" s="865"/>
      <c r="J302" s="865" t="s">
        <v>129</v>
      </c>
      <c r="K302" s="865"/>
      <c r="L302" s="865"/>
      <c r="M302" s="865"/>
      <c r="N302" s="865"/>
      <c r="O302" s="865"/>
      <c r="P302" s="865"/>
    </row>
    <row r="303" spans="1:16" ht="27.2" customHeight="1" x14ac:dyDescent="0.25">
      <c r="A303" s="675"/>
      <c r="B303" s="865" t="s">
        <v>1088</v>
      </c>
      <c r="C303" s="865"/>
      <c r="D303" s="865"/>
      <c r="E303" s="865"/>
      <c r="F303" s="865" t="s">
        <v>2820</v>
      </c>
      <c r="G303" s="865"/>
      <c r="H303" s="865"/>
      <c r="I303" s="865"/>
      <c r="J303" s="865" t="s">
        <v>129</v>
      </c>
      <c r="K303" s="865"/>
      <c r="L303" s="865"/>
      <c r="M303" s="865"/>
      <c r="N303" s="865"/>
      <c r="O303" s="865"/>
      <c r="P303" s="865"/>
    </row>
    <row r="304" spans="1:16" ht="27.2" customHeight="1" x14ac:dyDescent="0.25">
      <c r="A304" s="675"/>
      <c r="B304" s="865" t="s">
        <v>1089</v>
      </c>
      <c r="C304" s="865"/>
      <c r="D304" s="865"/>
      <c r="E304" s="865"/>
      <c r="F304" s="865" t="s">
        <v>2819</v>
      </c>
      <c r="G304" s="865"/>
      <c r="H304" s="865"/>
      <c r="I304" s="865"/>
      <c r="J304" s="865" t="s">
        <v>129</v>
      </c>
      <c r="K304" s="865"/>
      <c r="L304" s="865"/>
      <c r="M304" s="865"/>
      <c r="N304" s="865"/>
      <c r="O304" s="865"/>
      <c r="P304" s="865"/>
    </row>
    <row r="305" spans="1:16" ht="27.2" customHeight="1" x14ac:dyDescent="0.25">
      <c r="A305" s="675"/>
      <c r="B305" s="865" t="s">
        <v>1830</v>
      </c>
      <c r="C305" s="865"/>
      <c r="D305" s="865"/>
      <c r="E305" s="865"/>
      <c r="F305" s="865" t="s">
        <v>2818</v>
      </c>
      <c r="G305" s="865"/>
      <c r="H305" s="865"/>
      <c r="I305" s="865"/>
      <c r="J305" s="865" t="s">
        <v>129</v>
      </c>
      <c r="K305" s="865"/>
      <c r="L305" s="865"/>
      <c r="M305" s="865"/>
      <c r="N305" s="865"/>
      <c r="O305" s="865"/>
      <c r="P305" s="865"/>
    </row>
    <row r="306" spans="1:16" ht="27.2" customHeight="1" x14ac:dyDescent="0.25">
      <c r="A306" s="675"/>
      <c r="B306" s="865" t="s">
        <v>1038</v>
      </c>
      <c r="C306" s="865"/>
      <c r="D306" s="865"/>
      <c r="E306" s="865"/>
      <c r="F306" s="865" t="s">
        <v>2817</v>
      </c>
      <c r="G306" s="865"/>
      <c r="H306" s="865"/>
      <c r="I306" s="865"/>
      <c r="J306" s="865" t="s">
        <v>129</v>
      </c>
      <c r="K306" s="865"/>
      <c r="L306" s="865"/>
      <c r="M306" s="865"/>
      <c r="N306" s="865"/>
      <c r="O306" s="865"/>
      <c r="P306" s="865"/>
    </row>
    <row r="307" spans="1:16" x14ac:dyDescent="0.25">
      <c r="A307" s="675"/>
      <c r="B307" s="865" t="s">
        <v>1170</v>
      </c>
      <c r="C307" s="865"/>
      <c r="D307" s="865"/>
      <c r="E307" s="865"/>
      <c r="F307" s="865" t="s">
        <v>2816</v>
      </c>
      <c r="G307" s="865"/>
      <c r="H307" s="865"/>
      <c r="I307" s="865"/>
      <c r="J307" s="865" t="s">
        <v>129</v>
      </c>
      <c r="K307" s="865"/>
      <c r="L307" s="865"/>
      <c r="M307" s="865"/>
      <c r="N307" s="865"/>
      <c r="O307" s="865"/>
      <c r="P307" s="865"/>
    </row>
    <row r="308" spans="1:16" ht="176.85" customHeight="1" x14ac:dyDescent="0.25">
      <c r="A308" s="674" t="s">
        <v>1831</v>
      </c>
      <c r="B308" s="781" t="s">
        <v>1832</v>
      </c>
      <c r="C308" s="782"/>
      <c r="D308" s="782"/>
      <c r="E308" s="782"/>
      <c r="F308" s="782" t="s">
        <v>1833</v>
      </c>
      <c r="G308" s="782"/>
      <c r="H308" s="782"/>
      <c r="I308" s="782"/>
      <c r="J308" s="782" t="s">
        <v>1967</v>
      </c>
      <c r="K308" s="782"/>
      <c r="L308" s="782"/>
      <c r="M308" s="866">
        <f>ROUND((36600 + 580610 * 0.2) * 1 * 1.27 * 0.6 * 1.2 * 1.3, 0)</f>
        <v>181544</v>
      </c>
      <c r="N308" s="782"/>
      <c r="O308" s="782" t="s">
        <v>1834</v>
      </c>
      <c r="P308" s="782"/>
    </row>
    <row r="309" spans="1:16" x14ac:dyDescent="0.25">
      <c r="A309" s="676"/>
      <c r="B309" s="864" t="s">
        <v>306</v>
      </c>
      <c r="C309" s="864"/>
      <c r="D309" s="864"/>
      <c r="E309" s="864"/>
      <c r="F309" s="864" t="s">
        <v>129</v>
      </c>
      <c r="G309" s="864"/>
      <c r="H309" s="864"/>
      <c r="I309" s="864"/>
      <c r="J309" s="864" t="s">
        <v>129</v>
      </c>
      <c r="K309" s="864"/>
      <c r="L309" s="864"/>
      <c r="M309" s="864"/>
      <c r="N309" s="864"/>
      <c r="O309" s="864"/>
      <c r="P309" s="864"/>
    </row>
    <row r="310" spans="1:16" x14ac:dyDescent="0.25">
      <c r="A310" s="675"/>
      <c r="B310" s="865" t="s">
        <v>507</v>
      </c>
      <c r="C310" s="865"/>
      <c r="D310" s="865"/>
      <c r="E310" s="865"/>
      <c r="F310" s="865" t="s">
        <v>508</v>
      </c>
      <c r="G310" s="865"/>
      <c r="H310" s="865"/>
      <c r="I310" s="865"/>
      <c r="J310" s="865" t="s">
        <v>129</v>
      </c>
      <c r="K310" s="865"/>
      <c r="L310" s="865"/>
      <c r="M310" s="865"/>
      <c r="N310" s="865"/>
      <c r="O310" s="865"/>
      <c r="P310" s="865"/>
    </row>
    <row r="311" spans="1:16" ht="40.9" customHeight="1" x14ac:dyDescent="0.25">
      <c r="A311" s="675"/>
      <c r="B311" s="865" t="s">
        <v>327</v>
      </c>
      <c r="C311" s="865"/>
      <c r="D311" s="865"/>
      <c r="E311" s="865"/>
      <c r="F311" s="865" t="s">
        <v>328</v>
      </c>
      <c r="G311" s="865"/>
      <c r="H311" s="865"/>
      <c r="I311" s="865"/>
      <c r="J311" s="865" t="s">
        <v>129</v>
      </c>
      <c r="K311" s="865"/>
      <c r="L311" s="865"/>
      <c r="M311" s="865"/>
      <c r="N311" s="865"/>
      <c r="O311" s="865"/>
      <c r="P311" s="865"/>
    </row>
    <row r="312" spans="1:16" ht="135.94999999999999" customHeight="1" x14ac:dyDescent="0.25">
      <c r="A312" s="675"/>
      <c r="B312" s="865" t="s">
        <v>1835</v>
      </c>
      <c r="C312" s="865"/>
      <c r="D312" s="865"/>
      <c r="E312" s="865"/>
      <c r="F312" s="865" t="s">
        <v>1836</v>
      </c>
      <c r="G312" s="865"/>
      <c r="H312" s="865"/>
      <c r="I312" s="865"/>
      <c r="J312" s="865" t="s">
        <v>129</v>
      </c>
      <c r="K312" s="865"/>
      <c r="L312" s="865"/>
      <c r="M312" s="865"/>
      <c r="N312" s="865"/>
      <c r="O312" s="865"/>
      <c r="P312" s="865"/>
    </row>
    <row r="313" spans="1:16" ht="149.65" customHeight="1" x14ac:dyDescent="0.25">
      <c r="A313" s="675"/>
      <c r="B313" s="865" t="s">
        <v>329</v>
      </c>
      <c r="C313" s="865"/>
      <c r="D313" s="865"/>
      <c r="E313" s="865"/>
      <c r="F313" s="865" t="s">
        <v>1968</v>
      </c>
      <c r="G313" s="865"/>
      <c r="H313" s="865"/>
      <c r="I313" s="865"/>
      <c r="J313" s="865" t="s">
        <v>129</v>
      </c>
      <c r="K313" s="865"/>
      <c r="L313" s="865"/>
      <c r="M313" s="865"/>
      <c r="N313" s="865"/>
      <c r="O313" s="865"/>
      <c r="P313" s="865"/>
    </row>
    <row r="314" spans="1:16" x14ac:dyDescent="0.25">
      <c r="A314" s="676"/>
      <c r="B314" s="864" t="s">
        <v>330</v>
      </c>
      <c r="C314" s="864"/>
      <c r="D314" s="864"/>
      <c r="E314" s="864"/>
      <c r="F314" s="864" t="s">
        <v>129</v>
      </c>
      <c r="G314" s="864"/>
      <c r="H314" s="864"/>
      <c r="I314" s="864"/>
      <c r="J314" s="864" t="s">
        <v>129</v>
      </c>
      <c r="K314" s="864"/>
      <c r="L314" s="864"/>
      <c r="M314" s="864"/>
      <c r="N314" s="864"/>
      <c r="O314" s="864"/>
      <c r="P314" s="864"/>
    </row>
    <row r="315" spans="1:16" ht="27.2" customHeight="1" x14ac:dyDescent="0.25">
      <c r="A315" s="675"/>
      <c r="B315" s="865" t="s">
        <v>1419</v>
      </c>
      <c r="C315" s="865"/>
      <c r="D315" s="865"/>
      <c r="E315" s="865"/>
      <c r="F315" s="865" t="s">
        <v>1969</v>
      </c>
      <c r="G315" s="865"/>
      <c r="H315" s="865"/>
      <c r="I315" s="865"/>
      <c r="J315" s="865" t="s">
        <v>129</v>
      </c>
      <c r="K315" s="865"/>
      <c r="L315" s="865"/>
      <c r="M315" s="865"/>
      <c r="N315" s="865"/>
      <c r="O315" s="865"/>
      <c r="P315" s="865"/>
    </row>
    <row r="316" spans="1:16" ht="27.2" customHeight="1" x14ac:dyDescent="0.25">
      <c r="A316" s="675"/>
      <c r="B316" s="865" t="s">
        <v>1423</v>
      </c>
      <c r="C316" s="865"/>
      <c r="D316" s="865"/>
      <c r="E316" s="865"/>
      <c r="F316" s="865" t="s">
        <v>1970</v>
      </c>
      <c r="G316" s="865"/>
      <c r="H316" s="865"/>
      <c r="I316" s="865"/>
      <c r="J316" s="865" t="s">
        <v>129</v>
      </c>
      <c r="K316" s="865"/>
      <c r="L316" s="865"/>
      <c r="M316" s="865"/>
      <c r="N316" s="865"/>
      <c r="O316" s="865"/>
      <c r="P316" s="865"/>
    </row>
    <row r="317" spans="1:16" x14ac:dyDescent="0.25">
      <c r="A317" s="675"/>
      <c r="B317" s="865" t="s">
        <v>1424</v>
      </c>
      <c r="C317" s="865"/>
      <c r="D317" s="865"/>
      <c r="E317" s="865"/>
      <c r="F317" s="865" t="s">
        <v>1971</v>
      </c>
      <c r="G317" s="865"/>
      <c r="H317" s="865"/>
      <c r="I317" s="865"/>
      <c r="J317" s="865" t="s">
        <v>129</v>
      </c>
      <c r="K317" s="865"/>
      <c r="L317" s="865"/>
      <c r="M317" s="865"/>
      <c r="N317" s="865"/>
      <c r="O317" s="865"/>
      <c r="P317" s="865"/>
    </row>
    <row r="318" spans="1:16" ht="54.4" customHeight="1" x14ac:dyDescent="0.25">
      <c r="A318" s="675"/>
      <c r="B318" s="865" t="s">
        <v>1444</v>
      </c>
      <c r="C318" s="865"/>
      <c r="D318" s="865"/>
      <c r="E318" s="865"/>
      <c r="F318" s="865" t="s">
        <v>1972</v>
      </c>
      <c r="G318" s="865"/>
      <c r="H318" s="865"/>
      <c r="I318" s="865"/>
      <c r="J318" s="865" t="s">
        <v>129</v>
      </c>
      <c r="K318" s="865"/>
      <c r="L318" s="865"/>
      <c r="M318" s="865"/>
      <c r="N318" s="865"/>
      <c r="O318" s="865"/>
      <c r="P318" s="865"/>
    </row>
    <row r="319" spans="1:16" ht="27.2" customHeight="1" x14ac:dyDescent="0.25">
      <c r="A319" s="675"/>
      <c r="B319" s="865" t="s">
        <v>1228</v>
      </c>
      <c r="C319" s="865"/>
      <c r="D319" s="865"/>
      <c r="E319" s="865"/>
      <c r="F319" s="865" t="s">
        <v>1973</v>
      </c>
      <c r="G319" s="865"/>
      <c r="H319" s="865"/>
      <c r="I319" s="865"/>
      <c r="J319" s="865" t="s">
        <v>129</v>
      </c>
      <c r="K319" s="865"/>
      <c r="L319" s="865"/>
      <c r="M319" s="865"/>
      <c r="N319" s="865"/>
      <c r="O319" s="865"/>
      <c r="P319" s="865"/>
    </row>
    <row r="320" spans="1:16" ht="27.2" customHeight="1" x14ac:dyDescent="0.25">
      <c r="A320" s="675"/>
      <c r="B320" s="865" t="s">
        <v>1445</v>
      </c>
      <c r="C320" s="865"/>
      <c r="D320" s="865"/>
      <c r="E320" s="865"/>
      <c r="F320" s="865" t="s">
        <v>1974</v>
      </c>
      <c r="G320" s="865"/>
      <c r="H320" s="865"/>
      <c r="I320" s="865"/>
      <c r="J320" s="865" t="s">
        <v>129</v>
      </c>
      <c r="K320" s="865"/>
      <c r="L320" s="865"/>
      <c r="M320" s="865"/>
      <c r="N320" s="865"/>
      <c r="O320" s="865"/>
      <c r="P320" s="865"/>
    </row>
    <row r="321" spans="1:16" ht="40.9" customHeight="1" x14ac:dyDescent="0.25">
      <c r="A321" s="675"/>
      <c r="B321" s="865" t="s">
        <v>1975</v>
      </c>
      <c r="C321" s="865"/>
      <c r="D321" s="865"/>
      <c r="E321" s="865"/>
      <c r="F321" s="865" t="s">
        <v>1973</v>
      </c>
      <c r="G321" s="865"/>
      <c r="H321" s="865"/>
      <c r="I321" s="865"/>
      <c r="J321" s="865" t="s">
        <v>129</v>
      </c>
      <c r="K321" s="865"/>
      <c r="L321" s="865"/>
      <c r="M321" s="865"/>
      <c r="N321" s="865"/>
      <c r="O321" s="865"/>
      <c r="P321" s="865"/>
    </row>
    <row r="322" spans="1:16" x14ac:dyDescent="0.25">
      <c r="A322" s="675"/>
      <c r="B322" s="865" t="s">
        <v>1431</v>
      </c>
      <c r="C322" s="865"/>
      <c r="D322" s="865"/>
      <c r="E322" s="865"/>
      <c r="F322" s="865" t="s">
        <v>1976</v>
      </c>
      <c r="G322" s="865"/>
      <c r="H322" s="865"/>
      <c r="I322" s="865"/>
      <c r="J322" s="865" t="s">
        <v>129</v>
      </c>
      <c r="K322" s="865"/>
      <c r="L322" s="865"/>
      <c r="M322" s="865"/>
      <c r="N322" s="865"/>
      <c r="O322" s="865"/>
      <c r="P322" s="865"/>
    </row>
    <row r="323" spans="1:16" ht="54.4" customHeight="1" x14ac:dyDescent="0.25">
      <c r="A323" s="675"/>
      <c r="B323" s="865" t="s">
        <v>1056</v>
      </c>
      <c r="C323" s="865"/>
      <c r="D323" s="865"/>
      <c r="E323" s="865"/>
      <c r="F323" s="865" t="s">
        <v>1977</v>
      </c>
      <c r="G323" s="865"/>
      <c r="H323" s="865"/>
      <c r="I323" s="865"/>
      <c r="J323" s="865" t="s">
        <v>129</v>
      </c>
      <c r="K323" s="865"/>
      <c r="L323" s="865"/>
      <c r="M323" s="865"/>
      <c r="N323" s="865"/>
      <c r="O323" s="865"/>
      <c r="P323" s="865"/>
    </row>
    <row r="324" spans="1:16" ht="135.94999999999999" customHeight="1" x14ac:dyDescent="0.25">
      <c r="A324" s="674" t="s">
        <v>1841</v>
      </c>
      <c r="B324" s="781" t="s">
        <v>2135</v>
      </c>
      <c r="C324" s="782"/>
      <c r="D324" s="782"/>
      <c r="E324" s="782"/>
      <c r="F324" s="782" t="s">
        <v>2134</v>
      </c>
      <c r="G324" s="782"/>
      <c r="H324" s="782"/>
      <c r="I324" s="782"/>
      <c r="J324" s="782" t="s">
        <v>2192</v>
      </c>
      <c r="K324" s="782"/>
      <c r="L324" s="782"/>
      <c r="M324" s="866">
        <f>ROUND((62100 + 13486 * 4) * 1 * 1.15 * 0.6 * 1.28214, 0)</f>
        <v>102661</v>
      </c>
      <c r="N324" s="782"/>
      <c r="O324" s="782" t="s">
        <v>2155</v>
      </c>
      <c r="P324" s="782"/>
    </row>
    <row r="325" spans="1:16" x14ac:dyDescent="0.25">
      <c r="A325" s="676"/>
      <c r="B325" s="864" t="s">
        <v>306</v>
      </c>
      <c r="C325" s="864"/>
      <c r="D325" s="864"/>
      <c r="E325" s="864"/>
      <c r="F325" s="864" t="s">
        <v>129</v>
      </c>
      <c r="G325" s="864"/>
      <c r="H325" s="864"/>
      <c r="I325" s="864"/>
      <c r="J325" s="864" t="s">
        <v>129</v>
      </c>
      <c r="K325" s="864"/>
      <c r="L325" s="864"/>
      <c r="M325" s="864"/>
      <c r="N325" s="864"/>
      <c r="O325" s="864"/>
      <c r="P325" s="864"/>
    </row>
    <row r="326" spans="1:16" x14ac:dyDescent="0.25">
      <c r="A326" s="675"/>
      <c r="B326" s="865" t="s">
        <v>507</v>
      </c>
      <c r="C326" s="865"/>
      <c r="D326" s="865"/>
      <c r="E326" s="865"/>
      <c r="F326" s="865" t="s">
        <v>508</v>
      </c>
      <c r="G326" s="865"/>
      <c r="H326" s="865"/>
      <c r="I326" s="865"/>
      <c r="J326" s="865" t="s">
        <v>129</v>
      </c>
      <c r="K326" s="865"/>
      <c r="L326" s="865"/>
      <c r="M326" s="865"/>
      <c r="N326" s="865"/>
      <c r="O326" s="865"/>
      <c r="P326" s="865"/>
    </row>
    <row r="327" spans="1:16" ht="40.9" customHeight="1" x14ac:dyDescent="0.25">
      <c r="A327" s="675"/>
      <c r="B327" s="865" t="s">
        <v>1265</v>
      </c>
      <c r="C327" s="865"/>
      <c r="D327" s="865"/>
      <c r="E327" s="865"/>
      <c r="F327" s="865" t="s">
        <v>1266</v>
      </c>
      <c r="G327" s="865"/>
      <c r="H327" s="865"/>
      <c r="I327" s="865"/>
      <c r="J327" s="865" t="s">
        <v>129</v>
      </c>
      <c r="K327" s="865"/>
      <c r="L327" s="865"/>
      <c r="M327" s="865"/>
      <c r="N327" s="865"/>
      <c r="O327" s="865"/>
      <c r="P327" s="865"/>
    </row>
    <row r="328" spans="1:16" ht="149.65" customHeight="1" x14ac:dyDescent="0.25">
      <c r="A328" s="675"/>
      <c r="B328" s="865" t="s">
        <v>329</v>
      </c>
      <c r="C328" s="865"/>
      <c r="D328" s="865"/>
      <c r="E328" s="865"/>
      <c r="F328" s="865" t="s">
        <v>2191</v>
      </c>
      <c r="G328" s="865"/>
      <c r="H328" s="865"/>
      <c r="I328" s="865"/>
      <c r="J328" s="865" t="s">
        <v>129</v>
      </c>
      <c r="K328" s="865"/>
      <c r="L328" s="865"/>
      <c r="M328" s="865"/>
      <c r="N328" s="865"/>
      <c r="O328" s="865"/>
      <c r="P328" s="865"/>
    </row>
    <row r="329" spans="1:16" x14ac:dyDescent="0.25">
      <c r="A329" s="676"/>
      <c r="B329" s="864" t="s">
        <v>330</v>
      </c>
      <c r="C329" s="864"/>
      <c r="D329" s="864"/>
      <c r="E329" s="864"/>
      <c r="F329" s="864" t="s">
        <v>129</v>
      </c>
      <c r="G329" s="864"/>
      <c r="H329" s="864"/>
      <c r="I329" s="864"/>
      <c r="J329" s="864" t="s">
        <v>129</v>
      </c>
      <c r="K329" s="864"/>
      <c r="L329" s="864"/>
      <c r="M329" s="864"/>
      <c r="N329" s="864"/>
      <c r="O329" s="864"/>
      <c r="P329" s="864"/>
    </row>
    <row r="330" spans="1:16" x14ac:dyDescent="0.25">
      <c r="A330" s="675"/>
      <c r="B330" s="865" t="s">
        <v>1028</v>
      </c>
      <c r="C330" s="865"/>
      <c r="D330" s="865"/>
      <c r="E330" s="865"/>
      <c r="F330" s="865" t="s">
        <v>2190</v>
      </c>
      <c r="G330" s="865"/>
      <c r="H330" s="865"/>
      <c r="I330" s="865"/>
      <c r="J330" s="865" t="s">
        <v>129</v>
      </c>
      <c r="K330" s="865"/>
      <c r="L330" s="865"/>
      <c r="M330" s="865"/>
      <c r="N330" s="865"/>
      <c r="O330" s="865"/>
      <c r="P330" s="865"/>
    </row>
    <row r="331" spans="1:16" x14ac:dyDescent="0.25">
      <c r="A331" s="675"/>
      <c r="B331" s="865" t="s">
        <v>1403</v>
      </c>
      <c r="C331" s="865"/>
      <c r="D331" s="865"/>
      <c r="E331" s="865"/>
      <c r="F331" s="865" t="s">
        <v>2189</v>
      </c>
      <c r="G331" s="865"/>
      <c r="H331" s="865"/>
      <c r="I331" s="865"/>
      <c r="J331" s="865" t="s">
        <v>129</v>
      </c>
      <c r="K331" s="865"/>
      <c r="L331" s="865"/>
      <c r="M331" s="865"/>
      <c r="N331" s="865"/>
      <c r="O331" s="865"/>
      <c r="P331" s="865"/>
    </row>
    <row r="332" spans="1:16" x14ac:dyDescent="0.25">
      <c r="A332" s="675"/>
      <c r="B332" s="865" t="s">
        <v>1480</v>
      </c>
      <c r="C332" s="865"/>
      <c r="D332" s="865"/>
      <c r="E332" s="865"/>
      <c r="F332" s="865" t="s">
        <v>2188</v>
      </c>
      <c r="G332" s="865"/>
      <c r="H332" s="865"/>
      <c r="I332" s="865"/>
      <c r="J332" s="865" t="s">
        <v>129</v>
      </c>
      <c r="K332" s="865"/>
      <c r="L332" s="865"/>
      <c r="M332" s="865"/>
      <c r="N332" s="865"/>
      <c r="O332" s="865"/>
      <c r="P332" s="865"/>
    </row>
    <row r="333" spans="1:16" ht="40.9" customHeight="1" x14ac:dyDescent="0.25">
      <c r="A333" s="673" t="s">
        <v>1842</v>
      </c>
      <c r="B333" s="780" t="s">
        <v>1145</v>
      </c>
      <c r="C333" s="780"/>
      <c r="D333" s="780"/>
      <c r="E333" s="780"/>
      <c r="F333" s="780"/>
      <c r="G333" s="780"/>
      <c r="H333" s="780"/>
      <c r="I333" s="780"/>
      <c r="J333" s="780" t="s">
        <v>129</v>
      </c>
      <c r="K333" s="780"/>
      <c r="L333" s="780"/>
      <c r="M333" s="791">
        <f>ROUND(SUM($M$19:$M$324),0)</f>
        <v>7730616</v>
      </c>
      <c r="N333" s="780"/>
      <c r="O333" s="780"/>
      <c r="P333" s="780"/>
    </row>
    <row r="334" spans="1:16" ht="40.9" customHeight="1" x14ac:dyDescent="0.25">
      <c r="A334" s="673" t="s">
        <v>2154</v>
      </c>
      <c r="B334" s="780" t="s">
        <v>1146</v>
      </c>
      <c r="C334" s="780"/>
      <c r="D334" s="780"/>
      <c r="E334" s="780"/>
      <c r="F334" s="780"/>
      <c r="G334" s="780"/>
      <c r="H334" s="780"/>
      <c r="I334" s="780"/>
      <c r="J334" s="780" t="s">
        <v>129</v>
      </c>
      <c r="K334" s="780"/>
      <c r="L334" s="780"/>
      <c r="M334" s="791">
        <f>ROUND(($M$333),0)</f>
        <v>7730616</v>
      </c>
      <c r="N334" s="780"/>
      <c r="O334" s="780"/>
      <c r="P334" s="780"/>
    </row>
    <row r="335" spans="1:16" ht="54.4" customHeight="1" x14ac:dyDescent="0.25">
      <c r="A335" s="673" t="s">
        <v>137</v>
      </c>
      <c r="B335" s="780" t="s">
        <v>339</v>
      </c>
      <c r="C335" s="780"/>
      <c r="D335" s="780"/>
      <c r="E335" s="780"/>
      <c r="F335" s="780" t="s">
        <v>1147</v>
      </c>
      <c r="G335" s="780"/>
      <c r="H335" s="780"/>
      <c r="I335" s="780"/>
      <c r="J335" s="780"/>
      <c r="K335" s="780"/>
      <c r="L335" s="780"/>
      <c r="M335" s="780"/>
      <c r="N335" s="780"/>
      <c r="O335" s="780"/>
      <c r="P335" s="780"/>
    </row>
    <row r="336" spans="1:16" ht="190.35" customHeight="1" x14ac:dyDescent="0.25">
      <c r="A336" s="674" t="s">
        <v>9</v>
      </c>
      <c r="B336" s="781" t="s">
        <v>1148</v>
      </c>
      <c r="C336" s="782"/>
      <c r="D336" s="782"/>
      <c r="E336" s="782"/>
      <c r="F336" s="782" t="s">
        <v>1149</v>
      </c>
      <c r="G336" s="782"/>
      <c r="H336" s="782"/>
      <c r="I336" s="782"/>
      <c r="J336" s="782" t="s">
        <v>1978</v>
      </c>
      <c r="K336" s="782"/>
      <c r="L336" s="782"/>
      <c r="M336" s="866">
        <f>ROUND((126400 + 235 * (0.4 * 1000 + 0.6 * (1000 / 2))) * 1 * 0.2 * 1.38 * 0.6 * 1.3, 0)</f>
        <v>62625</v>
      </c>
      <c r="N336" s="782"/>
      <c r="O336" s="782" t="s">
        <v>1843</v>
      </c>
      <c r="P336" s="782"/>
    </row>
    <row r="337" spans="1:16" x14ac:dyDescent="0.25">
      <c r="A337" s="676"/>
      <c r="B337" s="864" t="s">
        <v>306</v>
      </c>
      <c r="C337" s="864"/>
      <c r="D337" s="864"/>
      <c r="E337" s="864"/>
      <c r="F337" s="864" t="s">
        <v>129</v>
      </c>
      <c r="G337" s="864"/>
      <c r="H337" s="864"/>
      <c r="I337" s="864"/>
      <c r="J337" s="864" t="s">
        <v>129</v>
      </c>
      <c r="K337" s="864"/>
      <c r="L337" s="864"/>
      <c r="M337" s="864"/>
      <c r="N337" s="864"/>
      <c r="O337" s="864"/>
      <c r="P337" s="864"/>
    </row>
    <row r="338" spans="1:16" x14ac:dyDescent="0.25">
      <c r="A338" s="675"/>
      <c r="B338" s="865" t="s">
        <v>507</v>
      </c>
      <c r="C338" s="865"/>
      <c r="D338" s="865"/>
      <c r="E338" s="865"/>
      <c r="F338" s="865" t="s">
        <v>508</v>
      </c>
      <c r="G338" s="865"/>
      <c r="H338" s="865"/>
      <c r="I338" s="865"/>
      <c r="J338" s="865" t="s">
        <v>129</v>
      </c>
      <c r="K338" s="865"/>
      <c r="L338" s="865"/>
      <c r="M338" s="865"/>
      <c r="N338" s="865"/>
      <c r="O338" s="865"/>
      <c r="P338" s="865"/>
    </row>
    <row r="339" spans="1:16" ht="40.9" customHeight="1" x14ac:dyDescent="0.25">
      <c r="A339" s="675"/>
      <c r="B339" s="865" t="s">
        <v>1151</v>
      </c>
      <c r="C339" s="865"/>
      <c r="D339" s="865"/>
      <c r="E339" s="865"/>
      <c r="F339" s="865" t="s">
        <v>1152</v>
      </c>
      <c r="G339" s="865"/>
      <c r="H339" s="865"/>
      <c r="I339" s="865"/>
      <c r="J339" s="865" t="s">
        <v>129</v>
      </c>
      <c r="K339" s="865"/>
      <c r="L339" s="865"/>
      <c r="M339" s="865"/>
      <c r="N339" s="865"/>
      <c r="O339" s="865"/>
      <c r="P339" s="865"/>
    </row>
    <row r="340" spans="1:16" ht="95.25" customHeight="1" x14ac:dyDescent="0.25">
      <c r="A340" s="675"/>
      <c r="B340" s="865" t="s">
        <v>333</v>
      </c>
      <c r="C340" s="865"/>
      <c r="D340" s="865"/>
      <c r="E340" s="865"/>
      <c r="F340" s="865" t="s">
        <v>1153</v>
      </c>
      <c r="G340" s="865"/>
      <c r="H340" s="865"/>
      <c r="I340" s="865"/>
      <c r="J340" s="865" t="s">
        <v>129</v>
      </c>
      <c r="K340" s="865"/>
      <c r="L340" s="865"/>
      <c r="M340" s="865"/>
      <c r="N340" s="865"/>
      <c r="O340" s="865"/>
      <c r="P340" s="865"/>
    </row>
    <row r="341" spans="1:16" ht="149.65" customHeight="1" x14ac:dyDescent="0.25">
      <c r="A341" s="675"/>
      <c r="B341" s="865" t="s">
        <v>329</v>
      </c>
      <c r="C341" s="865"/>
      <c r="D341" s="865"/>
      <c r="E341" s="865"/>
      <c r="F341" s="865" t="s">
        <v>1791</v>
      </c>
      <c r="G341" s="865"/>
      <c r="H341" s="865"/>
      <c r="I341" s="865"/>
      <c r="J341" s="865" t="s">
        <v>129</v>
      </c>
      <c r="K341" s="865"/>
      <c r="L341" s="865"/>
      <c r="M341" s="865"/>
      <c r="N341" s="865"/>
      <c r="O341" s="865"/>
      <c r="P341" s="865"/>
    </row>
    <row r="342" spans="1:16" x14ac:dyDescent="0.25">
      <c r="A342" s="676"/>
      <c r="B342" s="864" t="s">
        <v>330</v>
      </c>
      <c r="C342" s="864"/>
      <c r="D342" s="864"/>
      <c r="E342" s="864"/>
      <c r="F342" s="864" t="s">
        <v>129</v>
      </c>
      <c r="G342" s="864"/>
      <c r="H342" s="864"/>
      <c r="I342" s="864"/>
      <c r="J342" s="864" t="s">
        <v>129</v>
      </c>
      <c r="K342" s="864"/>
      <c r="L342" s="864"/>
      <c r="M342" s="864"/>
      <c r="N342" s="864"/>
      <c r="O342" s="864"/>
      <c r="P342" s="864"/>
    </row>
    <row r="343" spans="1:16" x14ac:dyDescent="0.25">
      <c r="A343" s="675"/>
      <c r="B343" s="865" t="s">
        <v>1462</v>
      </c>
      <c r="C343" s="865"/>
      <c r="D343" s="865"/>
      <c r="E343" s="865"/>
      <c r="F343" s="865" t="s">
        <v>1463</v>
      </c>
      <c r="G343" s="865"/>
      <c r="H343" s="865"/>
      <c r="I343" s="865"/>
      <c r="J343" s="865" t="s">
        <v>129</v>
      </c>
      <c r="K343" s="865"/>
      <c r="L343" s="865"/>
      <c r="M343" s="865"/>
      <c r="N343" s="865"/>
      <c r="O343" s="865"/>
      <c r="P343" s="865"/>
    </row>
    <row r="344" spans="1:16" x14ac:dyDescent="0.25">
      <c r="A344" s="675"/>
      <c r="B344" s="865" t="s">
        <v>1464</v>
      </c>
      <c r="C344" s="865"/>
      <c r="D344" s="865"/>
      <c r="E344" s="865"/>
      <c r="F344" s="865" t="s">
        <v>1465</v>
      </c>
      <c r="G344" s="865"/>
      <c r="H344" s="865"/>
      <c r="I344" s="865"/>
      <c r="J344" s="865" t="s">
        <v>129</v>
      </c>
      <c r="K344" s="865"/>
      <c r="L344" s="865"/>
      <c r="M344" s="865"/>
      <c r="N344" s="865"/>
      <c r="O344" s="865"/>
      <c r="P344" s="865"/>
    </row>
    <row r="345" spans="1:16" x14ac:dyDescent="0.25">
      <c r="A345" s="675"/>
      <c r="B345" s="865" t="s">
        <v>1466</v>
      </c>
      <c r="C345" s="865"/>
      <c r="D345" s="865"/>
      <c r="E345" s="865"/>
      <c r="F345" s="865" t="s">
        <v>1467</v>
      </c>
      <c r="G345" s="865"/>
      <c r="H345" s="865"/>
      <c r="I345" s="865"/>
      <c r="J345" s="865" t="s">
        <v>129</v>
      </c>
      <c r="K345" s="865"/>
      <c r="L345" s="865"/>
      <c r="M345" s="865"/>
      <c r="N345" s="865"/>
      <c r="O345" s="865"/>
      <c r="P345" s="865"/>
    </row>
    <row r="346" spans="1:16" x14ac:dyDescent="0.25">
      <c r="A346" s="675"/>
      <c r="B346" s="865" t="s">
        <v>1468</v>
      </c>
      <c r="C346" s="865"/>
      <c r="D346" s="865"/>
      <c r="E346" s="865"/>
      <c r="F346" s="865" t="s">
        <v>1469</v>
      </c>
      <c r="G346" s="865"/>
      <c r="H346" s="865"/>
      <c r="I346" s="865"/>
      <c r="J346" s="865" t="s">
        <v>129</v>
      </c>
      <c r="K346" s="865"/>
      <c r="L346" s="865"/>
      <c r="M346" s="865"/>
      <c r="N346" s="865"/>
      <c r="O346" s="865"/>
      <c r="P346" s="865"/>
    </row>
    <row r="347" spans="1:16" ht="27.2" customHeight="1" x14ac:dyDescent="0.25">
      <c r="A347" s="675"/>
      <c r="B347" s="865" t="s">
        <v>1470</v>
      </c>
      <c r="C347" s="865"/>
      <c r="D347" s="865"/>
      <c r="E347" s="865"/>
      <c r="F347" s="865" t="s">
        <v>1979</v>
      </c>
      <c r="G347" s="865"/>
      <c r="H347" s="865"/>
      <c r="I347" s="865"/>
      <c r="J347" s="865" t="s">
        <v>129</v>
      </c>
      <c r="K347" s="865"/>
      <c r="L347" s="865"/>
      <c r="M347" s="865"/>
      <c r="N347" s="865"/>
      <c r="O347" s="865"/>
      <c r="P347" s="865"/>
    </row>
    <row r="348" spans="1:16" ht="54.4" customHeight="1" x14ac:dyDescent="0.25">
      <c r="A348" s="675"/>
      <c r="B348" s="865" t="s">
        <v>1056</v>
      </c>
      <c r="C348" s="865"/>
      <c r="D348" s="865"/>
      <c r="E348" s="865"/>
      <c r="F348" s="865" t="s">
        <v>1980</v>
      </c>
      <c r="G348" s="865"/>
      <c r="H348" s="865"/>
      <c r="I348" s="865"/>
      <c r="J348" s="865" t="s">
        <v>129</v>
      </c>
      <c r="K348" s="865"/>
      <c r="L348" s="865"/>
      <c r="M348" s="865"/>
      <c r="N348" s="865"/>
      <c r="O348" s="865"/>
      <c r="P348" s="865"/>
    </row>
    <row r="349" spans="1:16" ht="163.15" customHeight="1" x14ac:dyDescent="0.25">
      <c r="A349" s="674" t="s">
        <v>10</v>
      </c>
      <c r="B349" s="781" t="s">
        <v>1093</v>
      </c>
      <c r="C349" s="782"/>
      <c r="D349" s="782"/>
      <c r="E349" s="782"/>
      <c r="F349" s="782" t="s">
        <v>1094</v>
      </c>
      <c r="G349" s="782"/>
      <c r="H349" s="782"/>
      <c r="I349" s="782"/>
      <c r="J349" s="782" t="s">
        <v>1433</v>
      </c>
      <c r="K349" s="782"/>
      <c r="L349" s="782"/>
      <c r="M349" s="866">
        <f>ROUND(33400 * 1 * 1.53 * 0.6 * 1.3, 0)</f>
        <v>39860</v>
      </c>
      <c r="N349" s="782"/>
      <c r="O349" s="782" t="s">
        <v>1844</v>
      </c>
      <c r="P349" s="782"/>
    </row>
    <row r="350" spans="1:16" x14ac:dyDescent="0.25">
      <c r="A350" s="676"/>
      <c r="B350" s="864" t="s">
        <v>306</v>
      </c>
      <c r="C350" s="864"/>
      <c r="D350" s="864"/>
      <c r="E350" s="864"/>
      <c r="F350" s="864" t="s">
        <v>129</v>
      </c>
      <c r="G350" s="864"/>
      <c r="H350" s="864"/>
      <c r="I350" s="864"/>
      <c r="J350" s="864" t="s">
        <v>129</v>
      </c>
      <c r="K350" s="864"/>
      <c r="L350" s="864"/>
      <c r="M350" s="864"/>
      <c r="N350" s="864"/>
      <c r="O350" s="864"/>
      <c r="P350" s="864"/>
    </row>
    <row r="351" spans="1:16" x14ac:dyDescent="0.25">
      <c r="A351" s="675"/>
      <c r="B351" s="865" t="s">
        <v>507</v>
      </c>
      <c r="C351" s="865"/>
      <c r="D351" s="865"/>
      <c r="E351" s="865"/>
      <c r="F351" s="865" t="s">
        <v>508</v>
      </c>
      <c r="G351" s="865"/>
      <c r="H351" s="865"/>
      <c r="I351" s="865"/>
      <c r="J351" s="865" t="s">
        <v>129</v>
      </c>
      <c r="K351" s="865"/>
      <c r="L351" s="865"/>
      <c r="M351" s="865"/>
      <c r="N351" s="865"/>
      <c r="O351" s="865"/>
      <c r="P351" s="865"/>
    </row>
    <row r="352" spans="1:16" ht="40.9" customHeight="1" x14ac:dyDescent="0.25">
      <c r="A352" s="675"/>
      <c r="B352" s="865" t="s">
        <v>336</v>
      </c>
      <c r="C352" s="865"/>
      <c r="D352" s="865"/>
      <c r="E352" s="865"/>
      <c r="F352" s="865" t="s">
        <v>337</v>
      </c>
      <c r="G352" s="865"/>
      <c r="H352" s="865"/>
      <c r="I352" s="865"/>
      <c r="J352" s="865" t="s">
        <v>129</v>
      </c>
      <c r="K352" s="865"/>
      <c r="L352" s="865"/>
      <c r="M352" s="865"/>
      <c r="N352" s="865"/>
      <c r="O352" s="865"/>
      <c r="P352" s="865"/>
    </row>
    <row r="353" spans="1:16" ht="149.65" customHeight="1" x14ac:dyDescent="0.25">
      <c r="A353" s="675"/>
      <c r="B353" s="865" t="s">
        <v>329</v>
      </c>
      <c r="C353" s="865"/>
      <c r="D353" s="865"/>
      <c r="E353" s="865"/>
      <c r="F353" s="865" t="s">
        <v>1434</v>
      </c>
      <c r="G353" s="865"/>
      <c r="H353" s="865"/>
      <c r="I353" s="865"/>
      <c r="J353" s="865" t="s">
        <v>129</v>
      </c>
      <c r="K353" s="865"/>
      <c r="L353" s="865"/>
      <c r="M353" s="865"/>
      <c r="N353" s="865"/>
      <c r="O353" s="865"/>
      <c r="P353" s="865"/>
    </row>
    <row r="354" spans="1:16" x14ac:dyDescent="0.25">
      <c r="A354" s="676"/>
      <c r="B354" s="864" t="s">
        <v>330</v>
      </c>
      <c r="C354" s="864"/>
      <c r="D354" s="864"/>
      <c r="E354" s="864"/>
      <c r="F354" s="864" t="s">
        <v>129</v>
      </c>
      <c r="G354" s="864"/>
      <c r="H354" s="864"/>
      <c r="I354" s="864"/>
      <c r="J354" s="864" t="s">
        <v>129</v>
      </c>
      <c r="K354" s="864"/>
      <c r="L354" s="864"/>
      <c r="M354" s="864"/>
      <c r="N354" s="864"/>
      <c r="O354" s="864"/>
      <c r="P354" s="864"/>
    </row>
    <row r="355" spans="1:16" ht="27.2" customHeight="1" x14ac:dyDescent="0.25">
      <c r="A355" s="675"/>
      <c r="B355" s="865" t="s">
        <v>1419</v>
      </c>
      <c r="C355" s="865"/>
      <c r="D355" s="865"/>
      <c r="E355" s="865"/>
      <c r="F355" s="865" t="s">
        <v>1435</v>
      </c>
      <c r="G355" s="865"/>
      <c r="H355" s="865"/>
      <c r="I355" s="865"/>
      <c r="J355" s="865" t="s">
        <v>129</v>
      </c>
      <c r="K355" s="865"/>
      <c r="L355" s="865"/>
      <c r="M355" s="865"/>
      <c r="N355" s="865"/>
      <c r="O355" s="865"/>
      <c r="P355" s="865"/>
    </row>
    <row r="356" spans="1:16" ht="27.2" customHeight="1" x14ac:dyDescent="0.25">
      <c r="A356" s="675"/>
      <c r="B356" s="865" t="s">
        <v>1420</v>
      </c>
      <c r="C356" s="865"/>
      <c r="D356" s="865"/>
      <c r="E356" s="865"/>
      <c r="F356" s="865" t="s">
        <v>1436</v>
      </c>
      <c r="G356" s="865"/>
      <c r="H356" s="865"/>
      <c r="I356" s="865"/>
      <c r="J356" s="865" t="s">
        <v>129</v>
      </c>
      <c r="K356" s="865"/>
      <c r="L356" s="865"/>
      <c r="M356" s="865"/>
      <c r="N356" s="865"/>
      <c r="O356" s="865"/>
      <c r="P356" s="865"/>
    </row>
    <row r="357" spans="1:16" ht="27.2" customHeight="1" x14ac:dyDescent="0.25">
      <c r="A357" s="675"/>
      <c r="B357" s="865" t="s">
        <v>1421</v>
      </c>
      <c r="C357" s="865"/>
      <c r="D357" s="865"/>
      <c r="E357" s="865"/>
      <c r="F357" s="865" t="s">
        <v>1437</v>
      </c>
      <c r="G357" s="865"/>
      <c r="H357" s="865"/>
      <c r="I357" s="865"/>
      <c r="J357" s="865" t="s">
        <v>129</v>
      </c>
      <c r="K357" s="865"/>
      <c r="L357" s="865"/>
      <c r="M357" s="865"/>
      <c r="N357" s="865"/>
      <c r="O357" s="865"/>
      <c r="P357" s="865"/>
    </row>
    <row r="358" spans="1:16" ht="27.2" customHeight="1" x14ac:dyDescent="0.25">
      <c r="A358" s="675"/>
      <c r="B358" s="865" t="s">
        <v>1422</v>
      </c>
      <c r="C358" s="865"/>
      <c r="D358" s="865"/>
      <c r="E358" s="865"/>
      <c r="F358" s="865" t="s">
        <v>1437</v>
      </c>
      <c r="G358" s="865"/>
      <c r="H358" s="865"/>
      <c r="I358" s="865"/>
      <c r="J358" s="865" t="s">
        <v>129</v>
      </c>
      <c r="K358" s="865"/>
      <c r="L358" s="865"/>
      <c r="M358" s="865"/>
      <c r="N358" s="865"/>
      <c r="O358" s="865"/>
      <c r="P358" s="865"/>
    </row>
    <row r="359" spans="1:16" ht="27.2" customHeight="1" x14ac:dyDescent="0.25">
      <c r="A359" s="675"/>
      <c r="B359" s="865" t="s">
        <v>1423</v>
      </c>
      <c r="C359" s="865"/>
      <c r="D359" s="865"/>
      <c r="E359" s="865"/>
      <c r="F359" s="865" t="s">
        <v>1438</v>
      </c>
      <c r="G359" s="865"/>
      <c r="H359" s="865"/>
      <c r="I359" s="865"/>
      <c r="J359" s="865" t="s">
        <v>129</v>
      </c>
      <c r="K359" s="865"/>
      <c r="L359" s="865"/>
      <c r="M359" s="865"/>
      <c r="N359" s="865"/>
      <c r="O359" s="865"/>
      <c r="P359" s="865"/>
    </row>
    <row r="360" spans="1:16" x14ac:dyDescent="0.25">
      <c r="A360" s="675"/>
      <c r="B360" s="865" t="s">
        <v>1424</v>
      </c>
      <c r="C360" s="865"/>
      <c r="D360" s="865"/>
      <c r="E360" s="865"/>
      <c r="F360" s="865" t="s">
        <v>1439</v>
      </c>
      <c r="G360" s="865"/>
      <c r="H360" s="865"/>
      <c r="I360" s="865"/>
      <c r="J360" s="865" t="s">
        <v>129</v>
      </c>
      <c r="K360" s="865"/>
      <c r="L360" s="865"/>
      <c r="M360" s="865"/>
      <c r="N360" s="865"/>
      <c r="O360" s="865"/>
      <c r="P360" s="865"/>
    </row>
    <row r="361" spans="1:16" ht="54.4" customHeight="1" x14ac:dyDescent="0.25">
      <c r="A361" s="675"/>
      <c r="B361" s="865" t="s">
        <v>1440</v>
      </c>
      <c r="C361" s="865"/>
      <c r="D361" s="865"/>
      <c r="E361" s="865"/>
      <c r="F361" s="865" t="s">
        <v>1441</v>
      </c>
      <c r="G361" s="865"/>
      <c r="H361" s="865"/>
      <c r="I361" s="865"/>
      <c r="J361" s="865" t="s">
        <v>129</v>
      </c>
      <c r="K361" s="865"/>
      <c r="L361" s="865"/>
      <c r="M361" s="865"/>
      <c r="N361" s="865"/>
      <c r="O361" s="865"/>
      <c r="P361" s="865"/>
    </row>
    <row r="362" spans="1:16" ht="204" customHeight="1" x14ac:dyDescent="0.25">
      <c r="A362" s="674" t="s">
        <v>11</v>
      </c>
      <c r="B362" s="781" t="s">
        <v>2153</v>
      </c>
      <c r="C362" s="782"/>
      <c r="D362" s="782"/>
      <c r="E362" s="782"/>
      <c r="F362" s="782" t="s">
        <v>2152</v>
      </c>
      <c r="G362" s="782"/>
      <c r="H362" s="782"/>
      <c r="I362" s="782"/>
      <c r="J362" s="782" t="s">
        <v>2200</v>
      </c>
      <c r="K362" s="782"/>
      <c r="L362" s="782"/>
      <c r="M362" s="866">
        <f>ROUND((81700 + 9561 * 8) * 1 * 1.15 * 0.6 * 1.28214, 0)</f>
        <v>139945</v>
      </c>
      <c r="N362" s="782"/>
      <c r="O362" s="782" t="s">
        <v>2150</v>
      </c>
      <c r="P362" s="782"/>
    </row>
    <row r="363" spans="1:16" x14ac:dyDescent="0.25">
      <c r="A363" s="676"/>
      <c r="B363" s="864" t="s">
        <v>306</v>
      </c>
      <c r="C363" s="864"/>
      <c r="D363" s="864"/>
      <c r="E363" s="864"/>
      <c r="F363" s="864" t="s">
        <v>129</v>
      </c>
      <c r="G363" s="864"/>
      <c r="H363" s="864"/>
      <c r="I363" s="864"/>
      <c r="J363" s="864" t="s">
        <v>129</v>
      </c>
      <c r="K363" s="864"/>
      <c r="L363" s="864"/>
      <c r="M363" s="864"/>
      <c r="N363" s="864"/>
      <c r="O363" s="864"/>
      <c r="P363" s="864"/>
    </row>
    <row r="364" spans="1:16" x14ac:dyDescent="0.25">
      <c r="A364" s="675"/>
      <c r="B364" s="865" t="s">
        <v>507</v>
      </c>
      <c r="C364" s="865"/>
      <c r="D364" s="865"/>
      <c r="E364" s="865"/>
      <c r="F364" s="865" t="s">
        <v>508</v>
      </c>
      <c r="G364" s="865"/>
      <c r="H364" s="865"/>
      <c r="I364" s="865"/>
      <c r="J364" s="865" t="s">
        <v>129</v>
      </c>
      <c r="K364" s="865"/>
      <c r="L364" s="865"/>
      <c r="M364" s="865"/>
      <c r="N364" s="865"/>
      <c r="O364" s="865"/>
      <c r="P364" s="865"/>
    </row>
    <row r="365" spans="1:16" ht="40.9" customHeight="1" x14ac:dyDescent="0.25">
      <c r="A365" s="675"/>
      <c r="B365" s="865" t="s">
        <v>1265</v>
      </c>
      <c r="C365" s="865"/>
      <c r="D365" s="865"/>
      <c r="E365" s="865"/>
      <c r="F365" s="865" t="s">
        <v>1266</v>
      </c>
      <c r="G365" s="865"/>
      <c r="H365" s="865"/>
      <c r="I365" s="865"/>
      <c r="J365" s="865" t="s">
        <v>129</v>
      </c>
      <c r="K365" s="865"/>
      <c r="L365" s="865"/>
      <c r="M365" s="865"/>
      <c r="N365" s="865"/>
      <c r="O365" s="865"/>
      <c r="P365" s="865"/>
    </row>
    <row r="366" spans="1:16" ht="149.65" customHeight="1" x14ac:dyDescent="0.25">
      <c r="A366" s="675"/>
      <c r="B366" s="865" t="s">
        <v>329</v>
      </c>
      <c r="C366" s="865"/>
      <c r="D366" s="865"/>
      <c r="E366" s="865"/>
      <c r="F366" s="865" t="s">
        <v>2191</v>
      </c>
      <c r="G366" s="865"/>
      <c r="H366" s="865"/>
      <c r="I366" s="865"/>
      <c r="J366" s="865" t="s">
        <v>129</v>
      </c>
      <c r="K366" s="865"/>
      <c r="L366" s="865"/>
      <c r="M366" s="865"/>
      <c r="N366" s="865"/>
      <c r="O366" s="865"/>
      <c r="P366" s="865"/>
    </row>
    <row r="367" spans="1:16" x14ac:dyDescent="0.25">
      <c r="A367" s="676"/>
      <c r="B367" s="864" t="s">
        <v>330</v>
      </c>
      <c r="C367" s="864"/>
      <c r="D367" s="864"/>
      <c r="E367" s="864"/>
      <c r="F367" s="864" t="s">
        <v>129</v>
      </c>
      <c r="G367" s="864"/>
      <c r="H367" s="864"/>
      <c r="I367" s="864"/>
      <c r="J367" s="864" t="s">
        <v>129</v>
      </c>
      <c r="K367" s="864"/>
      <c r="L367" s="864"/>
      <c r="M367" s="864"/>
      <c r="N367" s="864"/>
      <c r="O367" s="864"/>
      <c r="P367" s="864"/>
    </row>
    <row r="368" spans="1:16" x14ac:dyDescent="0.25">
      <c r="A368" s="675"/>
      <c r="B368" s="865" t="s">
        <v>1028</v>
      </c>
      <c r="C368" s="865"/>
      <c r="D368" s="865"/>
      <c r="E368" s="865"/>
      <c r="F368" s="865" t="s">
        <v>2199</v>
      </c>
      <c r="G368" s="865"/>
      <c r="H368" s="865"/>
      <c r="I368" s="865"/>
      <c r="J368" s="865" t="s">
        <v>129</v>
      </c>
      <c r="K368" s="865"/>
      <c r="L368" s="865"/>
      <c r="M368" s="865"/>
      <c r="N368" s="865"/>
      <c r="O368" s="865"/>
      <c r="P368" s="865"/>
    </row>
    <row r="369" spans="1:16" x14ac:dyDescent="0.25">
      <c r="A369" s="675"/>
      <c r="B369" s="865" t="s">
        <v>1403</v>
      </c>
      <c r="C369" s="865"/>
      <c r="D369" s="865"/>
      <c r="E369" s="865"/>
      <c r="F369" s="865" t="s">
        <v>2198</v>
      </c>
      <c r="G369" s="865"/>
      <c r="H369" s="865"/>
      <c r="I369" s="865"/>
      <c r="J369" s="865" t="s">
        <v>129</v>
      </c>
      <c r="K369" s="865"/>
      <c r="L369" s="865"/>
      <c r="M369" s="865"/>
      <c r="N369" s="865"/>
      <c r="O369" s="865"/>
      <c r="P369" s="865"/>
    </row>
    <row r="370" spans="1:16" x14ac:dyDescent="0.25">
      <c r="A370" s="675"/>
      <c r="B370" s="865" t="s">
        <v>1480</v>
      </c>
      <c r="C370" s="865"/>
      <c r="D370" s="865"/>
      <c r="E370" s="865"/>
      <c r="F370" s="865" t="s">
        <v>2197</v>
      </c>
      <c r="G370" s="865"/>
      <c r="H370" s="865"/>
      <c r="I370" s="865"/>
      <c r="J370" s="865" t="s">
        <v>129</v>
      </c>
      <c r="K370" s="865"/>
      <c r="L370" s="865"/>
      <c r="M370" s="865"/>
      <c r="N370" s="865"/>
      <c r="O370" s="865"/>
      <c r="P370" s="865"/>
    </row>
    <row r="371" spans="1:16" ht="231.2" customHeight="1" x14ac:dyDescent="0.25">
      <c r="A371" s="674" t="s">
        <v>159</v>
      </c>
      <c r="B371" s="781" t="s">
        <v>2135</v>
      </c>
      <c r="C371" s="782"/>
      <c r="D371" s="782"/>
      <c r="E371" s="782"/>
      <c r="F371" s="782" t="s">
        <v>2134</v>
      </c>
      <c r="G371" s="782"/>
      <c r="H371" s="782"/>
      <c r="I371" s="782"/>
      <c r="J371" s="782" t="s">
        <v>2192</v>
      </c>
      <c r="K371" s="782"/>
      <c r="L371" s="782"/>
      <c r="M371" s="866">
        <f>ROUND((62100 + 13486 * 4) * 1 * 1.15 * 0.6 * 1.28214, 0)</f>
        <v>102661</v>
      </c>
      <c r="N371" s="782"/>
      <c r="O371" s="782" t="s">
        <v>2144</v>
      </c>
      <c r="P371" s="782"/>
    </row>
    <row r="372" spans="1:16" x14ac:dyDescent="0.25">
      <c r="A372" s="676"/>
      <c r="B372" s="864" t="s">
        <v>306</v>
      </c>
      <c r="C372" s="864"/>
      <c r="D372" s="864"/>
      <c r="E372" s="864"/>
      <c r="F372" s="864" t="s">
        <v>129</v>
      </c>
      <c r="G372" s="864"/>
      <c r="H372" s="864"/>
      <c r="I372" s="864"/>
      <c r="J372" s="864" t="s">
        <v>129</v>
      </c>
      <c r="K372" s="864"/>
      <c r="L372" s="864"/>
      <c r="M372" s="864"/>
      <c r="N372" s="864"/>
      <c r="O372" s="864"/>
      <c r="P372" s="864"/>
    </row>
    <row r="373" spans="1:16" x14ac:dyDescent="0.25">
      <c r="A373" s="675"/>
      <c r="B373" s="865" t="s">
        <v>507</v>
      </c>
      <c r="C373" s="865"/>
      <c r="D373" s="865"/>
      <c r="E373" s="865"/>
      <c r="F373" s="865" t="s">
        <v>508</v>
      </c>
      <c r="G373" s="865"/>
      <c r="H373" s="865"/>
      <c r="I373" s="865"/>
      <c r="J373" s="865" t="s">
        <v>129</v>
      </c>
      <c r="K373" s="865"/>
      <c r="L373" s="865"/>
      <c r="M373" s="865"/>
      <c r="N373" s="865"/>
      <c r="O373" s="865"/>
      <c r="P373" s="865"/>
    </row>
    <row r="374" spans="1:16" ht="40.9" customHeight="1" x14ac:dyDescent="0.25">
      <c r="A374" s="675"/>
      <c r="B374" s="865" t="s">
        <v>1265</v>
      </c>
      <c r="C374" s="865"/>
      <c r="D374" s="865"/>
      <c r="E374" s="865"/>
      <c r="F374" s="865" t="s">
        <v>1266</v>
      </c>
      <c r="G374" s="865"/>
      <c r="H374" s="865"/>
      <c r="I374" s="865"/>
      <c r="J374" s="865" t="s">
        <v>129</v>
      </c>
      <c r="K374" s="865"/>
      <c r="L374" s="865"/>
      <c r="M374" s="865"/>
      <c r="N374" s="865"/>
      <c r="O374" s="865"/>
      <c r="P374" s="865"/>
    </row>
    <row r="375" spans="1:16" ht="149.65" customHeight="1" x14ac:dyDescent="0.25">
      <c r="A375" s="675"/>
      <c r="B375" s="865" t="s">
        <v>329</v>
      </c>
      <c r="C375" s="865"/>
      <c r="D375" s="865"/>
      <c r="E375" s="865"/>
      <c r="F375" s="865" t="s">
        <v>2191</v>
      </c>
      <c r="G375" s="865"/>
      <c r="H375" s="865"/>
      <c r="I375" s="865"/>
      <c r="J375" s="865" t="s">
        <v>129</v>
      </c>
      <c r="K375" s="865"/>
      <c r="L375" s="865"/>
      <c r="M375" s="865"/>
      <c r="N375" s="865"/>
      <c r="O375" s="865"/>
      <c r="P375" s="865"/>
    </row>
    <row r="376" spans="1:16" x14ac:dyDescent="0.25">
      <c r="A376" s="676"/>
      <c r="B376" s="864" t="s">
        <v>330</v>
      </c>
      <c r="C376" s="864"/>
      <c r="D376" s="864"/>
      <c r="E376" s="864"/>
      <c r="F376" s="864" t="s">
        <v>129</v>
      </c>
      <c r="G376" s="864"/>
      <c r="H376" s="864"/>
      <c r="I376" s="864"/>
      <c r="J376" s="864" t="s">
        <v>129</v>
      </c>
      <c r="K376" s="864"/>
      <c r="L376" s="864"/>
      <c r="M376" s="864"/>
      <c r="N376" s="864"/>
      <c r="O376" s="864"/>
      <c r="P376" s="864"/>
    </row>
    <row r="377" spans="1:16" x14ac:dyDescent="0.25">
      <c r="A377" s="675"/>
      <c r="B377" s="865" t="s">
        <v>1028</v>
      </c>
      <c r="C377" s="865"/>
      <c r="D377" s="865"/>
      <c r="E377" s="865"/>
      <c r="F377" s="865" t="s">
        <v>2190</v>
      </c>
      <c r="G377" s="865"/>
      <c r="H377" s="865"/>
      <c r="I377" s="865"/>
      <c r="J377" s="865" t="s">
        <v>129</v>
      </c>
      <c r="K377" s="865"/>
      <c r="L377" s="865"/>
      <c r="M377" s="865"/>
      <c r="N377" s="865"/>
      <c r="O377" s="865"/>
      <c r="P377" s="865"/>
    </row>
    <row r="378" spans="1:16" x14ac:dyDescent="0.25">
      <c r="A378" s="675"/>
      <c r="B378" s="865" t="s">
        <v>1403</v>
      </c>
      <c r="C378" s="865"/>
      <c r="D378" s="865"/>
      <c r="E378" s="865"/>
      <c r="F378" s="865" t="s">
        <v>2189</v>
      </c>
      <c r="G378" s="865"/>
      <c r="H378" s="865"/>
      <c r="I378" s="865"/>
      <c r="J378" s="865" t="s">
        <v>129</v>
      </c>
      <c r="K378" s="865"/>
      <c r="L378" s="865"/>
      <c r="M378" s="865"/>
      <c r="N378" s="865"/>
      <c r="O378" s="865"/>
      <c r="P378" s="865"/>
    </row>
    <row r="379" spans="1:16" x14ac:dyDescent="0.25">
      <c r="A379" s="675"/>
      <c r="B379" s="865" t="s">
        <v>1480</v>
      </c>
      <c r="C379" s="865"/>
      <c r="D379" s="865"/>
      <c r="E379" s="865"/>
      <c r="F379" s="865" t="s">
        <v>2188</v>
      </c>
      <c r="G379" s="865"/>
      <c r="H379" s="865"/>
      <c r="I379" s="865"/>
      <c r="J379" s="865" t="s">
        <v>129</v>
      </c>
      <c r="K379" s="865"/>
      <c r="L379" s="865"/>
      <c r="M379" s="865"/>
      <c r="N379" s="865"/>
      <c r="O379" s="865"/>
      <c r="P379" s="865"/>
    </row>
    <row r="380" spans="1:16" ht="258.39999999999998" customHeight="1" x14ac:dyDescent="0.25">
      <c r="A380" s="674" t="s">
        <v>160</v>
      </c>
      <c r="B380" s="781" t="s">
        <v>2135</v>
      </c>
      <c r="C380" s="782"/>
      <c r="D380" s="782"/>
      <c r="E380" s="782"/>
      <c r="F380" s="782" t="s">
        <v>2134</v>
      </c>
      <c r="G380" s="782"/>
      <c r="H380" s="782"/>
      <c r="I380" s="782"/>
      <c r="J380" s="782" t="s">
        <v>2196</v>
      </c>
      <c r="K380" s="782"/>
      <c r="L380" s="782"/>
      <c r="M380" s="866">
        <f>ROUND((62100 + 13486 * 4) * 1 * 1.15 * 0.6 * 2.4 * 1.28214, 0)</f>
        <v>246387</v>
      </c>
      <c r="N380" s="782"/>
      <c r="O380" s="782" t="s">
        <v>2142</v>
      </c>
      <c r="P380" s="782"/>
    </row>
    <row r="381" spans="1:16" x14ac:dyDescent="0.25">
      <c r="A381" s="676"/>
      <c r="B381" s="864" t="s">
        <v>306</v>
      </c>
      <c r="C381" s="864"/>
      <c r="D381" s="864"/>
      <c r="E381" s="864"/>
      <c r="F381" s="864" t="s">
        <v>129</v>
      </c>
      <c r="G381" s="864"/>
      <c r="H381" s="864"/>
      <c r="I381" s="864"/>
      <c r="J381" s="864" t="s">
        <v>129</v>
      </c>
      <c r="K381" s="864"/>
      <c r="L381" s="864"/>
      <c r="M381" s="864"/>
      <c r="N381" s="864"/>
      <c r="O381" s="864"/>
      <c r="P381" s="864"/>
    </row>
    <row r="382" spans="1:16" x14ac:dyDescent="0.25">
      <c r="A382" s="675"/>
      <c r="B382" s="865" t="s">
        <v>507</v>
      </c>
      <c r="C382" s="865"/>
      <c r="D382" s="865"/>
      <c r="E382" s="865"/>
      <c r="F382" s="865" t="s">
        <v>508</v>
      </c>
      <c r="G382" s="865"/>
      <c r="H382" s="865"/>
      <c r="I382" s="865"/>
      <c r="J382" s="865" t="s">
        <v>129</v>
      </c>
      <c r="K382" s="865"/>
      <c r="L382" s="865"/>
      <c r="M382" s="865"/>
      <c r="N382" s="865"/>
      <c r="O382" s="865"/>
      <c r="P382" s="865"/>
    </row>
    <row r="383" spans="1:16" ht="40.9" customHeight="1" x14ac:dyDescent="0.25">
      <c r="A383" s="675"/>
      <c r="B383" s="865" t="s">
        <v>1265</v>
      </c>
      <c r="C383" s="865"/>
      <c r="D383" s="865"/>
      <c r="E383" s="865"/>
      <c r="F383" s="865" t="s">
        <v>1266</v>
      </c>
      <c r="G383" s="865"/>
      <c r="H383" s="865"/>
      <c r="I383" s="865"/>
      <c r="J383" s="865" t="s">
        <v>129</v>
      </c>
      <c r="K383" s="865"/>
      <c r="L383" s="865"/>
      <c r="M383" s="865"/>
      <c r="N383" s="865"/>
      <c r="O383" s="865"/>
      <c r="P383" s="865"/>
    </row>
    <row r="384" spans="1:16" ht="135.94999999999999" customHeight="1" x14ac:dyDescent="0.25">
      <c r="A384" s="675"/>
      <c r="B384" s="865" t="s">
        <v>1835</v>
      </c>
      <c r="C384" s="865"/>
      <c r="D384" s="865"/>
      <c r="E384" s="865"/>
      <c r="F384" s="865" t="s">
        <v>2141</v>
      </c>
      <c r="G384" s="865"/>
      <c r="H384" s="865"/>
      <c r="I384" s="865"/>
      <c r="J384" s="865" t="s">
        <v>129</v>
      </c>
      <c r="K384" s="865"/>
      <c r="L384" s="865"/>
      <c r="M384" s="865"/>
      <c r="N384" s="865"/>
      <c r="O384" s="865"/>
      <c r="P384" s="865"/>
    </row>
    <row r="385" spans="1:16" ht="149.65" customHeight="1" x14ac:dyDescent="0.25">
      <c r="A385" s="675"/>
      <c r="B385" s="865" t="s">
        <v>329</v>
      </c>
      <c r="C385" s="865"/>
      <c r="D385" s="865"/>
      <c r="E385" s="865"/>
      <c r="F385" s="865" t="s">
        <v>1781</v>
      </c>
      <c r="G385" s="865"/>
      <c r="H385" s="865"/>
      <c r="I385" s="865"/>
      <c r="J385" s="865" t="s">
        <v>129</v>
      </c>
      <c r="K385" s="865"/>
      <c r="L385" s="865"/>
      <c r="M385" s="865"/>
      <c r="N385" s="865"/>
      <c r="O385" s="865"/>
      <c r="P385" s="865"/>
    </row>
    <row r="386" spans="1:16" x14ac:dyDescent="0.25">
      <c r="A386" s="676"/>
      <c r="B386" s="864" t="s">
        <v>330</v>
      </c>
      <c r="C386" s="864"/>
      <c r="D386" s="864"/>
      <c r="E386" s="864"/>
      <c r="F386" s="864" t="s">
        <v>129</v>
      </c>
      <c r="G386" s="864"/>
      <c r="H386" s="864"/>
      <c r="I386" s="864"/>
      <c r="J386" s="864" t="s">
        <v>129</v>
      </c>
      <c r="K386" s="864"/>
      <c r="L386" s="864"/>
      <c r="M386" s="864"/>
      <c r="N386" s="864"/>
      <c r="O386" s="864"/>
      <c r="P386" s="864"/>
    </row>
    <row r="387" spans="1:16" x14ac:dyDescent="0.25">
      <c r="A387" s="675"/>
      <c r="B387" s="865" t="s">
        <v>1028</v>
      </c>
      <c r="C387" s="865"/>
      <c r="D387" s="865"/>
      <c r="E387" s="865"/>
      <c r="F387" s="865" t="s">
        <v>2195</v>
      </c>
      <c r="G387" s="865"/>
      <c r="H387" s="865"/>
      <c r="I387" s="865"/>
      <c r="J387" s="865" t="s">
        <v>129</v>
      </c>
      <c r="K387" s="865"/>
      <c r="L387" s="865"/>
      <c r="M387" s="865"/>
      <c r="N387" s="865"/>
      <c r="O387" s="865"/>
      <c r="P387" s="865"/>
    </row>
    <row r="388" spans="1:16" x14ac:dyDescent="0.25">
      <c r="A388" s="675"/>
      <c r="B388" s="865" t="s">
        <v>1403</v>
      </c>
      <c r="C388" s="865"/>
      <c r="D388" s="865"/>
      <c r="E388" s="865"/>
      <c r="F388" s="865" t="s">
        <v>2194</v>
      </c>
      <c r="G388" s="865"/>
      <c r="H388" s="865"/>
      <c r="I388" s="865"/>
      <c r="J388" s="865" t="s">
        <v>129</v>
      </c>
      <c r="K388" s="865"/>
      <c r="L388" s="865"/>
      <c r="M388" s="865"/>
      <c r="N388" s="865"/>
      <c r="O388" s="865"/>
      <c r="P388" s="865"/>
    </row>
    <row r="389" spans="1:16" x14ac:dyDescent="0.25">
      <c r="A389" s="675"/>
      <c r="B389" s="865" t="s">
        <v>1480</v>
      </c>
      <c r="C389" s="865"/>
      <c r="D389" s="865"/>
      <c r="E389" s="865"/>
      <c r="F389" s="865" t="s">
        <v>2193</v>
      </c>
      <c r="G389" s="865"/>
      <c r="H389" s="865"/>
      <c r="I389" s="865"/>
      <c r="J389" s="865" t="s">
        <v>129</v>
      </c>
      <c r="K389" s="865"/>
      <c r="L389" s="865"/>
      <c r="M389" s="865"/>
      <c r="N389" s="865"/>
      <c r="O389" s="865"/>
      <c r="P389" s="865"/>
    </row>
    <row r="390" spans="1:16" ht="272.10000000000002" customHeight="1" x14ac:dyDescent="0.25">
      <c r="A390" s="674" t="s">
        <v>161</v>
      </c>
      <c r="B390" s="781" t="s">
        <v>2135</v>
      </c>
      <c r="C390" s="782"/>
      <c r="D390" s="782"/>
      <c r="E390" s="782"/>
      <c r="F390" s="782" t="s">
        <v>2134</v>
      </c>
      <c r="G390" s="782"/>
      <c r="H390" s="782"/>
      <c r="I390" s="782"/>
      <c r="J390" s="782" t="s">
        <v>2192</v>
      </c>
      <c r="K390" s="782"/>
      <c r="L390" s="782"/>
      <c r="M390" s="866">
        <f>ROUND((62100 + 13486 * 4) * 1 * 1.15 * 0.6 * 1.28214, 0)</f>
        <v>102661</v>
      </c>
      <c r="N390" s="782"/>
      <c r="O390" s="782" t="s">
        <v>2132</v>
      </c>
      <c r="P390" s="782"/>
    </row>
    <row r="391" spans="1:16" x14ac:dyDescent="0.25">
      <c r="A391" s="676"/>
      <c r="B391" s="864" t="s">
        <v>306</v>
      </c>
      <c r="C391" s="864"/>
      <c r="D391" s="864"/>
      <c r="E391" s="864"/>
      <c r="F391" s="864" t="s">
        <v>129</v>
      </c>
      <c r="G391" s="864"/>
      <c r="H391" s="864"/>
      <c r="I391" s="864"/>
      <c r="J391" s="864" t="s">
        <v>129</v>
      </c>
      <c r="K391" s="864"/>
      <c r="L391" s="864"/>
      <c r="M391" s="864"/>
      <c r="N391" s="864"/>
      <c r="O391" s="864"/>
      <c r="P391" s="864"/>
    </row>
    <row r="392" spans="1:16" x14ac:dyDescent="0.25">
      <c r="A392" s="675"/>
      <c r="B392" s="865" t="s">
        <v>507</v>
      </c>
      <c r="C392" s="865"/>
      <c r="D392" s="865"/>
      <c r="E392" s="865"/>
      <c r="F392" s="865" t="s">
        <v>508</v>
      </c>
      <c r="G392" s="865"/>
      <c r="H392" s="865"/>
      <c r="I392" s="865"/>
      <c r="J392" s="865" t="s">
        <v>129</v>
      </c>
      <c r="K392" s="865"/>
      <c r="L392" s="865"/>
      <c r="M392" s="865"/>
      <c r="N392" s="865"/>
      <c r="O392" s="865"/>
      <c r="P392" s="865"/>
    </row>
    <row r="393" spans="1:16" ht="40.9" customHeight="1" x14ac:dyDescent="0.25">
      <c r="A393" s="675"/>
      <c r="B393" s="865" t="s">
        <v>1265</v>
      </c>
      <c r="C393" s="865"/>
      <c r="D393" s="865"/>
      <c r="E393" s="865"/>
      <c r="F393" s="865" t="s">
        <v>1266</v>
      </c>
      <c r="G393" s="865"/>
      <c r="H393" s="865"/>
      <c r="I393" s="865"/>
      <c r="J393" s="865" t="s">
        <v>129</v>
      </c>
      <c r="K393" s="865"/>
      <c r="L393" s="865"/>
      <c r="M393" s="865"/>
      <c r="N393" s="865"/>
      <c r="O393" s="865"/>
      <c r="P393" s="865"/>
    </row>
    <row r="394" spans="1:16" ht="149.65" customHeight="1" x14ac:dyDescent="0.25">
      <c r="A394" s="675"/>
      <c r="B394" s="865" t="s">
        <v>329</v>
      </c>
      <c r="C394" s="865"/>
      <c r="D394" s="865"/>
      <c r="E394" s="865"/>
      <c r="F394" s="865" t="s">
        <v>2191</v>
      </c>
      <c r="G394" s="865"/>
      <c r="H394" s="865"/>
      <c r="I394" s="865"/>
      <c r="J394" s="865" t="s">
        <v>129</v>
      </c>
      <c r="K394" s="865"/>
      <c r="L394" s="865"/>
      <c r="M394" s="865"/>
      <c r="N394" s="865"/>
      <c r="O394" s="865"/>
      <c r="P394" s="865"/>
    </row>
    <row r="395" spans="1:16" x14ac:dyDescent="0.25">
      <c r="A395" s="676"/>
      <c r="B395" s="864" t="s">
        <v>330</v>
      </c>
      <c r="C395" s="864"/>
      <c r="D395" s="864"/>
      <c r="E395" s="864"/>
      <c r="F395" s="864" t="s">
        <v>129</v>
      </c>
      <c r="G395" s="864"/>
      <c r="H395" s="864"/>
      <c r="I395" s="864"/>
      <c r="J395" s="864" t="s">
        <v>129</v>
      </c>
      <c r="K395" s="864"/>
      <c r="L395" s="864"/>
      <c r="M395" s="864"/>
      <c r="N395" s="864"/>
      <c r="O395" s="864"/>
      <c r="P395" s="864"/>
    </row>
    <row r="396" spans="1:16" x14ac:dyDescent="0.25">
      <c r="A396" s="675"/>
      <c r="B396" s="865" t="s">
        <v>1028</v>
      </c>
      <c r="C396" s="865"/>
      <c r="D396" s="865"/>
      <c r="E396" s="865"/>
      <c r="F396" s="865" t="s">
        <v>2190</v>
      </c>
      <c r="G396" s="865"/>
      <c r="H396" s="865"/>
      <c r="I396" s="865"/>
      <c r="J396" s="865" t="s">
        <v>129</v>
      </c>
      <c r="K396" s="865"/>
      <c r="L396" s="865"/>
      <c r="M396" s="865"/>
      <c r="N396" s="865"/>
      <c r="O396" s="865"/>
      <c r="P396" s="865"/>
    </row>
    <row r="397" spans="1:16" x14ac:dyDescent="0.25">
      <c r="A397" s="675"/>
      <c r="B397" s="865" t="s">
        <v>1403</v>
      </c>
      <c r="C397" s="865"/>
      <c r="D397" s="865"/>
      <c r="E397" s="865"/>
      <c r="F397" s="865" t="s">
        <v>2189</v>
      </c>
      <c r="G397" s="865"/>
      <c r="H397" s="865"/>
      <c r="I397" s="865"/>
      <c r="J397" s="865" t="s">
        <v>129</v>
      </c>
      <c r="K397" s="865"/>
      <c r="L397" s="865"/>
      <c r="M397" s="865"/>
      <c r="N397" s="865"/>
      <c r="O397" s="865"/>
      <c r="P397" s="865"/>
    </row>
    <row r="398" spans="1:16" x14ac:dyDescent="0.25">
      <c r="A398" s="675"/>
      <c r="B398" s="865" t="s">
        <v>1480</v>
      </c>
      <c r="C398" s="865"/>
      <c r="D398" s="865"/>
      <c r="E398" s="865"/>
      <c r="F398" s="865" t="s">
        <v>2188</v>
      </c>
      <c r="G398" s="865"/>
      <c r="H398" s="865"/>
      <c r="I398" s="865"/>
      <c r="J398" s="865" t="s">
        <v>129</v>
      </c>
      <c r="K398" s="865"/>
      <c r="L398" s="865"/>
      <c r="M398" s="865"/>
      <c r="N398" s="865"/>
      <c r="O398" s="865"/>
      <c r="P398" s="865"/>
    </row>
    <row r="399" spans="1:16" ht="149.65" customHeight="1" x14ac:dyDescent="0.25">
      <c r="A399" s="674" t="s">
        <v>179</v>
      </c>
      <c r="B399" s="781" t="s">
        <v>1168</v>
      </c>
      <c r="C399" s="782"/>
      <c r="D399" s="782"/>
      <c r="E399" s="782"/>
      <c r="F399" s="782" t="s">
        <v>1845</v>
      </c>
      <c r="G399" s="782"/>
      <c r="H399" s="782"/>
      <c r="I399" s="782"/>
      <c r="J399" s="782" t="s">
        <v>1981</v>
      </c>
      <c r="K399" s="782"/>
      <c r="L399" s="782"/>
      <c r="M399" s="866">
        <f>ROUND((10500 + 592 * 200) * 1 * 1.27 * 0.6 * 1.3, 0)</f>
        <v>127688</v>
      </c>
      <c r="N399" s="782"/>
      <c r="O399" s="782" t="s">
        <v>1847</v>
      </c>
      <c r="P399" s="782"/>
    </row>
    <row r="400" spans="1:16" x14ac:dyDescent="0.25">
      <c r="A400" s="676"/>
      <c r="B400" s="864" t="s">
        <v>306</v>
      </c>
      <c r="C400" s="864"/>
      <c r="D400" s="864"/>
      <c r="E400" s="864"/>
      <c r="F400" s="864" t="s">
        <v>129</v>
      </c>
      <c r="G400" s="864"/>
      <c r="H400" s="864"/>
      <c r="I400" s="864"/>
      <c r="J400" s="864" t="s">
        <v>129</v>
      </c>
      <c r="K400" s="864"/>
      <c r="L400" s="864"/>
      <c r="M400" s="864"/>
      <c r="N400" s="864"/>
      <c r="O400" s="864"/>
      <c r="P400" s="864"/>
    </row>
    <row r="401" spans="1:16" x14ac:dyDescent="0.25">
      <c r="A401" s="675"/>
      <c r="B401" s="865" t="s">
        <v>507</v>
      </c>
      <c r="C401" s="865"/>
      <c r="D401" s="865"/>
      <c r="E401" s="865"/>
      <c r="F401" s="865" t="s">
        <v>508</v>
      </c>
      <c r="G401" s="865"/>
      <c r="H401" s="865"/>
      <c r="I401" s="865"/>
      <c r="J401" s="865" t="s">
        <v>129</v>
      </c>
      <c r="K401" s="865"/>
      <c r="L401" s="865"/>
      <c r="M401" s="865"/>
      <c r="N401" s="865"/>
      <c r="O401" s="865"/>
      <c r="P401" s="865"/>
    </row>
    <row r="402" spans="1:16" ht="40.9" customHeight="1" x14ac:dyDescent="0.25">
      <c r="A402" s="675"/>
      <c r="B402" s="865" t="s">
        <v>327</v>
      </c>
      <c r="C402" s="865"/>
      <c r="D402" s="865"/>
      <c r="E402" s="865"/>
      <c r="F402" s="865" t="s">
        <v>328</v>
      </c>
      <c r="G402" s="865"/>
      <c r="H402" s="865"/>
      <c r="I402" s="865"/>
      <c r="J402" s="865" t="s">
        <v>129</v>
      </c>
      <c r="K402" s="865"/>
      <c r="L402" s="865"/>
      <c r="M402" s="865"/>
      <c r="N402" s="865"/>
      <c r="O402" s="865"/>
      <c r="P402" s="865"/>
    </row>
    <row r="403" spans="1:16" ht="149.65" customHeight="1" x14ac:dyDescent="0.25">
      <c r="A403" s="675"/>
      <c r="B403" s="865" t="s">
        <v>329</v>
      </c>
      <c r="C403" s="865"/>
      <c r="D403" s="865"/>
      <c r="E403" s="865"/>
      <c r="F403" s="865" t="s">
        <v>510</v>
      </c>
      <c r="G403" s="865"/>
      <c r="H403" s="865"/>
      <c r="I403" s="865"/>
      <c r="J403" s="865" t="s">
        <v>129</v>
      </c>
      <c r="K403" s="865"/>
      <c r="L403" s="865"/>
      <c r="M403" s="865"/>
      <c r="N403" s="865"/>
      <c r="O403" s="865"/>
      <c r="P403" s="865"/>
    </row>
    <row r="404" spans="1:16" x14ac:dyDescent="0.25">
      <c r="A404" s="676"/>
      <c r="B404" s="864" t="s">
        <v>330</v>
      </c>
      <c r="C404" s="864"/>
      <c r="D404" s="864"/>
      <c r="E404" s="864"/>
      <c r="F404" s="864" t="s">
        <v>129</v>
      </c>
      <c r="G404" s="864"/>
      <c r="H404" s="864"/>
      <c r="I404" s="864"/>
      <c r="J404" s="864" t="s">
        <v>129</v>
      </c>
      <c r="K404" s="864"/>
      <c r="L404" s="864"/>
      <c r="M404" s="864"/>
      <c r="N404" s="864"/>
      <c r="O404" s="864"/>
      <c r="P404" s="864"/>
    </row>
    <row r="405" spans="1:16" x14ac:dyDescent="0.25">
      <c r="A405" s="675"/>
      <c r="B405" s="865" t="s">
        <v>1471</v>
      </c>
      <c r="C405" s="865"/>
      <c r="D405" s="865"/>
      <c r="E405" s="865"/>
      <c r="F405" s="865" t="s">
        <v>1982</v>
      </c>
      <c r="G405" s="865"/>
      <c r="H405" s="865"/>
      <c r="I405" s="865"/>
      <c r="J405" s="865" t="s">
        <v>129</v>
      </c>
      <c r="K405" s="865"/>
      <c r="L405" s="865"/>
      <c r="M405" s="865"/>
      <c r="N405" s="865"/>
      <c r="O405" s="865"/>
      <c r="P405" s="865"/>
    </row>
    <row r="406" spans="1:16" x14ac:dyDescent="0.25">
      <c r="A406" s="675"/>
      <c r="B406" s="865" t="s">
        <v>1472</v>
      </c>
      <c r="C406" s="865"/>
      <c r="D406" s="865"/>
      <c r="E406" s="865"/>
      <c r="F406" s="865" t="s">
        <v>1983</v>
      </c>
      <c r="G406" s="865"/>
      <c r="H406" s="865"/>
      <c r="I406" s="865"/>
      <c r="J406" s="865" t="s">
        <v>129</v>
      </c>
      <c r="K406" s="865"/>
      <c r="L406" s="865"/>
      <c r="M406" s="865"/>
      <c r="N406" s="865"/>
      <c r="O406" s="865"/>
      <c r="P406" s="865"/>
    </row>
    <row r="407" spans="1:16" x14ac:dyDescent="0.25">
      <c r="A407" s="675"/>
      <c r="B407" s="865" t="s">
        <v>1473</v>
      </c>
      <c r="C407" s="865"/>
      <c r="D407" s="865"/>
      <c r="E407" s="865"/>
      <c r="F407" s="865" t="s">
        <v>1984</v>
      </c>
      <c r="G407" s="865"/>
      <c r="H407" s="865"/>
      <c r="I407" s="865"/>
      <c r="J407" s="865" t="s">
        <v>129</v>
      </c>
      <c r="K407" s="865"/>
      <c r="L407" s="865"/>
      <c r="M407" s="865"/>
      <c r="N407" s="865"/>
      <c r="O407" s="865"/>
      <c r="P407" s="865"/>
    </row>
    <row r="408" spans="1:16" ht="135.94999999999999" customHeight="1" x14ac:dyDescent="0.25">
      <c r="A408" s="674" t="s">
        <v>180</v>
      </c>
      <c r="B408" s="781" t="s">
        <v>342</v>
      </c>
      <c r="C408" s="782"/>
      <c r="D408" s="782"/>
      <c r="E408" s="782"/>
      <c r="F408" s="782" t="s">
        <v>1171</v>
      </c>
      <c r="G408" s="782"/>
      <c r="H408" s="782"/>
      <c r="I408" s="782"/>
      <c r="J408" s="782" t="s">
        <v>2815</v>
      </c>
      <c r="K408" s="782"/>
      <c r="L408" s="782"/>
      <c r="M408" s="866">
        <f>ROUND((17700 + 234 * 300) * 1 * 1.68 * 0.6 * 0.9 * 0.8 * 1.28895, 0)</f>
        <v>82228</v>
      </c>
      <c r="N408" s="782"/>
      <c r="O408" s="782" t="s">
        <v>1172</v>
      </c>
      <c r="P408" s="782"/>
    </row>
    <row r="409" spans="1:16" x14ac:dyDescent="0.25">
      <c r="A409" s="676"/>
      <c r="B409" s="864" t="s">
        <v>306</v>
      </c>
      <c r="C409" s="864"/>
      <c r="D409" s="864"/>
      <c r="E409" s="864"/>
      <c r="F409" s="864" t="s">
        <v>129</v>
      </c>
      <c r="G409" s="864"/>
      <c r="H409" s="864"/>
      <c r="I409" s="864"/>
      <c r="J409" s="864" t="s">
        <v>129</v>
      </c>
      <c r="K409" s="864"/>
      <c r="L409" s="864"/>
      <c r="M409" s="864"/>
      <c r="N409" s="864"/>
      <c r="O409" s="864"/>
      <c r="P409" s="864"/>
    </row>
    <row r="410" spans="1:16" x14ac:dyDescent="0.25">
      <c r="A410" s="675"/>
      <c r="B410" s="865" t="s">
        <v>507</v>
      </c>
      <c r="C410" s="865"/>
      <c r="D410" s="865"/>
      <c r="E410" s="865"/>
      <c r="F410" s="865" t="s">
        <v>508</v>
      </c>
      <c r="G410" s="865"/>
      <c r="H410" s="865"/>
      <c r="I410" s="865"/>
      <c r="J410" s="865" t="s">
        <v>129</v>
      </c>
      <c r="K410" s="865"/>
      <c r="L410" s="865"/>
      <c r="M410" s="865"/>
      <c r="N410" s="865"/>
      <c r="O410" s="865"/>
      <c r="P410" s="865"/>
    </row>
    <row r="411" spans="1:16" ht="40.9" customHeight="1" x14ac:dyDescent="0.25">
      <c r="A411" s="675"/>
      <c r="B411" s="865" t="s">
        <v>331</v>
      </c>
      <c r="C411" s="865"/>
      <c r="D411" s="865"/>
      <c r="E411" s="865"/>
      <c r="F411" s="865" t="s">
        <v>332</v>
      </c>
      <c r="G411" s="865"/>
      <c r="H411" s="865"/>
      <c r="I411" s="865"/>
      <c r="J411" s="865" t="s">
        <v>129</v>
      </c>
      <c r="K411" s="865"/>
      <c r="L411" s="865"/>
      <c r="M411" s="865"/>
      <c r="N411" s="865"/>
      <c r="O411" s="865"/>
      <c r="P411" s="865"/>
    </row>
    <row r="412" spans="1:16" ht="108.75" customHeight="1" x14ac:dyDescent="0.25">
      <c r="A412" s="675"/>
      <c r="B412" s="865" t="s">
        <v>1809</v>
      </c>
      <c r="C412" s="865"/>
      <c r="D412" s="865"/>
      <c r="E412" s="865"/>
      <c r="F412" s="865" t="s">
        <v>1810</v>
      </c>
      <c r="G412" s="865"/>
      <c r="H412" s="865"/>
      <c r="I412" s="865"/>
      <c r="J412" s="865" t="s">
        <v>129</v>
      </c>
      <c r="K412" s="865"/>
      <c r="L412" s="865"/>
      <c r="M412" s="865"/>
      <c r="N412" s="865"/>
      <c r="O412" s="865"/>
      <c r="P412" s="865"/>
    </row>
    <row r="413" spans="1:16" ht="54.4" customHeight="1" x14ac:dyDescent="0.25">
      <c r="A413" s="675"/>
      <c r="B413" s="865" t="s">
        <v>343</v>
      </c>
      <c r="C413" s="865"/>
      <c r="D413" s="865"/>
      <c r="E413" s="865"/>
      <c r="F413" s="865" t="s">
        <v>2593</v>
      </c>
      <c r="G413" s="865"/>
      <c r="H413" s="865"/>
      <c r="I413" s="865"/>
      <c r="J413" s="865" t="s">
        <v>129</v>
      </c>
      <c r="K413" s="865"/>
      <c r="L413" s="865"/>
      <c r="M413" s="865"/>
      <c r="N413" s="865"/>
      <c r="O413" s="865"/>
      <c r="P413" s="865"/>
    </row>
    <row r="414" spans="1:16" ht="149.65" customHeight="1" x14ac:dyDescent="0.25">
      <c r="A414" s="675"/>
      <c r="B414" s="865" t="s">
        <v>329</v>
      </c>
      <c r="C414" s="865"/>
      <c r="D414" s="865"/>
      <c r="E414" s="865"/>
      <c r="F414" s="865" t="s">
        <v>2466</v>
      </c>
      <c r="G414" s="865"/>
      <c r="H414" s="865"/>
      <c r="I414" s="865"/>
      <c r="J414" s="865" t="s">
        <v>129</v>
      </c>
      <c r="K414" s="865"/>
      <c r="L414" s="865"/>
      <c r="M414" s="865"/>
      <c r="N414" s="865"/>
      <c r="O414" s="865"/>
      <c r="P414" s="865"/>
    </row>
    <row r="415" spans="1:16" x14ac:dyDescent="0.25">
      <c r="A415" s="676"/>
      <c r="B415" s="864" t="s">
        <v>330</v>
      </c>
      <c r="C415" s="864"/>
      <c r="D415" s="864"/>
      <c r="E415" s="864"/>
      <c r="F415" s="864" t="s">
        <v>129</v>
      </c>
      <c r="G415" s="864"/>
      <c r="H415" s="864"/>
      <c r="I415" s="864"/>
      <c r="J415" s="864" t="s">
        <v>129</v>
      </c>
      <c r="K415" s="864"/>
      <c r="L415" s="864"/>
      <c r="M415" s="864"/>
      <c r="N415" s="864"/>
      <c r="O415" s="864"/>
      <c r="P415" s="864"/>
    </row>
    <row r="416" spans="1:16" x14ac:dyDescent="0.25">
      <c r="A416" s="675"/>
      <c r="B416" s="865" t="s">
        <v>1028</v>
      </c>
      <c r="C416" s="865"/>
      <c r="D416" s="865"/>
      <c r="E416" s="865"/>
      <c r="F416" s="865" t="s">
        <v>2814</v>
      </c>
      <c r="G416" s="865"/>
      <c r="H416" s="865"/>
      <c r="I416" s="865"/>
      <c r="J416" s="865" t="s">
        <v>129</v>
      </c>
      <c r="K416" s="865"/>
      <c r="L416" s="865"/>
      <c r="M416" s="865"/>
      <c r="N416" s="865"/>
      <c r="O416" s="865"/>
      <c r="P416" s="865"/>
    </row>
    <row r="417" spans="1:16" x14ac:dyDescent="0.25">
      <c r="A417" s="675"/>
      <c r="B417" s="865" t="s">
        <v>1156</v>
      </c>
      <c r="C417" s="865"/>
      <c r="D417" s="865"/>
      <c r="E417" s="865"/>
      <c r="F417" s="865" t="s">
        <v>2813</v>
      </c>
      <c r="G417" s="865"/>
      <c r="H417" s="865"/>
      <c r="I417" s="865"/>
      <c r="J417" s="865" t="s">
        <v>129</v>
      </c>
      <c r="K417" s="865"/>
      <c r="L417" s="865"/>
      <c r="M417" s="865"/>
      <c r="N417" s="865"/>
      <c r="O417" s="865"/>
      <c r="P417" s="865"/>
    </row>
    <row r="418" spans="1:16" ht="54.4" customHeight="1" x14ac:dyDescent="0.25">
      <c r="A418" s="675"/>
      <c r="B418" s="865" t="s">
        <v>1169</v>
      </c>
      <c r="C418" s="865"/>
      <c r="D418" s="865"/>
      <c r="E418" s="865"/>
      <c r="F418" s="865" t="s">
        <v>2812</v>
      </c>
      <c r="G418" s="865"/>
      <c r="H418" s="865"/>
      <c r="I418" s="865"/>
      <c r="J418" s="865" t="s">
        <v>129</v>
      </c>
      <c r="K418" s="865"/>
      <c r="L418" s="865"/>
      <c r="M418" s="865"/>
      <c r="N418" s="865"/>
      <c r="O418" s="865"/>
      <c r="P418" s="865"/>
    </row>
    <row r="419" spans="1:16" ht="27.2" customHeight="1" x14ac:dyDescent="0.25">
      <c r="A419" s="675"/>
      <c r="B419" s="865" t="s">
        <v>1160</v>
      </c>
      <c r="C419" s="865"/>
      <c r="D419" s="865"/>
      <c r="E419" s="865"/>
      <c r="F419" s="865" t="s">
        <v>2811</v>
      </c>
      <c r="G419" s="865"/>
      <c r="H419" s="865"/>
      <c r="I419" s="865"/>
      <c r="J419" s="865" t="s">
        <v>129</v>
      </c>
      <c r="K419" s="865"/>
      <c r="L419" s="865"/>
      <c r="M419" s="865"/>
      <c r="N419" s="865"/>
      <c r="O419" s="865"/>
      <c r="P419" s="865"/>
    </row>
    <row r="420" spans="1:16" x14ac:dyDescent="0.25">
      <c r="A420" s="675"/>
      <c r="B420" s="865" t="s">
        <v>1474</v>
      </c>
      <c r="C420" s="865"/>
      <c r="D420" s="865"/>
      <c r="E420" s="865"/>
      <c r="F420" s="865" t="s">
        <v>2810</v>
      </c>
      <c r="G420" s="865"/>
      <c r="H420" s="865"/>
      <c r="I420" s="865"/>
      <c r="J420" s="865" t="s">
        <v>129</v>
      </c>
      <c r="K420" s="865"/>
      <c r="L420" s="865"/>
      <c r="M420" s="865"/>
      <c r="N420" s="865"/>
      <c r="O420" s="865"/>
      <c r="P420" s="865"/>
    </row>
    <row r="421" spans="1:16" ht="176.85" customHeight="1" x14ac:dyDescent="0.25">
      <c r="A421" s="674" t="s">
        <v>181</v>
      </c>
      <c r="B421" s="781" t="s">
        <v>1177</v>
      </c>
      <c r="C421" s="782"/>
      <c r="D421" s="782"/>
      <c r="E421" s="782"/>
      <c r="F421" s="782" t="s">
        <v>1178</v>
      </c>
      <c r="G421" s="782"/>
      <c r="H421" s="782"/>
      <c r="I421" s="782"/>
      <c r="J421" s="782" t="s">
        <v>1476</v>
      </c>
      <c r="K421" s="782"/>
      <c r="L421" s="782"/>
      <c r="M421" s="866">
        <f>ROUND((195900 + 360 * 540) * 1 * 1.68 * 0.6 * 0.82 * 0.74 * 1.3, 0)</f>
        <v>310347</v>
      </c>
      <c r="N421" s="782"/>
      <c r="O421" s="782" t="s">
        <v>1180</v>
      </c>
      <c r="P421" s="782"/>
    </row>
    <row r="422" spans="1:16" x14ac:dyDescent="0.25">
      <c r="A422" s="676"/>
      <c r="B422" s="864" t="s">
        <v>306</v>
      </c>
      <c r="C422" s="864"/>
      <c r="D422" s="864"/>
      <c r="E422" s="864"/>
      <c r="F422" s="864" t="s">
        <v>129</v>
      </c>
      <c r="G422" s="864"/>
      <c r="H422" s="864"/>
      <c r="I422" s="864"/>
      <c r="J422" s="864" t="s">
        <v>129</v>
      </c>
      <c r="K422" s="864"/>
      <c r="L422" s="864"/>
      <c r="M422" s="864"/>
      <c r="N422" s="864"/>
      <c r="O422" s="864"/>
      <c r="P422" s="864"/>
    </row>
    <row r="423" spans="1:16" x14ac:dyDescent="0.25">
      <c r="A423" s="675"/>
      <c r="B423" s="865" t="s">
        <v>507</v>
      </c>
      <c r="C423" s="865"/>
      <c r="D423" s="865"/>
      <c r="E423" s="865"/>
      <c r="F423" s="865" t="s">
        <v>508</v>
      </c>
      <c r="G423" s="865"/>
      <c r="H423" s="865"/>
      <c r="I423" s="865"/>
      <c r="J423" s="865" t="s">
        <v>129</v>
      </c>
      <c r="K423" s="865"/>
      <c r="L423" s="865"/>
      <c r="M423" s="865"/>
      <c r="N423" s="865"/>
      <c r="O423" s="865"/>
      <c r="P423" s="865"/>
    </row>
    <row r="424" spans="1:16" ht="40.9" customHeight="1" x14ac:dyDescent="0.25">
      <c r="A424" s="675"/>
      <c r="B424" s="865" t="s">
        <v>331</v>
      </c>
      <c r="C424" s="865"/>
      <c r="D424" s="865"/>
      <c r="E424" s="865"/>
      <c r="F424" s="865" t="s">
        <v>332</v>
      </c>
      <c r="G424" s="865"/>
      <c r="H424" s="865"/>
      <c r="I424" s="865"/>
      <c r="J424" s="865" t="s">
        <v>129</v>
      </c>
      <c r="K424" s="865"/>
      <c r="L424" s="865"/>
      <c r="M424" s="865"/>
      <c r="N424" s="865"/>
      <c r="O424" s="865"/>
      <c r="P424" s="865"/>
    </row>
    <row r="425" spans="1:16" ht="68.099999999999994" customHeight="1" x14ac:dyDescent="0.25">
      <c r="A425" s="675"/>
      <c r="B425" s="865" t="s">
        <v>1181</v>
      </c>
      <c r="C425" s="865"/>
      <c r="D425" s="865"/>
      <c r="E425" s="865"/>
      <c r="F425" s="865" t="s">
        <v>1182</v>
      </c>
      <c r="G425" s="865"/>
      <c r="H425" s="865"/>
      <c r="I425" s="865"/>
      <c r="J425" s="865" t="s">
        <v>129</v>
      </c>
      <c r="K425" s="865"/>
      <c r="L425" s="865"/>
      <c r="M425" s="865"/>
      <c r="N425" s="865"/>
      <c r="O425" s="865"/>
      <c r="P425" s="865"/>
    </row>
    <row r="426" spans="1:16" ht="81.599999999999994" customHeight="1" x14ac:dyDescent="0.25">
      <c r="A426" s="675"/>
      <c r="B426" s="865" t="s">
        <v>1183</v>
      </c>
      <c r="C426" s="865"/>
      <c r="D426" s="865"/>
      <c r="E426" s="865"/>
      <c r="F426" s="865" t="s">
        <v>1184</v>
      </c>
      <c r="G426" s="865"/>
      <c r="H426" s="865"/>
      <c r="I426" s="865"/>
      <c r="J426" s="865" t="s">
        <v>129</v>
      </c>
      <c r="K426" s="865"/>
      <c r="L426" s="865"/>
      <c r="M426" s="865"/>
      <c r="N426" s="865"/>
      <c r="O426" s="865"/>
      <c r="P426" s="865"/>
    </row>
    <row r="427" spans="1:16" ht="149.65" customHeight="1" x14ac:dyDescent="0.25">
      <c r="A427" s="675"/>
      <c r="B427" s="865" t="s">
        <v>329</v>
      </c>
      <c r="C427" s="865"/>
      <c r="D427" s="865"/>
      <c r="E427" s="865"/>
      <c r="F427" s="865" t="s">
        <v>509</v>
      </c>
      <c r="G427" s="865"/>
      <c r="H427" s="865"/>
      <c r="I427" s="865"/>
      <c r="J427" s="865" t="s">
        <v>129</v>
      </c>
      <c r="K427" s="865"/>
      <c r="L427" s="865"/>
      <c r="M427" s="865"/>
      <c r="N427" s="865"/>
      <c r="O427" s="865"/>
      <c r="P427" s="865"/>
    </row>
    <row r="428" spans="1:16" x14ac:dyDescent="0.25">
      <c r="A428" s="676"/>
      <c r="B428" s="864" t="s">
        <v>330</v>
      </c>
      <c r="C428" s="864"/>
      <c r="D428" s="864"/>
      <c r="E428" s="864"/>
      <c r="F428" s="864" t="s">
        <v>129</v>
      </c>
      <c r="G428" s="864"/>
      <c r="H428" s="864"/>
      <c r="I428" s="864"/>
      <c r="J428" s="864" t="s">
        <v>129</v>
      </c>
      <c r="K428" s="864"/>
      <c r="L428" s="864"/>
      <c r="M428" s="864"/>
      <c r="N428" s="864"/>
      <c r="O428" s="864"/>
      <c r="P428" s="864"/>
    </row>
    <row r="429" spans="1:16" ht="27.2" customHeight="1" x14ac:dyDescent="0.25">
      <c r="A429" s="675"/>
      <c r="B429" s="865" t="s">
        <v>1477</v>
      </c>
      <c r="C429" s="865"/>
      <c r="D429" s="865"/>
      <c r="E429" s="865"/>
      <c r="F429" s="865" t="s">
        <v>1478</v>
      </c>
      <c r="G429" s="865"/>
      <c r="H429" s="865"/>
      <c r="I429" s="865"/>
      <c r="J429" s="865" t="s">
        <v>129</v>
      </c>
      <c r="K429" s="865"/>
      <c r="L429" s="865"/>
      <c r="M429" s="865"/>
      <c r="N429" s="865"/>
      <c r="O429" s="865"/>
      <c r="P429" s="865"/>
    </row>
    <row r="430" spans="1:16" x14ac:dyDescent="0.25">
      <c r="A430" s="675"/>
      <c r="B430" s="865" t="s">
        <v>1403</v>
      </c>
      <c r="C430" s="865"/>
      <c r="D430" s="865"/>
      <c r="E430" s="865"/>
      <c r="F430" s="865" t="s">
        <v>1479</v>
      </c>
      <c r="G430" s="865"/>
      <c r="H430" s="865"/>
      <c r="I430" s="865"/>
      <c r="J430" s="865" t="s">
        <v>129</v>
      </c>
      <c r="K430" s="865"/>
      <c r="L430" s="865"/>
      <c r="M430" s="865"/>
      <c r="N430" s="865"/>
      <c r="O430" s="865"/>
      <c r="P430" s="865"/>
    </row>
    <row r="431" spans="1:16" x14ac:dyDescent="0.25">
      <c r="A431" s="675"/>
      <c r="B431" s="865" t="s">
        <v>1480</v>
      </c>
      <c r="C431" s="865"/>
      <c r="D431" s="865"/>
      <c r="E431" s="865"/>
      <c r="F431" s="865" t="s">
        <v>1481</v>
      </c>
      <c r="G431" s="865"/>
      <c r="H431" s="865"/>
      <c r="I431" s="865"/>
      <c r="J431" s="865" t="s">
        <v>129</v>
      </c>
      <c r="K431" s="865"/>
      <c r="L431" s="865"/>
      <c r="M431" s="865"/>
      <c r="N431" s="865"/>
      <c r="O431" s="865"/>
      <c r="P431" s="865"/>
    </row>
    <row r="432" spans="1:16" ht="244.9" customHeight="1" x14ac:dyDescent="0.25">
      <c r="A432" s="674" t="s">
        <v>182</v>
      </c>
      <c r="B432" s="781" t="s">
        <v>1194</v>
      </c>
      <c r="C432" s="782"/>
      <c r="D432" s="782"/>
      <c r="E432" s="782"/>
      <c r="F432" s="782" t="s">
        <v>1195</v>
      </c>
      <c r="G432" s="782"/>
      <c r="H432" s="782"/>
      <c r="I432" s="782"/>
      <c r="J432" s="782" t="s">
        <v>2809</v>
      </c>
      <c r="K432" s="782"/>
      <c r="L432" s="782"/>
      <c r="M432" s="866">
        <f>ROUND((30800 + 608 * 250) * 1 * 1.68 * 0.6 * 0.9 * 1.1 * 1.28263, 0)</f>
        <v>233977</v>
      </c>
      <c r="N432" s="782"/>
      <c r="O432" s="782" t="s">
        <v>1196</v>
      </c>
      <c r="P432" s="782"/>
    </row>
    <row r="433" spans="1:16" x14ac:dyDescent="0.25">
      <c r="A433" s="676"/>
      <c r="B433" s="864" t="s">
        <v>306</v>
      </c>
      <c r="C433" s="864"/>
      <c r="D433" s="864"/>
      <c r="E433" s="864"/>
      <c r="F433" s="864" t="s">
        <v>129</v>
      </c>
      <c r="G433" s="864"/>
      <c r="H433" s="864"/>
      <c r="I433" s="864"/>
      <c r="J433" s="864" t="s">
        <v>129</v>
      </c>
      <c r="K433" s="864"/>
      <c r="L433" s="864"/>
      <c r="M433" s="864"/>
      <c r="N433" s="864"/>
      <c r="O433" s="864"/>
      <c r="P433" s="864"/>
    </row>
    <row r="434" spans="1:16" x14ac:dyDescent="0.25">
      <c r="A434" s="675"/>
      <c r="B434" s="865" t="s">
        <v>507</v>
      </c>
      <c r="C434" s="865"/>
      <c r="D434" s="865"/>
      <c r="E434" s="865"/>
      <c r="F434" s="865" t="s">
        <v>508</v>
      </c>
      <c r="G434" s="865"/>
      <c r="H434" s="865"/>
      <c r="I434" s="865"/>
      <c r="J434" s="865" t="s">
        <v>129</v>
      </c>
      <c r="K434" s="865"/>
      <c r="L434" s="865"/>
      <c r="M434" s="865"/>
      <c r="N434" s="865"/>
      <c r="O434" s="865"/>
      <c r="P434" s="865"/>
    </row>
    <row r="435" spans="1:16" ht="40.9" customHeight="1" x14ac:dyDescent="0.25">
      <c r="A435" s="675"/>
      <c r="B435" s="865" t="s">
        <v>331</v>
      </c>
      <c r="C435" s="865"/>
      <c r="D435" s="865"/>
      <c r="E435" s="865"/>
      <c r="F435" s="865" t="s">
        <v>332</v>
      </c>
      <c r="G435" s="865"/>
      <c r="H435" s="865"/>
      <c r="I435" s="865"/>
      <c r="J435" s="865" t="s">
        <v>129</v>
      </c>
      <c r="K435" s="865"/>
      <c r="L435" s="865"/>
      <c r="M435" s="865"/>
      <c r="N435" s="865"/>
      <c r="O435" s="865"/>
      <c r="P435" s="865"/>
    </row>
    <row r="436" spans="1:16" ht="108.75" customHeight="1" x14ac:dyDescent="0.25">
      <c r="A436" s="675"/>
      <c r="B436" s="865" t="s">
        <v>1809</v>
      </c>
      <c r="C436" s="865"/>
      <c r="D436" s="865"/>
      <c r="E436" s="865"/>
      <c r="F436" s="865" t="s">
        <v>1810</v>
      </c>
      <c r="G436" s="865"/>
      <c r="H436" s="865"/>
      <c r="I436" s="865"/>
      <c r="J436" s="865" t="s">
        <v>129</v>
      </c>
      <c r="K436" s="865"/>
      <c r="L436" s="865"/>
      <c r="M436" s="865"/>
      <c r="N436" s="865"/>
      <c r="O436" s="865"/>
      <c r="P436" s="865"/>
    </row>
    <row r="437" spans="1:16" ht="95.25" customHeight="1" x14ac:dyDescent="0.25">
      <c r="A437" s="675"/>
      <c r="B437" s="865" t="s">
        <v>1197</v>
      </c>
      <c r="C437" s="865"/>
      <c r="D437" s="865"/>
      <c r="E437" s="865"/>
      <c r="F437" s="865" t="s">
        <v>2577</v>
      </c>
      <c r="G437" s="865"/>
      <c r="H437" s="865"/>
      <c r="I437" s="865"/>
      <c r="J437" s="865" t="s">
        <v>129</v>
      </c>
      <c r="K437" s="865"/>
      <c r="L437" s="865"/>
      <c r="M437" s="865"/>
      <c r="N437" s="865"/>
      <c r="O437" s="865"/>
      <c r="P437" s="865"/>
    </row>
    <row r="438" spans="1:16" ht="149.65" customHeight="1" x14ac:dyDescent="0.25">
      <c r="A438" s="675"/>
      <c r="B438" s="865" t="s">
        <v>329</v>
      </c>
      <c r="C438" s="865"/>
      <c r="D438" s="865"/>
      <c r="E438" s="865"/>
      <c r="F438" s="865" t="s">
        <v>2466</v>
      </c>
      <c r="G438" s="865"/>
      <c r="H438" s="865"/>
      <c r="I438" s="865"/>
      <c r="J438" s="865" t="s">
        <v>129</v>
      </c>
      <c r="K438" s="865"/>
      <c r="L438" s="865"/>
      <c r="M438" s="865"/>
      <c r="N438" s="865"/>
      <c r="O438" s="865"/>
      <c r="P438" s="865"/>
    </row>
    <row r="439" spans="1:16" x14ac:dyDescent="0.25">
      <c r="A439" s="676"/>
      <c r="B439" s="864" t="s">
        <v>330</v>
      </c>
      <c r="C439" s="864"/>
      <c r="D439" s="864"/>
      <c r="E439" s="864"/>
      <c r="F439" s="864" t="s">
        <v>129</v>
      </c>
      <c r="G439" s="864"/>
      <c r="H439" s="864"/>
      <c r="I439" s="864"/>
      <c r="J439" s="864" t="s">
        <v>129</v>
      </c>
      <c r="K439" s="864"/>
      <c r="L439" s="864"/>
      <c r="M439" s="864"/>
      <c r="N439" s="864"/>
      <c r="O439" s="864"/>
      <c r="P439" s="864"/>
    </row>
    <row r="440" spans="1:16" x14ac:dyDescent="0.25">
      <c r="A440" s="675"/>
      <c r="B440" s="865" t="s">
        <v>1028</v>
      </c>
      <c r="C440" s="865"/>
      <c r="D440" s="865"/>
      <c r="E440" s="865"/>
      <c r="F440" s="865" t="s">
        <v>2808</v>
      </c>
      <c r="G440" s="865"/>
      <c r="H440" s="865"/>
      <c r="I440" s="865"/>
      <c r="J440" s="865" t="s">
        <v>129</v>
      </c>
      <c r="K440" s="865"/>
      <c r="L440" s="865"/>
      <c r="M440" s="865"/>
      <c r="N440" s="865"/>
      <c r="O440" s="865"/>
      <c r="P440" s="865"/>
    </row>
    <row r="441" spans="1:16" x14ac:dyDescent="0.25">
      <c r="A441" s="675"/>
      <c r="B441" s="865" t="s">
        <v>1156</v>
      </c>
      <c r="C441" s="865"/>
      <c r="D441" s="865"/>
      <c r="E441" s="865"/>
      <c r="F441" s="865" t="s">
        <v>2807</v>
      </c>
      <c r="G441" s="865"/>
      <c r="H441" s="865"/>
      <c r="I441" s="865"/>
      <c r="J441" s="865" t="s">
        <v>129</v>
      </c>
      <c r="K441" s="865"/>
      <c r="L441" s="865"/>
      <c r="M441" s="865"/>
      <c r="N441" s="865"/>
      <c r="O441" s="865"/>
      <c r="P441" s="865"/>
    </row>
    <row r="442" spans="1:16" ht="54.4" customHeight="1" x14ac:dyDescent="0.25">
      <c r="A442" s="675"/>
      <c r="B442" s="865" t="s">
        <v>1169</v>
      </c>
      <c r="C442" s="865"/>
      <c r="D442" s="865"/>
      <c r="E442" s="865"/>
      <c r="F442" s="865" t="s">
        <v>2806</v>
      </c>
      <c r="G442" s="865"/>
      <c r="H442" s="865"/>
      <c r="I442" s="865"/>
      <c r="J442" s="865" t="s">
        <v>129</v>
      </c>
      <c r="K442" s="865"/>
      <c r="L442" s="865"/>
      <c r="M442" s="865"/>
      <c r="N442" s="865"/>
      <c r="O442" s="865"/>
      <c r="P442" s="865"/>
    </row>
    <row r="443" spans="1:16" ht="27.2" customHeight="1" x14ac:dyDescent="0.25">
      <c r="A443" s="675"/>
      <c r="B443" s="865" t="s">
        <v>1160</v>
      </c>
      <c r="C443" s="865"/>
      <c r="D443" s="865"/>
      <c r="E443" s="865"/>
      <c r="F443" s="865" t="s">
        <v>2805</v>
      </c>
      <c r="G443" s="865"/>
      <c r="H443" s="865"/>
      <c r="I443" s="865"/>
      <c r="J443" s="865" t="s">
        <v>129</v>
      </c>
      <c r="K443" s="865"/>
      <c r="L443" s="865"/>
      <c r="M443" s="865"/>
      <c r="N443" s="865"/>
      <c r="O443" s="865"/>
      <c r="P443" s="865"/>
    </row>
    <row r="444" spans="1:16" x14ac:dyDescent="0.25">
      <c r="A444" s="675"/>
      <c r="B444" s="865" t="s">
        <v>1474</v>
      </c>
      <c r="C444" s="865"/>
      <c r="D444" s="865"/>
      <c r="E444" s="865"/>
      <c r="F444" s="865" t="s">
        <v>2804</v>
      </c>
      <c r="G444" s="865"/>
      <c r="H444" s="865"/>
      <c r="I444" s="865"/>
      <c r="J444" s="865" t="s">
        <v>129</v>
      </c>
      <c r="K444" s="865"/>
      <c r="L444" s="865"/>
      <c r="M444" s="865"/>
      <c r="N444" s="865"/>
      <c r="O444" s="865"/>
      <c r="P444" s="865"/>
    </row>
    <row r="445" spans="1:16" ht="149.65" customHeight="1" x14ac:dyDescent="0.25">
      <c r="A445" s="674" t="s">
        <v>184</v>
      </c>
      <c r="B445" s="781" t="s">
        <v>1198</v>
      </c>
      <c r="C445" s="782"/>
      <c r="D445" s="782"/>
      <c r="E445" s="782"/>
      <c r="F445" s="782" t="s">
        <v>1199</v>
      </c>
      <c r="G445" s="782"/>
      <c r="H445" s="782"/>
      <c r="I445" s="782"/>
      <c r="J445" s="782" t="s">
        <v>2797</v>
      </c>
      <c r="K445" s="782"/>
      <c r="L445" s="782"/>
      <c r="M445" s="866">
        <f>ROUND(52800 * 1 * 1.68 * 0.6 * 0.9 * 1.28263, 0)</f>
        <v>61438</v>
      </c>
      <c r="N445" s="782"/>
      <c r="O445" s="782" t="s">
        <v>1200</v>
      </c>
      <c r="P445" s="782"/>
    </row>
    <row r="446" spans="1:16" x14ac:dyDescent="0.25">
      <c r="A446" s="676"/>
      <c r="B446" s="864" t="s">
        <v>306</v>
      </c>
      <c r="C446" s="864"/>
      <c r="D446" s="864"/>
      <c r="E446" s="864"/>
      <c r="F446" s="864" t="s">
        <v>129</v>
      </c>
      <c r="G446" s="864"/>
      <c r="H446" s="864"/>
      <c r="I446" s="864"/>
      <c r="J446" s="864" t="s">
        <v>129</v>
      </c>
      <c r="K446" s="864"/>
      <c r="L446" s="864"/>
      <c r="M446" s="864"/>
      <c r="N446" s="864"/>
      <c r="O446" s="864"/>
      <c r="P446" s="864"/>
    </row>
    <row r="447" spans="1:16" x14ac:dyDescent="0.25">
      <c r="A447" s="675"/>
      <c r="B447" s="865" t="s">
        <v>507</v>
      </c>
      <c r="C447" s="865"/>
      <c r="D447" s="865"/>
      <c r="E447" s="865"/>
      <c r="F447" s="865" t="s">
        <v>508</v>
      </c>
      <c r="G447" s="865"/>
      <c r="H447" s="865"/>
      <c r="I447" s="865"/>
      <c r="J447" s="865" t="s">
        <v>129</v>
      </c>
      <c r="K447" s="865"/>
      <c r="L447" s="865"/>
      <c r="M447" s="865"/>
      <c r="N447" s="865"/>
      <c r="O447" s="865"/>
      <c r="P447" s="865"/>
    </row>
    <row r="448" spans="1:16" ht="40.9" customHeight="1" x14ac:dyDescent="0.25">
      <c r="A448" s="675"/>
      <c r="B448" s="865" t="s">
        <v>331</v>
      </c>
      <c r="C448" s="865"/>
      <c r="D448" s="865"/>
      <c r="E448" s="865"/>
      <c r="F448" s="865" t="s">
        <v>332</v>
      </c>
      <c r="G448" s="865"/>
      <c r="H448" s="865"/>
      <c r="I448" s="865"/>
      <c r="J448" s="865" t="s">
        <v>129</v>
      </c>
      <c r="K448" s="865"/>
      <c r="L448" s="865"/>
      <c r="M448" s="865"/>
      <c r="N448" s="865"/>
      <c r="O448" s="865"/>
      <c r="P448" s="865"/>
    </row>
    <row r="449" spans="1:16" ht="108.75" customHeight="1" x14ac:dyDescent="0.25">
      <c r="A449" s="675"/>
      <c r="B449" s="865" t="s">
        <v>1809</v>
      </c>
      <c r="C449" s="865"/>
      <c r="D449" s="865"/>
      <c r="E449" s="865"/>
      <c r="F449" s="865" t="s">
        <v>1810</v>
      </c>
      <c r="G449" s="865"/>
      <c r="H449" s="865"/>
      <c r="I449" s="865"/>
      <c r="J449" s="865" t="s">
        <v>129</v>
      </c>
      <c r="K449" s="865"/>
      <c r="L449" s="865"/>
      <c r="M449" s="865"/>
      <c r="N449" s="865"/>
      <c r="O449" s="865"/>
      <c r="P449" s="865"/>
    </row>
    <row r="450" spans="1:16" ht="149.65" customHeight="1" x14ac:dyDescent="0.25">
      <c r="A450" s="675"/>
      <c r="B450" s="865" t="s">
        <v>329</v>
      </c>
      <c r="C450" s="865"/>
      <c r="D450" s="865"/>
      <c r="E450" s="865"/>
      <c r="F450" s="865" t="s">
        <v>340</v>
      </c>
      <c r="G450" s="865"/>
      <c r="H450" s="865"/>
      <c r="I450" s="865"/>
      <c r="J450" s="865" t="s">
        <v>129</v>
      </c>
      <c r="K450" s="865"/>
      <c r="L450" s="865"/>
      <c r="M450" s="865"/>
      <c r="N450" s="865"/>
      <c r="O450" s="865"/>
      <c r="P450" s="865"/>
    </row>
    <row r="451" spans="1:16" x14ac:dyDescent="0.25">
      <c r="A451" s="676"/>
      <c r="B451" s="864" t="s">
        <v>330</v>
      </c>
      <c r="C451" s="864"/>
      <c r="D451" s="864"/>
      <c r="E451" s="864"/>
      <c r="F451" s="864" t="s">
        <v>129</v>
      </c>
      <c r="G451" s="864"/>
      <c r="H451" s="864"/>
      <c r="I451" s="864"/>
      <c r="J451" s="864" t="s">
        <v>129</v>
      </c>
      <c r="K451" s="864"/>
      <c r="L451" s="864"/>
      <c r="M451" s="864"/>
      <c r="N451" s="864"/>
      <c r="O451" s="864"/>
      <c r="P451" s="864"/>
    </row>
    <row r="452" spans="1:16" x14ac:dyDescent="0.25">
      <c r="A452" s="675"/>
      <c r="B452" s="865" t="s">
        <v>1028</v>
      </c>
      <c r="C452" s="865"/>
      <c r="D452" s="865"/>
      <c r="E452" s="865"/>
      <c r="F452" s="865" t="s">
        <v>2796</v>
      </c>
      <c r="G452" s="865"/>
      <c r="H452" s="865"/>
      <c r="I452" s="865"/>
      <c r="J452" s="865" t="s">
        <v>129</v>
      </c>
      <c r="K452" s="865"/>
      <c r="L452" s="865"/>
      <c r="M452" s="865"/>
      <c r="N452" s="865"/>
      <c r="O452" s="865"/>
      <c r="P452" s="865"/>
    </row>
    <row r="453" spans="1:16" x14ac:dyDescent="0.25">
      <c r="A453" s="675"/>
      <c r="B453" s="865" t="s">
        <v>1156</v>
      </c>
      <c r="C453" s="865"/>
      <c r="D453" s="865"/>
      <c r="E453" s="865"/>
      <c r="F453" s="865" t="s">
        <v>2795</v>
      </c>
      <c r="G453" s="865"/>
      <c r="H453" s="865"/>
      <c r="I453" s="865"/>
      <c r="J453" s="865" t="s">
        <v>129</v>
      </c>
      <c r="K453" s="865"/>
      <c r="L453" s="865"/>
      <c r="M453" s="865"/>
      <c r="N453" s="865"/>
      <c r="O453" s="865"/>
      <c r="P453" s="865"/>
    </row>
    <row r="454" spans="1:16" ht="54.4" customHeight="1" x14ac:dyDescent="0.25">
      <c r="A454" s="675"/>
      <c r="B454" s="865" t="s">
        <v>1169</v>
      </c>
      <c r="C454" s="865"/>
      <c r="D454" s="865"/>
      <c r="E454" s="865"/>
      <c r="F454" s="865" t="s">
        <v>2794</v>
      </c>
      <c r="G454" s="865"/>
      <c r="H454" s="865"/>
      <c r="I454" s="865"/>
      <c r="J454" s="865" t="s">
        <v>129</v>
      </c>
      <c r="K454" s="865"/>
      <c r="L454" s="865"/>
      <c r="M454" s="865"/>
      <c r="N454" s="865"/>
      <c r="O454" s="865"/>
      <c r="P454" s="865"/>
    </row>
    <row r="455" spans="1:16" ht="27.2" customHeight="1" x14ac:dyDescent="0.25">
      <c r="A455" s="675"/>
      <c r="B455" s="865" t="s">
        <v>1160</v>
      </c>
      <c r="C455" s="865"/>
      <c r="D455" s="865"/>
      <c r="E455" s="865"/>
      <c r="F455" s="865" t="s">
        <v>2793</v>
      </c>
      <c r="G455" s="865"/>
      <c r="H455" s="865"/>
      <c r="I455" s="865"/>
      <c r="J455" s="865" t="s">
        <v>129</v>
      </c>
      <c r="K455" s="865"/>
      <c r="L455" s="865"/>
      <c r="M455" s="865"/>
      <c r="N455" s="865"/>
      <c r="O455" s="865"/>
      <c r="P455" s="865"/>
    </row>
    <row r="456" spans="1:16" x14ac:dyDescent="0.25">
      <c r="A456" s="675"/>
      <c r="B456" s="865" t="s">
        <v>1474</v>
      </c>
      <c r="C456" s="865"/>
      <c r="D456" s="865"/>
      <c r="E456" s="865"/>
      <c r="F456" s="865" t="s">
        <v>2792</v>
      </c>
      <c r="G456" s="865"/>
      <c r="H456" s="865"/>
      <c r="I456" s="865"/>
      <c r="J456" s="865" t="s">
        <v>129</v>
      </c>
      <c r="K456" s="865"/>
      <c r="L456" s="865"/>
      <c r="M456" s="865"/>
      <c r="N456" s="865"/>
      <c r="O456" s="865"/>
      <c r="P456" s="865"/>
    </row>
    <row r="457" spans="1:16" ht="244.9" customHeight="1" x14ac:dyDescent="0.25">
      <c r="A457" s="674" t="s">
        <v>185</v>
      </c>
      <c r="B457" s="781" t="s">
        <v>1194</v>
      </c>
      <c r="C457" s="782"/>
      <c r="D457" s="782"/>
      <c r="E457" s="782"/>
      <c r="F457" s="782" t="s">
        <v>1201</v>
      </c>
      <c r="G457" s="782"/>
      <c r="H457" s="782"/>
      <c r="I457" s="782"/>
      <c r="J457" s="782" t="s">
        <v>2803</v>
      </c>
      <c r="K457" s="782"/>
      <c r="L457" s="782"/>
      <c r="M457" s="866">
        <f>ROUND((30800 + 608 * 350) * 1 * 1.68 * 0.6 * 0.9 * 1.1 * 1.28263, 0)</f>
        <v>311799</v>
      </c>
      <c r="N457" s="782"/>
      <c r="O457" s="782" t="s">
        <v>1202</v>
      </c>
      <c r="P457" s="782"/>
    </row>
    <row r="458" spans="1:16" x14ac:dyDescent="0.25">
      <c r="A458" s="676"/>
      <c r="B458" s="864" t="s">
        <v>306</v>
      </c>
      <c r="C458" s="864"/>
      <c r="D458" s="864"/>
      <c r="E458" s="864"/>
      <c r="F458" s="864" t="s">
        <v>129</v>
      </c>
      <c r="G458" s="864"/>
      <c r="H458" s="864"/>
      <c r="I458" s="864"/>
      <c r="J458" s="864" t="s">
        <v>129</v>
      </c>
      <c r="K458" s="864"/>
      <c r="L458" s="864"/>
      <c r="M458" s="864"/>
      <c r="N458" s="864"/>
      <c r="O458" s="864"/>
      <c r="P458" s="864"/>
    </row>
    <row r="459" spans="1:16" x14ac:dyDescent="0.25">
      <c r="A459" s="675"/>
      <c r="B459" s="865" t="s">
        <v>507</v>
      </c>
      <c r="C459" s="865"/>
      <c r="D459" s="865"/>
      <c r="E459" s="865"/>
      <c r="F459" s="865" t="s">
        <v>508</v>
      </c>
      <c r="G459" s="865"/>
      <c r="H459" s="865"/>
      <c r="I459" s="865"/>
      <c r="J459" s="865" t="s">
        <v>129</v>
      </c>
      <c r="K459" s="865"/>
      <c r="L459" s="865"/>
      <c r="M459" s="865"/>
      <c r="N459" s="865"/>
      <c r="O459" s="865"/>
      <c r="P459" s="865"/>
    </row>
    <row r="460" spans="1:16" ht="40.9" customHeight="1" x14ac:dyDescent="0.25">
      <c r="A460" s="675"/>
      <c r="B460" s="865" t="s">
        <v>331</v>
      </c>
      <c r="C460" s="865"/>
      <c r="D460" s="865"/>
      <c r="E460" s="865"/>
      <c r="F460" s="865" t="s">
        <v>332</v>
      </c>
      <c r="G460" s="865"/>
      <c r="H460" s="865"/>
      <c r="I460" s="865"/>
      <c r="J460" s="865" t="s">
        <v>129</v>
      </c>
      <c r="K460" s="865"/>
      <c r="L460" s="865"/>
      <c r="M460" s="865"/>
      <c r="N460" s="865"/>
      <c r="O460" s="865"/>
      <c r="P460" s="865"/>
    </row>
    <row r="461" spans="1:16" ht="108.75" customHeight="1" x14ac:dyDescent="0.25">
      <c r="A461" s="675"/>
      <c r="B461" s="865" t="s">
        <v>1809</v>
      </c>
      <c r="C461" s="865"/>
      <c r="D461" s="865"/>
      <c r="E461" s="865"/>
      <c r="F461" s="865" t="s">
        <v>1810</v>
      </c>
      <c r="G461" s="865"/>
      <c r="H461" s="865"/>
      <c r="I461" s="865"/>
      <c r="J461" s="865" t="s">
        <v>129</v>
      </c>
      <c r="K461" s="865"/>
      <c r="L461" s="865"/>
      <c r="M461" s="865"/>
      <c r="N461" s="865"/>
      <c r="O461" s="865"/>
      <c r="P461" s="865"/>
    </row>
    <row r="462" spans="1:16" ht="95.25" customHeight="1" x14ac:dyDescent="0.25">
      <c r="A462" s="675"/>
      <c r="B462" s="865" t="s">
        <v>1197</v>
      </c>
      <c r="C462" s="865"/>
      <c r="D462" s="865"/>
      <c r="E462" s="865"/>
      <c r="F462" s="865" t="s">
        <v>2577</v>
      </c>
      <c r="G462" s="865"/>
      <c r="H462" s="865"/>
      <c r="I462" s="865"/>
      <c r="J462" s="865" t="s">
        <v>129</v>
      </c>
      <c r="K462" s="865"/>
      <c r="L462" s="865"/>
      <c r="M462" s="865"/>
      <c r="N462" s="865"/>
      <c r="O462" s="865"/>
      <c r="P462" s="865"/>
    </row>
    <row r="463" spans="1:16" ht="149.65" customHeight="1" x14ac:dyDescent="0.25">
      <c r="A463" s="675"/>
      <c r="B463" s="865" t="s">
        <v>329</v>
      </c>
      <c r="C463" s="865"/>
      <c r="D463" s="865"/>
      <c r="E463" s="865"/>
      <c r="F463" s="865" t="s">
        <v>2466</v>
      </c>
      <c r="G463" s="865"/>
      <c r="H463" s="865"/>
      <c r="I463" s="865"/>
      <c r="J463" s="865" t="s">
        <v>129</v>
      </c>
      <c r="K463" s="865"/>
      <c r="L463" s="865"/>
      <c r="M463" s="865"/>
      <c r="N463" s="865"/>
      <c r="O463" s="865"/>
      <c r="P463" s="865"/>
    </row>
    <row r="464" spans="1:16" x14ac:dyDescent="0.25">
      <c r="A464" s="676"/>
      <c r="B464" s="864" t="s">
        <v>330</v>
      </c>
      <c r="C464" s="864"/>
      <c r="D464" s="864"/>
      <c r="E464" s="864"/>
      <c r="F464" s="864" t="s">
        <v>129</v>
      </c>
      <c r="G464" s="864"/>
      <c r="H464" s="864"/>
      <c r="I464" s="864"/>
      <c r="J464" s="864" t="s">
        <v>129</v>
      </c>
      <c r="K464" s="864"/>
      <c r="L464" s="864"/>
      <c r="M464" s="864"/>
      <c r="N464" s="864"/>
      <c r="O464" s="864"/>
      <c r="P464" s="864"/>
    </row>
    <row r="465" spans="1:16" x14ac:dyDescent="0.25">
      <c r="A465" s="675"/>
      <c r="B465" s="865" t="s">
        <v>1028</v>
      </c>
      <c r="C465" s="865"/>
      <c r="D465" s="865"/>
      <c r="E465" s="865"/>
      <c r="F465" s="865" t="s">
        <v>2802</v>
      </c>
      <c r="G465" s="865"/>
      <c r="H465" s="865"/>
      <c r="I465" s="865"/>
      <c r="J465" s="865" t="s">
        <v>129</v>
      </c>
      <c r="K465" s="865"/>
      <c r="L465" s="865"/>
      <c r="M465" s="865"/>
      <c r="N465" s="865"/>
      <c r="O465" s="865"/>
      <c r="P465" s="865"/>
    </row>
    <row r="466" spans="1:16" x14ac:dyDescent="0.25">
      <c r="A466" s="675"/>
      <c r="B466" s="865" t="s">
        <v>1156</v>
      </c>
      <c r="C466" s="865"/>
      <c r="D466" s="865"/>
      <c r="E466" s="865"/>
      <c r="F466" s="865" t="s">
        <v>2801</v>
      </c>
      <c r="G466" s="865"/>
      <c r="H466" s="865"/>
      <c r="I466" s="865"/>
      <c r="J466" s="865" t="s">
        <v>129</v>
      </c>
      <c r="K466" s="865"/>
      <c r="L466" s="865"/>
      <c r="M466" s="865"/>
      <c r="N466" s="865"/>
      <c r="O466" s="865"/>
      <c r="P466" s="865"/>
    </row>
    <row r="467" spans="1:16" ht="54.4" customHeight="1" x14ac:dyDescent="0.25">
      <c r="A467" s="675"/>
      <c r="B467" s="865" t="s">
        <v>1169</v>
      </c>
      <c r="C467" s="865"/>
      <c r="D467" s="865"/>
      <c r="E467" s="865"/>
      <c r="F467" s="865" t="s">
        <v>2800</v>
      </c>
      <c r="G467" s="865"/>
      <c r="H467" s="865"/>
      <c r="I467" s="865"/>
      <c r="J467" s="865" t="s">
        <v>129</v>
      </c>
      <c r="K467" s="865"/>
      <c r="L467" s="865"/>
      <c r="M467" s="865"/>
      <c r="N467" s="865"/>
      <c r="O467" s="865"/>
      <c r="P467" s="865"/>
    </row>
    <row r="468" spans="1:16" ht="27.2" customHeight="1" x14ac:dyDescent="0.25">
      <c r="A468" s="675"/>
      <c r="B468" s="865" t="s">
        <v>1160</v>
      </c>
      <c r="C468" s="865"/>
      <c r="D468" s="865"/>
      <c r="E468" s="865"/>
      <c r="F468" s="865" t="s">
        <v>2799</v>
      </c>
      <c r="G468" s="865"/>
      <c r="H468" s="865"/>
      <c r="I468" s="865"/>
      <c r="J468" s="865" t="s">
        <v>129</v>
      </c>
      <c r="K468" s="865"/>
      <c r="L468" s="865"/>
      <c r="M468" s="865"/>
      <c r="N468" s="865"/>
      <c r="O468" s="865"/>
      <c r="P468" s="865"/>
    </row>
    <row r="469" spans="1:16" x14ac:dyDescent="0.25">
      <c r="A469" s="675"/>
      <c r="B469" s="865" t="s">
        <v>1474</v>
      </c>
      <c r="C469" s="865"/>
      <c r="D469" s="865"/>
      <c r="E469" s="865"/>
      <c r="F469" s="865" t="s">
        <v>2798</v>
      </c>
      <c r="G469" s="865"/>
      <c r="H469" s="865"/>
      <c r="I469" s="865"/>
      <c r="J469" s="865" t="s">
        <v>129</v>
      </c>
      <c r="K469" s="865"/>
      <c r="L469" s="865"/>
      <c r="M469" s="865"/>
      <c r="N469" s="865"/>
      <c r="O469" s="865"/>
      <c r="P469" s="865"/>
    </row>
    <row r="470" spans="1:16" ht="149.65" customHeight="1" x14ac:dyDescent="0.25">
      <c r="A470" s="674" t="s">
        <v>186</v>
      </c>
      <c r="B470" s="781" t="s">
        <v>1198</v>
      </c>
      <c r="C470" s="782"/>
      <c r="D470" s="782"/>
      <c r="E470" s="782"/>
      <c r="F470" s="782" t="s">
        <v>1199</v>
      </c>
      <c r="G470" s="782"/>
      <c r="H470" s="782"/>
      <c r="I470" s="782"/>
      <c r="J470" s="782" t="s">
        <v>2797</v>
      </c>
      <c r="K470" s="782"/>
      <c r="L470" s="782"/>
      <c r="M470" s="866">
        <f>ROUND(52800 * 1 * 1.68 * 0.6 * 0.9 * 1.28263, 0)</f>
        <v>61438</v>
      </c>
      <c r="N470" s="782"/>
      <c r="O470" s="782" t="s">
        <v>1203</v>
      </c>
      <c r="P470" s="782"/>
    </row>
    <row r="471" spans="1:16" x14ac:dyDescent="0.25">
      <c r="A471" s="676"/>
      <c r="B471" s="864" t="s">
        <v>306</v>
      </c>
      <c r="C471" s="864"/>
      <c r="D471" s="864"/>
      <c r="E471" s="864"/>
      <c r="F471" s="864" t="s">
        <v>129</v>
      </c>
      <c r="G471" s="864"/>
      <c r="H471" s="864"/>
      <c r="I471" s="864"/>
      <c r="J471" s="864" t="s">
        <v>129</v>
      </c>
      <c r="K471" s="864"/>
      <c r="L471" s="864"/>
      <c r="M471" s="864"/>
      <c r="N471" s="864"/>
      <c r="O471" s="864"/>
      <c r="P471" s="864"/>
    </row>
    <row r="472" spans="1:16" x14ac:dyDescent="0.25">
      <c r="A472" s="675"/>
      <c r="B472" s="865" t="s">
        <v>507</v>
      </c>
      <c r="C472" s="865"/>
      <c r="D472" s="865"/>
      <c r="E472" s="865"/>
      <c r="F472" s="865" t="s">
        <v>508</v>
      </c>
      <c r="G472" s="865"/>
      <c r="H472" s="865"/>
      <c r="I472" s="865"/>
      <c r="J472" s="865" t="s">
        <v>129</v>
      </c>
      <c r="K472" s="865"/>
      <c r="L472" s="865"/>
      <c r="M472" s="865"/>
      <c r="N472" s="865"/>
      <c r="O472" s="865"/>
      <c r="P472" s="865"/>
    </row>
    <row r="473" spans="1:16" ht="40.9" customHeight="1" x14ac:dyDescent="0.25">
      <c r="A473" s="675"/>
      <c r="B473" s="865" t="s">
        <v>331</v>
      </c>
      <c r="C473" s="865"/>
      <c r="D473" s="865"/>
      <c r="E473" s="865"/>
      <c r="F473" s="865" t="s">
        <v>332</v>
      </c>
      <c r="G473" s="865"/>
      <c r="H473" s="865"/>
      <c r="I473" s="865"/>
      <c r="J473" s="865" t="s">
        <v>129</v>
      </c>
      <c r="K473" s="865"/>
      <c r="L473" s="865"/>
      <c r="M473" s="865"/>
      <c r="N473" s="865"/>
      <c r="O473" s="865"/>
      <c r="P473" s="865"/>
    </row>
    <row r="474" spans="1:16" ht="108.75" customHeight="1" x14ac:dyDescent="0.25">
      <c r="A474" s="675"/>
      <c r="B474" s="865" t="s">
        <v>1809</v>
      </c>
      <c r="C474" s="865"/>
      <c r="D474" s="865"/>
      <c r="E474" s="865"/>
      <c r="F474" s="865" t="s">
        <v>1810</v>
      </c>
      <c r="G474" s="865"/>
      <c r="H474" s="865"/>
      <c r="I474" s="865"/>
      <c r="J474" s="865" t="s">
        <v>129</v>
      </c>
      <c r="K474" s="865"/>
      <c r="L474" s="865"/>
      <c r="M474" s="865"/>
      <c r="N474" s="865"/>
      <c r="O474" s="865"/>
      <c r="P474" s="865"/>
    </row>
    <row r="475" spans="1:16" ht="149.65" customHeight="1" x14ac:dyDescent="0.25">
      <c r="A475" s="675"/>
      <c r="B475" s="865" t="s">
        <v>329</v>
      </c>
      <c r="C475" s="865"/>
      <c r="D475" s="865"/>
      <c r="E475" s="865"/>
      <c r="F475" s="865" t="s">
        <v>340</v>
      </c>
      <c r="G475" s="865"/>
      <c r="H475" s="865"/>
      <c r="I475" s="865"/>
      <c r="J475" s="865" t="s">
        <v>129</v>
      </c>
      <c r="K475" s="865"/>
      <c r="L475" s="865"/>
      <c r="M475" s="865"/>
      <c r="N475" s="865"/>
      <c r="O475" s="865"/>
      <c r="P475" s="865"/>
    </row>
    <row r="476" spans="1:16" x14ac:dyDescent="0.25">
      <c r="A476" s="676"/>
      <c r="B476" s="864" t="s">
        <v>330</v>
      </c>
      <c r="C476" s="864"/>
      <c r="D476" s="864"/>
      <c r="E476" s="864"/>
      <c r="F476" s="864" t="s">
        <v>129</v>
      </c>
      <c r="G476" s="864"/>
      <c r="H476" s="864"/>
      <c r="I476" s="864"/>
      <c r="J476" s="864" t="s">
        <v>129</v>
      </c>
      <c r="K476" s="864"/>
      <c r="L476" s="864"/>
      <c r="M476" s="864"/>
      <c r="N476" s="864"/>
      <c r="O476" s="864"/>
      <c r="P476" s="864"/>
    </row>
    <row r="477" spans="1:16" x14ac:dyDescent="0.25">
      <c r="A477" s="675"/>
      <c r="B477" s="865" t="s">
        <v>1028</v>
      </c>
      <c r="C477" s="865"/>
      <c r="D477" s="865"/>
      <c r="E477" s="865"/>
      <c r="F477" s="865" t="s">
        <v>2796</v>
      </c>
      <c r="G477" s="865"/>
      <c r="H477" s="865"/>
      <c r="I477" s="865"/>
      <c r="J477" s="865" t="s">
        <v>129</v>
      </c>
      <c r="K477" s="865"/>
      <c r="L477" s="865"/>
      <c r="M477" s="865"/>
      <c r="N477" s="865"/>
      <c r="O477" s="865"/>
      <c r="P477" s="865"/>
    </row>
    <row r="478" spans="1:16" x14ac:dyDescent="0.25">
      <c r="A478" s="675"/>
      <c r="B478" s="865" t="s">
        <v>1156</v>
      </c>
      <c r="C478" s="865"/>
      <c r="D478" s="865"/>
      <c r="E478" s="865"/>
      <c r="F478" s="865" t="s">
        <v>2795</v>
      </c>
      <c r="G478" s="865"/>
      <c r="H478" s="865"/>
      <c r="I478" s="865"/>
      <c r="J478" s="865" t="s">
        <v>129</v>
      </c>
      <c r="K478" s="865"/>
      <c r="L478" s="865"/>
      <c r="M478" s="865"/>
      <c r="N478" s="865"/>
      <c r="O478" s="865"/>
      <c r="P478" s="865"/>
    </row>
    <row r="479" spans="1:16" ht="54.4" customHeight="1" x14ac:dyDescent="0.25">
      <c r="A479" s="675"/>
      <c r="B479" s="865" t="s">
        <v>1169</v>
      </c>
      <c r="C479" s="865"/>
      <c r="D479" s="865"/>
      <c r="E479" s="865"/>
      <c r="F479" s="865" t="s">
        <v>2794</v>
      </c>
      <c r="G479" s="865"/>
      <c r="H479" s="865"/>
      <c r="I479" s="865"/>
      <c r="J479" s="865" t="s">
        <v>129</v>
      </c>
      <c r="K479" s="865"/>
      <c r="L479" s="865"/>
      <c r="M479" s="865"/>
      <c r="N479" s="865"/>
      <c r="O479" s="865"/>
      <c r="P479" s="865"/>
    </row>
    <row r="480" spans="1:16" ht="27.2" customHeight="1" x14ac:dyDescent="0.25">
      <c r="A480" s="675"/>
      <c r="B480" s="865" t="s">
        <v>1160</v>
      </c>
      <c r="C480" s="865"/>
      <c r="D480" s="865"/>
      <c r="E480" s="865"/>
      <c r="F480" s="865" t="s">
        <v>2793</v>
      </c>
      <c r="G480" s="865"/>
      <c r="H480" s="865"/>
      <c r="I480" s="865"/>
      <c r="J480" s="865" t="s">
        <v>129</v>
      </c>
      <c r="K480" s="865"/>
      <c r="L480" s="865"/>
      <c r="M480" s="865"/>
      <c r="N480" s="865"/>
      <c r="O480" s="865"/>
      <c r="P480" s="865"/>
    </row>
    <row r="481" spans="1:16" x14ac:dyDescent="0.25">
      <c r="A481" s="675"/>
      <c r="B481" s="865" t="s">
        <v>1474</v>
      </c>
      <c r="C481" s="865"/>
      <c r="D481" s="865"/>
      <c r="E481" s="865"/>
      <c r="F481" s="865" t="s">
        <v>2792</v>
      </c>
      <c r="G481" s="865"/>
      <c r="H481" s="865"/>
      <c r="I481" s="865"/>
      <c r="J481" s="865" t="s">
        <v>129</v>
      </c>
      <c r="K481" s="865"/>
      <c r="L481" s="865"/>
      <c r="M481" s="865"/>
      <c r="N481" s="865"/>
      <c r="O481" s="865"/>
      <c r="P481" s="865"/>
    </row>
    <row r="482" spans="1:16" ht="217.7" customHeight="1" x14ac:dyDescent="0.25">
      <c r="A482" s="674" t="s">
        <v>18</v>
      </c>
      <c r="B482" s="781" t="s">
        <v>1204</v>
      </c>
      <c r="C482" s="782"/>
      <c r="D482" s="782"/>
      <c r="E482" s="782"/>
      <c r="F482" s="782" t="s">
        <v>1205</v>
      </c>
      <c r="G482" s="782"/>
      <c r="H482" s="782"/>
      <c r="I482" s="782"/>
      <c r="J482" s="782" t="s">
        <v>2791</v>
      </c>
      <c r="K482" s="782"/>
      <c r="L482" s="782"/>
      <c r="M482" s="866">
        <f>ROUND((122600 + 641 * 250) * 1 * 1.68 * 0.6 * 0.9 * 1.1 * 1.28105, 0)</f>
        <v>361591</v>
      </c>
      <c r="N482" s="782"/>
      <c r="O482" s="782" t="s">
        <v>1206</v>
      </c>
      <c r="P482" s="782"/>
    </row>
    <row r="483" spans="1:16" x14ac:dyDescent="0.25">
      <c r="A483" s="676"/>
      <c r="B483" s="864" t="s">
        <v>306</v>
      </c>
      <c r="C483" s="864"/>
      <c r="D483" s="864"/>
      <c r="E483" s="864"/>
      <c r="F483" s="864" t="s">
        <v>129</v>
      </c>
      <c r="G483" s="864"/>
      <c r="H483" s="864"/>
      <c r="I483" s="864"/>
      <c r="J483" s="864" t="s">
        <v>129</v>
      </c>
      <c r="K483" s="864"/>
      <c r="L483" s="864"/>
      <c r="M483" s="864"/>
      <c r="N483" s="864"/>
      <c r="O483" s="864"/>
      <c r="P483" s="864"/>
    </row>
    <row r="484" spans="1:16" x14ac:dyDescent="0.25">
      <c r="A484" s="675"/>
      <c r="B484" s="865" t="s">
        <v>507</v>
      </c>
      <c r="C484" s="865"/>
      <c r="D484" s="865"/>
      <c r="E484" s="865"/>
      <c r="F484" s="865" t="s">
        <v>508</v>
      </c>
      <c r="G484" s="865"/>
      <c r="H484" s="865"/>
      <c r="I484" s="865"/>
      <c r="J484" s="865" t="s">
        <v>129</v>
      </c>
      <c r="K484" s="865"/>
      <c r="L484" s="865"/>
      <c r="M484" s="865"/>
      <c r="N484" s="865"/>
      <c r="O484" s="865"/>
      <c r="P484" s="865"/>
    </row>
    <row r="485" spans="1:16" ht="40.9" customHeight="1" x14ac:dyDescent="0.25">
      <c r="A485" s="675"/>
      <c r="B485" s="865" t="s">
        <v>331</v>
      </c>
      <c r="C485" s="865"/>
      <c r="D485" s="865"/>
      <c r="E485" s="865"/>
      <c r="F485" s="865" t="s">
        <v>332</v>
      </c>
      <c r="G485" s="865"/>
      <c r="H485" s="865"/>
      <c r="I485" s="865"/>
      <c r="J485" s="865" t="s">
        <v>129</v>
      </c>
      <c r="K485" s="865"/>
      <c r="L485" s="865"/>
      <c r="M485" s="865"/>
      <c r="N485" s="865"/>
      <c r="O485" s="865"/>
      <c r="P485" s="865"/>
    </row>
    <row r="486" spans="1:16" ht="108.75" customHeight="1" x14ac:dyDescent="0.25">
      <c r="A486" s="675"/>
      <c r="B486" s="865" t="s">
        <v>1809</v>
      </c>
      <c r="C486" s="865"/>
      <c r="D486" s="865"/>
      <c r="E486" s="865"/>
      <c r="F486" s="865" t="s">
        <v>1810</v>
      </c>
      <c r="G486" s="865"/>
      <c r="H486" s="865"/>
      <c r="I486" s="865"/>
      <c r="J486" s="865" t="s">
        <v>129</v>
      </c>
      <c r="K486" s="865"/>
      <c r="L486" s="865"/>
      <c r="M486" s="865"/>
      <c r="N486" s="865"/>
      <c r="O486" s="865"/>
      <c r="P486" s="865"/>
    </row>
    <row r="487" spans="1:16" ht="95.25" customHeight="1" x14ac:dyDescent="0.25">
      <c r="A487" s="675"/>
      <c r="B487" s="865" t="s">
        <v>1207</v>
      </c>
      <c r="C487" s="865"/>
      <c r="D487" s="865"/>
      <c r="E487" s="865"/>
      <c r="F487" s="865" t="s">
        <v>2553</v>
      </c>
      <c r="G487" s="865"/>
      <c r="H487" s="865"/>
      <c r="I487" s="865"/>
      <c r="J487" s="865" t="s">
        <v>129</v>
      </c>
      <c r="K487" s="865"/>
      <c r="L487" s="865"/>
      <c r="M487" s="865"/>
      <c r="N487" s="865"/>
      <c r="O487" s="865"/>
      <c r="P487" s="865"/>
    </row>
    <row r="488" spans="1:16" ht="149.65" customHeight="1" x14ac:dyDescent="0.25">
      <c r="A488" s="675"/>
      <c r="B488" s="865" t="s">
        <v>329</v>
      </c>
      <c r="C488" s="865"/>
      <c r="D488" s="865"/>
      <c r="E488" s="865"/>
      <c r="F488" s="865" t="s">
        <v>2466</v>
      </c>
      <c r="G488" s="865"/>
      <c r="H488" s="865"/>
      <c r="I488" s="865"/>
      <c r="J488" s="865" t="s">
        <v>129</v>
      </c>
      <c r="K488" s="865"/>
      <c r="L488" s="865"/>
      <c r="M488" s="865"/>
      <c r="N488" s="865"/>
      <c r="O488" s="865"/>
      <c r="P488" s="865"/>
    </row>
    <row r="489" spans="1:16" x14ac:dyDescent="0.25">
      <c r="A489" s="676"/>
      <c r="B489" s="864" t="s">
        <v>330</v>
      </c>
      <c r="C489" s="864"/>
      <c r="D489" s="864"/>
      <c r="E489" s="864"/>
      <c r="F489" s="864" t="s">
        <v>129</v>
      </c>
      <c r="G489" s="864"/>
      <c r="H489" s="864"/>
      <c r="I489" s="864"/>
      <c r="J489" s="864" t="s">
        <v>129</v>
      </c>
      <c r="K489" s="864"/>
      <c r="L489" s="864"/>
      <c r="M489" s="864"/>
      <c r="N489" s="864"/>
      <c r="O489" s="864"/>
      <c r="P489" s="864"/>
    </row>
    <row r="490" spans="1:16" x14ac:dyDescent="0.25">
      <c r="A490" s="675"/>
      <c r="B490" s="865" t="s">
        <v>1028</v>
      </c>
      <c r="C490" s="865"/>
      <c r="D490" s="865"/>
      <c r="E490" s="865"/>
      <c r="F490" s="865" t="s">
        <v>2790</v>
      </c>
      <c r="G490" s="865"/>
      <c r="H490" s="865"/>
      <c r="I490" s="865"/>
      <c r="J490" s="865" t="s">
        <v>129</v>
      </c>
      <c r="K490" s="865"/>
      <c r="L490" s="865"/>
      <c r="M490" s="865"/>
      <c r="N490" s="865"/>
      <c r="O490" s="865"/>
      <c r="P490" s="865"/>
    </row>
    <row r="491" spans="1:16" x14ac:dyDescent="0.25">
      <c r="A491" s="675"/>
      <c r="B491" s="865" t="s">
        <v>1156</v>
      </c>
      <c r="C491" s="865"/>
      <c r="D491" s="865"/>
      <c r="E491" s="865"/>
      <c r="F491" s="865" t="s">
        <v>2789</v>
      </c>
      <c r="G491" s="865"/>
      <c r="H491" s="865"/>
      <c r="I491" s="865"/>
      <c r="J491" s="865" t="s">
        <v>129</v>
      </c>
      <c r="K491" s="865"/>
      <c r="L491" s="865"/>
      <c r="M491" s="865"/>
      <c r="N491" s="865"/>
      <c r="O491" s="865"/>
      <c r="P491" s="865"/>
    </row>
    <row r="492" spans="1:16" ht="54.4" customHeight="1" x14ac:dyDescent="0.25">
      <c r="A492" s="675"/>
      <c r="B492" s="865" t="s">
        <v>1169</v>
      </c>
      <c r="C492" s="865"/>
      <c r="D492" s="865"/>
      <c r="E492" s="865"/>
      <c r="F492" s="865" t="s">
        <v>2788</v>
      </c>
      <c r="G492" s="865"/>
      <c r="H492" s="865"/>
      <c r="I492" s="865"/>
      <c r="J492" s="865" t="s">
        <v>129</v>
      </c>
      <c r="K492" s="865"/>
      <c r="L492" s="865"/>
      <c r="M492" s="865"/>
      <c r="N492" s="865"/>
      <c r="O492" s="865"/>
      <c r="P492" s="865"/>
    </row>
    <row r="493" spans="1:16" ht="27.2" customHeight="1" x14ac:dyDescent="0.25">
      <c r="A493" s="675"/>
      <c r="B493" s="865" t="s">
        <v>1160</v>
      </c>
      <c r="C493" s="865"/>
      <c r="D493" s="865"/>
      <c r="E493" s="865"/>
      <c r="F493" s="865" t="s">
        <v>2787</v>
      </c>
      <c r="G493" s="865"/>
      <c r="H493" s="865"/>
      <c r="I493" s="865"/>
      <c r="J493" s="865" t="s">
        <v>129</v>
      </c>
      <c r="K493" s="865"/>
      <c r="L493" s="865"/>
      <c r="M493" s="865"/>
      <c r="N493" s="865"/>
      <c r="O493" s="865"/>
      <c r="P493" s="865"/>
    </row>
    <row r="494" spans="1:16" x14ac:dyDescent="0.25">
      <c r="A494" s="675"/>
      <c r="B494" s="865" t="s">
        <v>1474</v>
      </c>
      <c r="C494" s="865"/>
      <c r="D494" s="865"/>
      <c r="E494" s="865"/>
      <c r="F494" s="865" t="s">
        <v>2786</v>
      </c>
      <c r="G494" s="865"/>
      <c r="H494" s="865"/>
      <c r="I494" s="865"/>
      <c r="J494" s="865" t="s">
        <v>129</v>
      </c>
      <c r="K494" s="865"/>
      <c r="L494" s="865"/>
      <c r="M494" s="865"/>
      <c r="N494" s="865"/>
      <c r="O494" s="865"/>
      <c r="P494" s="865"/>
    </row>
    <row r="495" spans="1:16" ht="149.65" customHeight="1" x14ac:dyDescent="0.25">
      <c r="A495" s="674" t="s">
        <v>19</v>
      </c>
      <c r="B495" s="781" t="s">
        <v>1208</v>
      </c>
      <c r="C495" s="782"/>
      <c r="D495" s="782"/>
      <c r="E495" s="782"/>
      <c r="F495" s="782" t="s">
        <v>1209</v>
      </c>
      <c r="G495" s="782"/>
      <c r="H495" s="782"/>
      <c r="I495" s="782"/>
      <c r="J495" s="782" t="s">
        <v>2779</v>
      </c>
      <c r="K495" s="782"/>
      <c r="L495" s="782"/>
      <c r="M495" s="866">
        <f>ROUND(20300 * 1 * 1.68 * 0.6 * 0.9 * 1.28105, 0)</f>
        <v>23592</v>
      </c>
      <c r="N495" s="782"/>
      <c r="O495" s="782" t="s">
        <v>1210</v>
      </c>
      <c r="P495" s="782"/>
    </row>
    <row r="496" spans="1:16" x14ac:dyDescent="0.25">
      <c r="A496" s="676"/>
      <c r="B496" s="864" t="s">
        <v>306</v>
      </c>
      <c r="C496" s="864"/>
      <c r="D496" s="864"/>
      <c r="E496" s="864"/>
      <c r="F496" s="864" t="s">
        <v>129</v>
      </c>
      <c r="G496" s="864"/>
      <c r="H496" s="864"/>
      <c r="I496" s="864"/>
      <c r="J496" s="864" t="s">
        <v>129</v>
      </c>
      <c r="K496" s="864"/>
      <c r="L496" s="864"/>
      <c r="M496" s="864"/>
      <c r="N496" s="864"/>
      <c r="O496" s="864"/>
      <c r="P496" s="864"/>
    </row>
    <row r="497" spans="1:16" x14ac:dyDescent="0.25">
      <c r="A497" s="675"/>
      <c r="B497" s="865" t="s">
        <v>507</v>
      </c>
      <c r="C497" s="865"/>
      <c r="D497" s="865"/>
      <c r="E497" s="865"/>
      <c r="F497" s="865" t="s">
        <v>508</v>
      </c>
      <c r="G497" s="865"/>
      <c r="H497" s="865"/>
      <c r="I497" s="865"/>
      <c r="J497" s="865" t="s">
        <v>129</v>
      </c>
      <c r="K497" s="865"/>
      <c r="L497" s="865"/>
      <c r="M497" s="865"/>
      <c r="N497" s="865"/>
      <c r="O497" s="865"/>
      <c r="P497" s="865"/>
    </row>
    <row r="498" spans="1:16" ht="40.9" customHeight="1" x14ac:dyDescent="0.25">
      <c r="A498" s="675"/>
      <c r="B498" s="865" t="s">
        <v>331</v>
      </c>
      <c r="C498" s="865"/>
      <c r="D498" s="865"/>
      <c r="E498" s="865"/>
      <c r="F498" s="865" t="s">
        <v>332</v>
      </c>
      <c r="G498" s="865"/>
      <c r="H498" s="865"/>
      <c r="I498" s="865"/>
      <c r="J498" s="865" t="s">
        <v>129</v>
      </c>
      <c r="K498" s="865"/>
      <c r="L498" s="865"/>
      <c r="M498" s="865"/>
      <c r="N498" s="865"/>
      <c r="O498" s="865"/>
      <c r="P498" s="865"/>
    </row>
    <row r="499" spans="1:16" ht="108.75" customHeight="1" x14ac:dyDescent="0.25">
      <c r="A499" s="675"/>
      <c r="B499" s="865" t="s">
        <v>1809</v>
      </c>
      <c r="C499" s="865"/>
      <c r="D499" s="865"/>
      <c r="E499" s="865"/>
      <c r="F499" s="865" t="s">
        <v>1810</v>
      </c>
      <c r="G499" s="865"/>
      <c r="H499" s="865"/>
      <c r="I499" s="865"/>
      <c r="J499" s="865" t="s">
        <v>129</v>
      </c>
      <c r="K499" s="865"/>
      <c r="L499" s="865"/>
      <c r="M499" s="865"/>
      <c r="N499" s="865"/>
      <c r="O499" s="865"/>
      <c r="P499" s="865"/>
    </row>
    <row r="500" spans="1:16" ht="149.65" customHeight="1" x14ac:dyDescent="0.25">
      <c r="A500" s="675"/>
      <c r="B500" s="865" t="s">
        <v>329</v>
      </c>
      <c r="C500" s="865"/>
      <c r="D500" s="865"/>
      <c r="E500" s="865"/>
      <c r="F500" s="865" t="s">
        <v>340</v>
      </c>
      <c r="G500" s="865"/>
      <c r="H500" s="865"/>
      <c r="I500" s="865"/>
      <c r="J500" s="865" t="s">
        <v>129</v>
      </c>
      <c r="K500" s="865"/>
      <c r="L500" s="865"/>
      <c r="M500" s="865"/>
      <c r="N500" s="865"/>
      <c r="O500" s="865"/>
      <c r="P500" s="865"/>
    </row>
    <row r="501" spans="1:16" x14ac:dyDescent="0.25">
      <c r="A501" s="676"/>
      <c r="B501" s="864" t="s">
        <v>330</v>
      </c>
      <c r="C501" s="864"/>
      <c r="D501" s="864"/>
      <c r="E501" s="864"/>
      <c r="F501" s="864" t="s">
        <v>129</v>
      </c>
      <c r="G501" s="864"/>
      <c r="H501" s="864"/>
      <c r="I501" s="864"/>
      <c r="J501" s="864" t="s">
        <v>129</v>
      </c>
      <c r="K501" s="864"/>
      <c r="L501" s="864"/>
      <c r="M501" s="864"/>
      <c r="N501" s="864"/>
      <c r="O501" s="864"/>
      <c r="P501" s="864"/>
    </row>
    <row r="502" spans="1:16" x14ac:dyDescent="0.25">
      <c r="A502" s="675"/>
      <c r="B502" s="865" t="s">
        <v>1028</v>
      </c>
      <c r="C502" s="865"/>
      <c r="D502" s="865"/>
      <c r="E502" s="865"/>
      <c r="F502" s="865" t="s">
        <v>2778</v>
      </c>
      <c r="G502" s="865"/>
      <c r="H502" s="865"/>
      <c r="I502" s="865"/>
      <c r="J502" s="865" t="s">
        <v>129</v>
      </c>
      <c r="K502" s="865"/>
      <c r="L502" s="865"/>
      <c r="M502" s="865"/>
      <c r="N502" s="865"/>
      <c r="O502" s="865"/>
      <c r="P502" s="865"/>
    </row>
    <row r="503" spans="1:16" x14ac:dyDescent="0.25">
      <c r="A503" s="675"/>
      <c r="B503" s="865" t="s">
        <v>1156</v>
      </c>
      <c r="C503" s="865"/>
      <c r="D503" s="865"/>
      <c r="E503" s="865"/>
      <c r="F503" s="865" t="s">
        <v>2777</v>
      </c>
      <c r="G503" s="865"/>
      <c r="H503" s="865"/>
      <c r="I503" s="865"/>
      <c r="J503" s="865" t="s">
        <v>129</v>
      </c>
      <c r="K503" s="865"/>
      <c r="L503" s="865"/>
      <c r="M503" s="865"/>
      <c r="N503" s="865"/>
      <c r="O503" s="865"/>
      <c r="P503" s="865"/>
    </row>
    <row r="504" spans="1:16" ht="54.4" customHeight="1" x14ac:dyDescent="0.25">
      <c r="A504" s="675"/>
      <c r="B504" s="865" t="s">
        <v>1169</v>
      </c>
      <c r="C504" s="865"/>
      <c r="D504" s="865"/>
      <c r="E504" s="865"/>
      <c r="F504" s="865" t="s">
        <v>2776</v>
      </c>
      <c r="G504" s="865"/>
      <c r="H504" s="865"/>
      <c r="I504" s="865"/>
      <c r="J504" s="865" t="s">
        <v>129</v>
      </c>
      <c r="K504" s="865"/>
      <c r="L504" s="865"/>
      <c r="M504" s="865"/>
      <c r="N504" s="865"/>
      <c r="O504" s="865"/>
      <c r="P504" s="865"/>
    </row>
    <row r="505" spans="1:16" ht="27.2" customHeight="1" x14ac:dyDescent="0.25">
      <c r="A505" s="675"/>
      <c r="B505" s="865" t="s">
        <v>1160</v>
      </c>
      <c r="C505" s="865"/>
      <c r="D505" s="865"/>
      <c r="E505" s="865"/>
      <c r="F505" s="865" t="s">
        <v>2775</v>
      </c>
      <c r="G505" s="865"/>
      <c r="H505" s="865"/>
      <c r="I505" s="865"/>
      <c r="J505" s="865" t="s">
        <v>129</v>
      </c>
      <c r="K505" s="865"/>
      <c r="L505" s="865"/>
      <c r="M505" s="865"/>
      <c r="N505" s="865"/>
      <c r="O505" s="865"/>
      <c r="P505" s="865"/>
    </row>
    <row r="506" spans="1:16" x14ac:dyDescent="0.25">
      <c r="A506" s="675"/>
      <c r="B506" s="865" t="s">
        <v>1474</v>
      </c>
      <c r="C506" s="865"/>
      <c r="D506" s="865"/>
      <c r="E506" s="865"/>
      <c r="F506" s="865" t="s">
        <v>2774</v>
      </c>
      <c r="G506" s="865"/>
      <c r="H506" s="865"/>
      <c r="I506" s="865"/>
      <c r="J506" s="865" t="s">
        <v>129</v>
      </c>
      <c r="K506" s="865"/>
      <c r="L506" s="865"/>
      <c r="M506" s="865"/>
      <c r="N506" s="865"/>
      <c r="O506" s="865"/>
      <c r="P506" s="865"/>
    </row>
    <row r="507" spans="1:16" ht="244.9" customHeight="1" x14ac:dyDescent="0.25">
      <c r="A507" s="674" t="s">
        <v>200</v>
      </c>
      <c r="B507" s="781" t="s">
        <v>1204</v>
      </c>
      <c r="C507" s="782"/>
      <c r="D507" s="782"/>
      <c r="E507" s="782"/>
      <c r="F507" s="782" t="s">
        <v>1211</v>
      </c>
      <c r="G507" s="782"/>
      <c r="H507" s="782"/>
      <c r="I507" s="782"/>
      <c r="J507" s="782" t="s">
        <v>2785</v>
      </c>
      <c r="K507" s="782"/>
      <c r="L507" s="782"/>
      <c r="M507" s="866">
        <f>ROUND((122600 + 641 * 450) * 1 * 1.68 * 0.6 * 0.9 * 1.1 * 1.28105, 0)</f>
        <v>525480</v>
      </c>
      <c r="N507" s="782"/>
      <c r="O507" s="782" t="s">
        <v>1212</v>
      </c>
      <c r="P507" s="782"/>
    </row>
    <row r="508" spans="1:16" x14ac:dyDescent="0.25">
      <c r="A508" s="676"/>
      <c r="B508" s="864" t="s">
        <v>306</v>
      </c>
      <c r="C508" s="864"/>
      <c r="D508" s="864"/>
      <c r="E508" s="864"/>
      <c r="F508" s="864" t="s">
        <v>129</v>
      </c>
      <c r="G508" s="864"/>
      <c r="H508" s="864"/>
      <c r="I508" s="864"/>
      <c r="J508" s="864" t="s">
        <v>129</v>
      </c>
      <c r="K508" s="864"/>
      <c r="L508" s="864"/>
      <c r="M508" s="864"/>
      <c r="N508" s="864"/>
      <c r="O508" s="864"/>
      <c r="P508" s="864"/>
    </row>
    <row r="509" spans="1:16" x14ac:dyDescent="0.25">
      <c r="A509" s="675"/>
      <c r="B509" s="865" t="s">
        <v>507</v>
      </c>
      <c r="C509" s="865"/>
      <c r="D509" s="865"/>
      <c r="E509" s="865"/>
      <c r="F509" s="865" t="s">
        <v>508</v>
      </c>
      <c r="G509" s="865"/>
      <c r="H509" s="865"/>
      <c r="I509" s="865"/>
      <c r="J509" s="865" t="s">
        <v>129</v>
      </c>
      <c r="K509" s="865"/>
      <c r="L509" s="865"/>
      <c r="M509" s="865"/>
      <c r="N509" s="865"/>
      <c r="O509" s="865"/>
      <c r="P509" s="865"/>
    </row>
    <row r="510" spans="1:16" ht="40.9" customHeight="1" x14ac:dyDescent="0.25">
      <c r="A510" s="675"/>
      <c r="B510" s="865" t="s">
        <v>331</v>
      </c>
      <c r="C510" s="865"/>
      <c r="D510" s="865"/>
      <c r="E510" s="865"/>
      <c r="F510" s="865" t="s">
        <v>332</v>
      </c>
      <c r="G510" s="865"/>
      <c r="H510" s="865"/>
      <c r="I510" s="865"/>
      <c r="J510" s="865" t="s">
        <v>129</v>
      </c>
      <c r="K510" s="865"/>
      <c r="L510" s="865"/>
      <c r="M510" s="865"/>
      <c r="N510" s="865"/>
      <c r="O510" s="865"/>
      <c r="P510" s="865"/>
    </row>
    <row r="511" spans="1:16" ht="108.75" customHeight="1" x14ac:dyDescent="0.25">
      <c r="A511" s="675"/>
      <c r="B511" s="865" t="s">
        <v>1809</v>
      </c>
      <c r="C511" s="865"/>
      <c r="D511" s="865"/>
      <c r="E511" s="865"/>
      <c r="F511" s="865" t="s">
        <v>1810</v>
      </c>
      <c r="G511" s="865"/>
      <c r="H511" s="865"/>
      <c r="I511" s="865"/>
      <c r="J511" s="865" t="s">
        <v>129</v>
      </c>
      <c r="K511" s="865"/>
      <c r="L511" s="865"/>
      <c r="M511" s="865"/>
      <c r="N511" s="865"/>
      <c r="O511" s="865"/>
      <c r="P511" s="865"/>
    </row>
    <row r="512" spans="1:16" ht="95.25" customHeight="1" x14ac:dyDescent="0.25">
      <c r="A512" s="675"/>
      <c r="B512" s="865" t="s">
        <v>1207</v>
      </c>
      <c r="C512" s="865"/>
      <c r="D512" s="865"/>
      <c r="E512" s="865"/>
      <c r="F512" s="865" t="s">
        <v>2553</v>
      </c>
      <c r="G512" s="865"/>
      <c r="H512" s="865"/>
      <c r="I512" s="865"/>
      <c r="J512" s="865" t="s">
        <v>129</v>
      </c>
      <c r="K512" s="865"/>
      <c r="L512" s="865"/>
      <c r="M512" s="865"/>
      <c r="N512" s="865"/>
      <c r="O512" s="865"/>
      <c r="P512" s="865"/>
    </row>
    <row r="513" spans="1:16" ht="149.65" customHeight="1" x14ac:dyDescent="0.25">
      <c r="A513" s="675"/>
      <c r="B513" s="865" t="s">
        <v>329</v>
      </c>
      <c r="C513" s="865"/>
      <c r="D513" s="865"/>
      <c r="E513" s="865"/>
      <c r="F513" s="865" t="s">
        <v>2466</v>
      </c>
      <c r="G513" s="865"/>
      <c r="H513" s="865"/>
      <c r="I513" s="865"/>
      <c r="J513" s="865" t="s">
        <v>129</v>
      </c>
      <c r="K513" s="865"/>
      <c r="L513" s="865"/>
      <c r="M513" s="865"/>
      <c r="N513" s="865"/>
      <c r="O513" s="865"/>
      <c r="P513" s="865"/>
    </row>
    <row r="514" spans="1:16" x14ac:dyDescent="0.25">
      <c r="A514" s="676"/>
      <c r="B514" s="864" t="s">
        <v>330</v>
      </c>
      <c r="C514" s="864"/>
      <c r="D514" s="864"/>
      <c r="E514" s="864"/>
      <c r="F514" s="864" t="s">
        <v>129</v>
      </c>
      <c r="G514" s="864"/>
      <c r="H514" s="864"/>
      <c r="I514" s="864"/>
      <c r="J514" s="864" t="s">
        <v>129</v>
      </c>
      <c r="K514" s="864"/>
      <c r="L514" s="864"/>
      <c r="M514" s="864"/>
      <c r="N514" s="864"/>
      <c r="O514" s="864"/>
      <c r="P514" s="864"/>
    </row>
    <row r="515" spans="1:16" x14ac:dyDescent="0.25">
      <c r="A515" s="675"/>
      <c r="B515" s="865" t="s">
        <v>1028</v>
      </c>
      <c r="C515" s="865"/>
      <c r="D515" s="865"/>
      <c r="E515" s="865"/>
      <c r="F515" s="865" t="s">
        <v>2784</v>
      </c>
      <c r="G515" s="865"/>
      <c r="H515" s="865"/>
      <c r="I515" s="865"/>
      <c r="J515" s="865" t="s">
        <v>129</v>
      </c>
      <c r="K515" s="865"/>
      <c r="L515" s="865"/>
      <c r="M515" s="865"/>
      <c r="N515" s="865"/>
      <c r="O515" s="865"/>
      <c r="P515" s="865"/>
    </row>
    <row r="516" spans="1:16" x14ac:dyDescent="0.25">
      <c r="A516" s="675"/>
      <c r="B516" s="865" t="s">
        <v>1156</v>
      </c>
      <c r="C516" s="865"/>
      <c r="D516" s="865"/>
      <c r="E516" s="865"/>
      <c r="F516" s="865" t="s">
        <v>2783</v>
      </c>
      <c r="G516" s="865"/>
      <c r="H516" s="865"/>
      <c r="I516" s="865"/>
      <c r="J516" s="865" t="s">
        <v>129</v>
      </c>
      <c r="K516" s="865"/>
      <c r="L516" s="865"/>
      <c r="M516" s="865"/>
      <c r="N516" s="865"/>
      <c r="O516" s="865"/>
      <c r="P516" s="865"/>
    </row>
    <row r="517" spans="1:16" ht="54.4" customHeight="1" x14ac:dyDescent="0.25">
      <c r="A517" s="675"/>
      <c r="B517" s="865" t="s">
        <v>1169</v>
      </c>
      <c r="C517" s="865"/>
      <c r="D517" s="865"/>
      <c r="E517" s="865"/>
      <c r="F517" s="865" t="s">
        <v>2782</v>
      </c>
      <c r="G517" s="865"/>
      <c r="H517" s="865"/>
      <c r="I517" s="865"/>
      <c r="J517" s="865" t="s">
        <v>129</v>
      </c>
      <c r="K517" s="865"/>
      <c r="L517" s="865"/>
      <c r="M517" s="865"/>
      <c r="N517" s="865"/>
      <c r="O517" s="865"/>
      <c r="P517" s="865"/>
    </row>
    <row r="518" spans="1:16" ht="27.2" customHeight="1" x14ac:dyDescent="0.25">
      <c r="A518" s="675"/>
      <c r="B518" s="865" t="s">
        <v>1160</v>
      </c>
      <c r="C518" s="865"/>
      <c r="D518" s="865"/>
      <c r="E518" s="865"/>
      <c r="F518" s="865" t="s">
        <v>2781</v>
      </c>
      <c r="G518" s="865"/>
      <c r="H518" s="865"/>
      <c r="I518" s="865"/>
      <c r="J518" s="865" t="s">
        <v>129</v>
      </c>
      <c r="K518" s="865"/>
      <c r="L518" s="865"/>
      <c r="M518" s="865"/>
      <c r="N518" s="865"/>
      <c r="O518" s="865"/>
      <c r="P518" s="865"/>
    </row>
    <row r="519" spans="1:16" x14ac:dyDescent="0.25">
      <c r="A519" s="675"/>
      <c r="B519" s="865" t="s">
        <v>1474</v>
      </c>
      <c r="C519" s="865"/>
      <c r="D519" s="865"/>
      <c r="E519" s="865"/>
      <c r="F519" s="865" t="s">
        <v>2780</v>
      </c>
      <c r="G519" s="865"/>
      <c r="H519" s="865"/>
      <c r="I519" s="865"/>
      <c r="J519" s="865" t="s">
        <v>129</v>
      </c>
      <c r="K519" s="865"/>
      <c r="L519" s="865"/>
      <c r="M519" s="865"/>
      <c r="N519" s="865"/>
      <c r="O519" s="865"/>
      <c r="P519" s="865"/>
    </row>
    <row r="520" spans="1:16" ht="149.65" customHeight="1" x14ac:dyDescent="0.25">
      <c r="A520" s="674" t="s">
        <v>201</v>
      </c>
      <c r="B520" s="781" t="s">
        <v>1208</v>
      </c>
      <c r="C520" s="782"/>
      <c r="D520" s="782"/>
      <c r="E520" s="782"/>
      <c r="F520" s="782" t="s">
        <v>1209</v>
      </c>
      <c r="G520" s="782"/>
      <c r="H520" s="782"/>
      <c r="I520" s="782"/>
      <c r="J520" s="782" t="s">
        <v>2779</v>
      </c>
      <c r="K520" s="782"/>
      <c r="L520" s="782"/>
      <c r="M520" s="866">
        <f>ROUND(20300 * 1 * 1.68 * 0.6 * 0.9 * 1.28105, 0)</f>
        <v>23592</v>
      </c>
      <c r="N520" s="782"/>
      <c r="O520" s="782" t="s">
        <v>1213</v>
      </c>
      <c r="P520" s="782"/>
    </row>
    <row r="521" spans="1:16" x14ac:dyDescent="0.25">
      <c r="A521" s="676"/>
      <c r="B521" s="864" t="s">
        <v>306</v>
      </c>
      <c r="C521" s="864"/>
      <c r="D521" s="864"/>
      <c r="E521" s="864"/>
      <c r="F521" s="864" t="s">
        <v>129</v>
      </c>
      <c r="G521" s="864"/>
      <c r="H521" s="864"/>
      <c r="I521" s="864"/>
      <c r="J521" s="864" t="s">
        <v>129</v>
      </c>
      <c r="K521" s="864"/>
      <c r="L521" s="864"/>
      <c r="M521" s="864"/>
      <c r="N521" s="864"/>
      <c r="O521" s="864"/>
      <c r="P521" s="864"/>
    </row>
    <row r="522" spans="1:16" x14ac:dyDescent="0.25">
      <c r="A522" s="675"/>
      <c r="B522" s="865" t="s">
        <v>507</v>
      </c>
      <c r="C522" s="865"/>
      <c r="D522" s="865"/>
      <c r="E522" s="865"/>
      <c r="F522" s="865" t="s">
        <v>508</v>
      </c>
      <c r="G522" s="865"/>
      <c r="H522" s="865"/>
      <c r="I522" s="865"/>
      <c r="J522" s="865" t="s">
        <v>129</v>
      </c>
      <c r="K522" s="865"/>
      <c r="L522" s="865"/>
      <c r="M522" s="865"/>
      <c r="N522" s="865"/>
      <c r="O522" s="865"/>
      <c r="P522" s="865"/>
    </row>
    <row r="523" spans="1:16" ht="40.9" customHeight="1" x14ac:dyDescent="0.25">
      <c r="A523" s="675"/>
      <c r="B523" s="865" t="s">
        <v>331</v>
      </c>
      <c r="C523" s="865"/>
      <c r="D523" s="865"/>
      <c r="E523" s="865"/>
      <c r="F523" s="865" t="s">
        <v>332</v>
      </c>
      <c r="G523" s="865"/>
      <c r="H523" s="865"/>
      <c r="I523" s="865"/>
      <c r="J523" s="865" t="s">
        <v>129</v>
      </c>
      <c r="K523" s="865"/>
      <c r="L523" s="865"/>
      <c r="M523" s="865"/>
      <c r="N523" s="865"/>
      <c r="O523" s="865"/>
      <c r="P523" s="865"/>
    </row>
    <row r="524" spans="1:16" ht="108.75" customHeight="1" x14ac:dyDescent="0.25">
      <c r="A524" s="675"/>
      <c r="B524" s="865" t="s">
        <v>1809</v>
      </c>
      <c r="C524" s="865"/>
      <c r="D524" s="865"/>
      <c r="E524" s="865"/>
      <c r="F524" s="865" t="s">
        <v>1810</v>
      </c>
      <c r="G524" s="865"/>
      <c r="H524" s="865"/>
      <c r="I524" s="865"/>
      <c r="J524" s="865" t="s">
        <v>129</v>
      </c>
      <c r="K524" s="865"/>
      <c r="L524" s="865"/>
      <c r="M524" s="865"/>
      <c r="N524" s="865"/>
      <c r="O524" s="865"/>
      <c r="P524" s="865"/>
    </row>
    <row r="525" spans="1:16" ht="149.65" customHeight="1" x14ac:dyDescent="0.25">
      <c r="A525" s="675"/>
      <c r="B525" s="865" t="s">
        <v>329</v>
      </c>
      <c r="C525" s="865"/>
      <c r="D525" s="865"/>
      <c r="E525" s="865"/>
      <c r="F525" s="865" t="s">
        <v>340</v>
      </c>
      <c r="G525" s="865"/>
      <c r="H525" s="865"/>
      <c r="I525" s="865"/>
      <c r="J525" s="865" t="s">
        <v>129</v>
      </c>
      <c r="K525" s="865"/>
      <c r="L525" s="865"/>
      <c r="M525" s="865"/>
      <c r="N525" s="865"/>
      <c r="O525" s="865"/>
      <c r="P525" s="865"/>
    </row>
    <row r="526" spans="1:16" x14ac:dyDescent="0.25">
      <c r="A526" s="676"/>
      <c r="B526" s="864" t="s">
        <v>330</v>
      </c>
      <c r="C526" s="864"/>
      <c r="D526" s="864"/>
      <c r="E526" s="864"/>
      <c r="F526" s="864" t="s">
        <v>129</v>
      </c>
      <c r="G526" s="864"/>
      <c r="H526" s="864"/>
      <c r="I526" s="864"/>
      <c r="J526" s="864" t="s">
        <v>129</v>
      </c>
      <c r="K526" s="864"/>
      <c r="L526" s="864"/>
      <c r="M526" s="864"/>
      <c r="N526" s="864"/>
      <c r="O526" s="864"/>
      <c r="P526" s="864"/>
    </row>
    <row r="527" spans="1:16" x14ac:dyDescent="0.25">
      <c r="A527" s="675"/>
      <c r="B527" s="865" t="s">
        <v>1028</v>
      </c>
      <c r="C527" s="865"/>
      <c r="D527" s="865"/>
      <c r="E527" s="865"/>
      <c r="F527" s="865" t="s">
        <v>2778</v>
      </c>
      <c r="G527" s="865"/>
      <c r="H527" s="865"/>
      <c r="I527" s="865"/>
      <c r="J527" s="865" t="s">
        <v>129</v>
      </c>
      <c r="K527" s="865"/>
      <c r="L527" s="865"/>
      <c r="M527" s="865"/>
      <c r="N527" s="865"/>
      <c r="O527" s="865"/>
      <c r="P527" s="865"/>
    </row>
    <row r="528" spans="1:16" x14ac:dyDescent="0.25">
      <c r="A528" s="675"/>
      <c r="B528" s="865" t="s">
        <v>1156</v>
      </c>
      <c r="C528" s="865"/>
      <c r="D528" s="865"/>
      <c r="E528" s="865"/>
      <c r="F528" s="865" t="s">
        <v>2777</v>
      </c>
      <c r="G528" s="865"/>
      <c r="H528" s="865"/>
      <c r="I528" s="865"/>
      <c r="J528" s="865" t="s">
        <v>129</v>
      </c>
      <c r="K528" s="865"/>
      <c r="L528" s="865"/>
      <c r="M528" s="865"/>
      <c r="N528" s="865"/>
      <c r="O528" s="865"/>
      <c r="P528" s="865"/>
    </row>
    <row r="529" spans="1:16" ht="54.4" customHeight="1" x14ac:dyDescent="0.25">
      <c r="A529" s="675"/>
      <c r="B529" s="865" t="s">
        <v>1169</v>
      </c>
      <c r="C529" s="865"/>
      <c r="D529" s="865"/>
      <c r="E529" s="865"/>
      <c r="F529" s="865" t="s">
        <v>2776</v>
      </c>
      <c r="G529" s="865"/>
      <c r="H529" s="865"/>
      <c r="I529" s="865"/>
      <c r="J529" s="865" t="s">
        <v>129</v>
      </c>
      <c r="K529" s="865"/>
      <c r="L529" s="865"/>
      <c r="M529" s="865"/>
      <c r="N529" s="865"/>
      <c r="O529" s="865"/>
      <c r="P529" s="865"/>
    </row>
    <row r="530" spans="1:16" ht="27.2" customHeight="1" x14ac:dyDescent="0.25">
      <c r="A530" s="675"/>
      <c r="B530" s="865" t="s">
        <v>1160</v>
      </c>
      <c r="C530" s="865"/>
      <c r="D530" s="865"/>
      <c r="E530" s="865"/>
      <c r="F530" s="865" t="s">
        <v>2775</v>
      </c>
      <c r="G530" s="865"/>
      <c r="H530" s="865"/>
      <c r="I530" s="865"/>
      <c r="J530" s="865" t="s">
        <v>129</v>
      </c>
      <c r="K530" s="865"/>
      <c r="L530" s="865"/>
      <c r="M530" s="865"/>
      <c r="N530" s="865"/>
      <c r="O530" s="865"/>
      <c r="P530" s="865"/>
    </row>
    <row r="531" spans="1:16" x14ac:dyDescent="0.25">
      <c r="A531" s="675"/>
      <c r="B531" s="865" t="s">
        <v>1474</v>
      </c>
      <c r="C531" s="865"/>
      <c r="D531" s="865"/>
      <c r="E531" s="865"/>
      <c r="F531" s="865" t="s">
        <v>2774</v>
      </c>
      <c r="G531" s="865"/>
      <c r="H531" s="865"/>
      <c r="I531" s="865"/>
      <c r="J531" s="865" t="s">
        <v>129</v>
      </c>
      <c r="K531" s="865"/>
      <c r="L531" s="865"/>
      <c r="M531" s="865"/>
      <c r="N531" s="865"/>
      <c r="O531" s="865"/>
      <c r="P531" s="865"/>
    </row>
    <row r="532" spans="1:16" ht="163.15" customHeight="1" x14ac:dyDescent="0.25">
      <c r="A532" s="674" t="s">
        <v>202</v>
      </c>
      <c r="B532" s="781" t="s">
        <v>1214</v>
      </c>
      <c r="C532" s="782"/>
      <c r="D532" s="782"/>
      <c r="E532" s="782"/>
      <c r="F532" s="782" t="s">
        <v>1215</v>
      </c>
      <c r="G532" s="782"/>
      <c r="H532" s="782"/>
      <c r="I532" s="782"/>
      <c r="J532" s="782" t="s">
        <v>2773</v>
      </c>
      <c r="K532" s="782"/>
      <c r="L532" s="782"/>
      <c r="M532" s="866">
        <f>ROUND((103700 + 62 * (0.4 * 5000 + 0.6 * 5300)) * 1 * 1.68 * 0.6 * 0.9 * 1.29842, 0)</f>
        <v>500454</v>
      </c>
      <c r="N532" s="782"/>
      <c r="O532" s="782" t="s">
        <v>129</v>
      </c>
      <c r="P532" s="782"/>
    </row>
    <row r="533" spans="1:16" x14ac:dyDescent="0.25">
      <c r="A533" s="676"/>
      <c r="B533" s="864" t="s">
        <v>306</v>
      </c>
      <c r="C533" s="864"/>
      <c r="D533" s="864"/>
      <c r="E533" s="864"/>
      <c r="F533" s="864" t="s">
        <v>129</v>
      </c>
      <c r="G533" s="864"/>
      <c r="H533" s="864"/>
      <c r="I533" s="864"/>
      <c r="J533" s="864" t="s">
        <v>129</v>
      </c>
      <c r="K533" s="864"/>
      <c r="L533" s="864"/>
      <c r="M533" s="864"/>
      <c r="N533" s="864"/>
      <c r="O533" s="864"/>
      <c r="P533" s="864"/>
    </row>
    <row r="534" spans="1:16" x14ac:dyDescent="0.25">
      <c r="A534" s="675"/>
      <c r="B534" s="865" t="s">
        <v>507</v>
      </c>
      <c r="C534" s="865"/>
      <c r="D534" s="865"/>
      <c r="E534" s="865"/>
      <c r="F534" s="865" t="s">
        <v>508</v>
      </c>
      <c r="G534" s="865"/>
      <c r="H534" s="865"/>
      <c r="I534" s="865"/>
      <c r="J534" s="865" t="s">
        <v>129</v>
      </c>
      <c r="K534" s="865"/>
      <c r="L534" s="865"/>
      <c r="M534" s="865"/>
      <c r="N534" s="865"/>
      <c r="O534" s="865"/>
      <c r="P534" s="865"/>
    </row>
    <row r="535" spans="1:16" ht="40.9" customHeight="1" x14ac:dyDescent="0.25">
      <c r="A535" s="675"/>
      <c r="B535" s="865" t="s">
        <v>331</v>
      </c>
      <c r="C535" s="865"/>
      <c r="D535" s="865"/>
      <c r="E535" s="865"/>
      <c r="F535" s="865" t="s">
        <v>332</v>
      </c>
      <c r="G535" s="865"/>
      <c r="H535" s="865"/>
      <c r="I535" s="865"/>
      <c r="J535" s="865" t="s">
        <v>129</v>
      </c>
      <c r="K535" s="865"/>
      <c r="L535" s="865"/>
      <c r="M535" s="865"/>
      <c r="N535" s="865"/>
      <c r="O535" s="865"/>
      <c r="P535" s="865"/>
    </row>
    <row r="536" spans="1:16" ht="108.75" customHeight="1" x14ac:dyDescent="0.25">
      <c r="A536" s="675"/>
      <c r="B536" s="865" t="s">
        <v>1809</v>
      </c>
      <c r="C536" s="865"/>
      <c r="D536" s="865"/>
      <c r="E536" s="865"/>
      <c r="F536" s="865" t="s">
        <v>1810</v>
      </c>
      <c r="G536" s="865"/>
      <c r="H536" s="865"/>
      <c r="I536" s="865"/>
      <c r="J536" s="865" t="s">
        <v>129</v>
      </c>
      <c r="K536" s="865"/>
      <c r="L536" s="865"/>
      <c r="M536" s="865"/>
      <c r="N536" s="865"/>
      <c r="O536" s="865"/>
      <c r="P536" s="865"/>
    </row>
    <row r="537" spans="1:16" ht="149.65" customHeight="1" x14ac:dyDescent="0.25">
      <c r="A537" s="675"/>
      <c r="B537" s="865" t="s">
        <v>329</v>
      </c>
      <c r="C537" s="865"/>
      <c r="D537" s="865"/>
      <c r="E537" s="865"/>
      <c r="F537" s="865" t="s">
        <v>340</v>
      </c>
      <c r="G537" s="865"/>
      <c r="H537" s="865"/>
      <c r="I537" s="865"/>
      <c r="J537" s="865" t="s">
        <v>129</v>
      </c>
      <c r="K537" s="865"/>
      <c r="L537" s="865"/>
      <c r="M537" s="865"/>
      <c r="N537" s="865"/>
      <c r="O537" s="865"/>
      <c r="P537" s="865"/>
    </row>
    <row r="538" spans="1:16" x14ac:dyDescent="0.25">
      <c r="A538" s="676"/>
      <c r="B538" s="864" t="s">
        <v>330</v>
      </c>
      <c r="C538" s="864"/>
      <c r="D538" s="864"/>
      <c r="E538" s="864"/>
      <c r="F538" s="864" t="s">
        <v>129</v>
      </c>
      <c r="G538" s="864"/>
      <c r="H538" s="864"/>
      <c r="I538" s="864"/>
      <c r="J538" s="864" t="s">
        <v>129</v>
      </c>
      <c r="K538" s="864"/>
      <c r="L538" s="864"/>
      <c r="M538" s="864"/>
      <c r="N538" s="864"/>
      <c r="O538" s="864"/>
      <c r="P538" s="864"/>
    </row>
    <row r="539" spans="1:16" x14ac:dyDescent="0.25">
      <c r="A539" s="675"/>
      <c r="B539" s="865" t="s">
        <v>1028</v>
      </c>
      <c r="C539" s="865"/>
      <c r="D539" s="865"/>
      <c r="E539" s="865"/>
      <c r="F539" s="865" t="s">
        <v>2772</v>
      </c>
      <c r="G539" s="865"/>
      <c r="H539" s="865"/>
      <c r="I539" s="865"/>
      <c r="J539" s="865" t="s">
        <v>129</v>
      </c>
      <c r="K539" s="865"/>
      <c r="L539" s="865"/>
      <c r="M539" s="865"/>
      <c r="N539" s="865"/>
      <c r="O539" s="865"/>
      <c r="P539" s="865"/>
    </row>
    <row r="540" spans="1:16" x14ac:dyDescent="0.25">
      <c r="A540" s="675"/>
      <c r="B540" s="865" t="s">
        <v>1156</v>
      </c>
      <c r="C540" s="865"/>
      <c r="D540" s="865"/>
      <c r="E540" s="865"/>
      <c r="F540" s="865" t="s">
        <v>2771</v>
      </c>
      <c r="G540" s="865"/>
      <c r="H540" s="865"/>
      <c r="I540" s="865"/>
      <c r="J540" s="865" t="s">
        <v>129</v>
      </c>
      <c r="K540" s="865"/>
      <c r="L540" s="865"/>
      <c r="M540" s="865"/>
      <c r="N540" s="865"/>
      <c r="O540" s="865"/>
      <c r="P540" s="865"/>
    </row>
    <row r="541" spans="1:16" ht="54.4" customHeight="1" x14ac:dyDescent="0.25">
      <c r="A541" s="675"/>
      <c r="B541" s="865" t="s">
        <v>1169</v>
      </c>
      <c r="C541" s="865"/>
      <c r="D541" s="865"/>
      <c r="E541" s="865"/>
      <c r="F541" s="865" t="s">
        <v>2770</v>
      </c>
      <c r="G541" s="865"/>
      <c r="H541" s="865"/>
      <c r="I541" s="865"/>
      <c r="J541" s="865" t="s">
        <v>129</v>
      </c>
      <c r="K541" s="865"/>
      <c r="L541" s="865"/>
      <c r="M541" s="865"/>
      <c r="N541" s="865"/>
      <c r="O541" s="865"/>
      <c r="P541" s="865"/>
    </row>
    <row r="542" spans="1:16" x14ac:dyDescent="0.25">
      <c r="A542" s="675"/>
      <c r="B542" s="865" t="s">
        <v>1482</v>
      </c>
      <c r="C542" s="865"/>
      <c r="D542" s="865"/>
      <c r="E542" s="865"/>
      <c r="F542" s="865" t="s">
        <v>2769</v>
      </c>
      <c r="G542" s="865"/>
      <c r="H542" s="865"/>
      <c r="I542" s="865"/>
      <c r="J542" s="865" t="s">
        <v>129</v>
      </c>
      <c r="K542" s="865"/>
      <c r="L542" s="865"/>
      <c r="M542" s="865"/>
      <c r="N542" s="865"/>
      <c r="O542" s="865"/>
      <c r="P542" s="865"/>
    </row>
    <row r="543" spans="1:16" ht="135.94999999999999" customHeight="1" x14ac:dyDescent="0.25">
      <c r="A543" s="674" t="s">
        <v>204</v>
      </c>
      <c r="B543" s="781" t="s">
        <v>354</v>
      </c>
      <c r="C543" s="782"/>
      <c r="D543" s="782"/>
      <c r="E543" s="782"/>
      <c r="F543" s="782" t="s">
        <v>1216</v>
      </c>
      <c r="G543" s="782"/>
      <c r="H543" s="782"/>
      <c r="I543" s="782"/>
      <c r="J543" s="782" t="s">
        <v>2768</v>
      </c>
      <c r="K543" s="782"/>
      <c r="L543" s="782"/>
      <c r="M543" s="866">
        <f>ROUND((13400 + 399 * 150) * 1 * 1.68 * 0.6 * 0.9 * 1.28895, 0)</f>
        <v>85654</v>
      </c>
      <c r="N543" s="782"/>
      <c r="O543" s="782" t="s">
        <v>129</v>
      </c>
      <c r="P543" s="782"/>
    </row>
    <row r="544" spans="1:16" x14ac:dyDescent="0.25">
      <c r="A544" s="676"/>
      <c r="B544" s="864" t="s">
        <v>306</v>
      </c>
      <c r="C544" s="864"/>
      <c r="D544" s="864"/>
      <c r="E544" s="864"/>
      <c r="F544" s="864" t="s">
        <v>129</v>
      </c>
      <c r="G544" s="864"/>
      <c r="H544" s="864"/>
      <c r="I544" s="864"/>
      <c r="J544" s="864" t="s">
        <v>129</v>
      </c>
      <c r="K544" s="864"/>
      <c r="L544" s="864"/>
      <c r="M544" s="864"/>
      <c r="N544" s="864"/>
      <c r="O544" s="864"/>
      <c r="P544" s="864"/>
    </row>
    <row r="545" spans="1:16" x14ac:dyDescent="0.25">
      <c r="A545" s="675"/>
      <c r="B545" s="865" t="s">
        <v>507</v>
      </c>
      <c r="C545" s="865"/>
      <c r="D545" s="865"/>
      <c r="E545" s="865"/>
      <c r="F545" s="865" t="s">
        <v>508</v>
      </c>
      <c r="G545" s="865"/>
      <c r="H545" s="865"/>
      <c r="I545" s="865"/>
      <c r="J545" s="865" t="s">
        <v>129</v>
      </c>
      <c r="K545" s="865"/>
      <c r="L545" s="865"/>
      <c r="M545" s="865"/>
      <c r="N545" s="865"/>
      <c r="O545" s="865"/>
      <c r="P545" s="865"/>
    </row>
    <row r="546" spans="1:16" ht="40.9" customHeight="1" x14ac:dyDescent="0.25">
      <c r="A546" s="675"/>
      <c r="B546" s="865" t="s">
        <v>331</v>
      </c>
      <c r="C546" s="865"/>
      <c r="D546" s="865"/>
      <c r="E546" s="865"/>
      <c r="F546" s="865" t="s">
        <v>332</v>
      </c>
      <c r="G546" s="865"/>
      <c r="H546" s="865"/>
      <c r="I546" s="865"/>
      <c r="J546" s="865" t="s">
        <v>129</v>
      </c>
      <c r="K546" s="865"/>
      <c r="L546" s="865"/>
      <c r="M546" s="865"/>
      <c r="N546" s="865"/>
      <c r="O546" s="865"/>
      <c r="P546" s="865"/>
    </row>
    <row r="547" spans="1:16" ht="108.75" customHeight="1" x14ac:dyDescent="0.25">
      <c r="A547" s="675"/>
      <c r="B547" s="865" t="s">
        <v>1809</v>
      </c>
      <c r="C547" s="865"/>
      <c r="D547" s="865"/>
      <c r="E547" s="865"/>
      <c r="F547" s="865" t="s">
        <v>1810</v>
      </c>
      <c r="G547" s="865"/>
      <c r="H547" s="865"/>
      <c r="I547" s="865"/>
      <c r="J547" s="865" t="s">
        <v>129</v>
      </c>
      <c r="K547" s="865"/>
      <c r="L547" s="865"/>
      <c r="M547" s="865"/>
      <c r="N547" s="865"/>
      <c r="O547" s="865"/>
      <c r="P547" s="865"/>
    </row>
    <row r="548" spans="1:16" ht="149.65" customHeight="1" x14ac:dyDescent="0.25">
      <c r="A548" s="675"/>
      <c r="B548" s="865" t="s">
        <v>329</v>
      </c>
      <c r="C548" s="865"/>
      <c r="D548" s="865"/>
      <c r="E548" s="865"/>
      <c r="F548" s="865" t="s">
        <v>340</v>
      </c>
      <c r="G548" s="865"/>
      <c r="H548" s="865"/>
      <c r="I548" s="865"/>
      <c r="J548" s="865" t="s">
        <v>129</v>
      </c>
      <c r="K548" s="865"/>
      <c r="L548" s="865"/>
      <c r="M548" s="865"/>
      <c r="N548" s="865"/>
      <c r="O548" s="865"/>
      <c r="P548" s="865"/>
    </row>
    <row r="549" spans="1:16" x14ac:dyDescent="0.25">
      <c r="A549" s="676"/>
      <c r="B549" s="864" t="s">
        <v>330</v>
      </c>
      <c r="C549" s="864"/>
      <c r="D549" s="864"/>
      <c r="E549" s="864"/>
      <c r="F549" s="864" t="s">
        <v>129</v>
      </c>
      <c r="G549" s="864"/>
      <c r="H549" s="864"/>
      <c r="I549" s="864"/>
      <c r="J549" s="864" t="s">
        <v>129</v>
      </c>
      <c r="K549" s="864"/>
      <c r="L549" s="864"/>
      <c r="M549" s="864"/>
      <c r="N549" s="864"/>
      <c r="O549" s="864"/>
      <c r="P549" s="864"/>
    </row>
    <row r="550" spans="1:16" x14ac:dyDescent="0.25">
      <c r="A550" s="675"/>
      <c r="B550" s="865" t="s">
        <v>1028</v>
      </c>
      <c r="C550" s="865"/>
      <c r="D550" s="865"/>
      <c r="E550" s="865"/>
      <c r="F550" s="865" t="s">
        <v>2767</v>
      </c>
      <c r="G550" s="865"/>
      <c r="H550" s="865"/>
      <c r="I550" s="865"/>
      <c r="J550" s="865" t="s">
        <v>129</v>
      </c>
      <c r="K550" s="865"/>
      <c r="L550" s="865"/>
      <c r="M550" s="865"/>
      <c r="N550" s="865"/>
      <c r="O550" s="865"/>
      <c r="P550" s="865"/>
    </row>
    <row r="551" spans="1:16" x14ac:dyDescent="0.25">
      <c r="A551" s="675"/>
      <c r="B551" s="865" t="s">
        <v>1156</v>
      </c>
      <c r="C551" s="865"/>
      <c r="D551" s="865"/>
      <c r="E551" s="865"/>
      <c r="F551" s="865" t="s">
        <v>2766</v>
      </c>
      <c r="G551" s="865"/>
      <c r="H551" s="865"/>
      <c r="I551" s="865"/>
      <c r="J551" s="865" t="s">
        <v>129</v>
      </c>
      <c r="K551" s="865"/>
      <c r="L551" s="865"/>
      <c r="M551" s="865"/>
      <c r="N551" s="865"/>
      <c r="O551" s="865"/>
      <c r="P551" s="865"/>
    </row>
    <row r="552" spans="1:16" ht="54.4" customHeight="1" x14ac:dyDescent="0.25">
      <c r="A552" s="675"/>
      <c r="B552" s="865" t="s">
        <v>1169</v>
      </c>
      <c r="C552" s="865"/>
      <c r="D552" s="865"/>
      <c r="E552" s="865"/>
      <c r="F552" s="865" t="s">
        <v>2765</v>
      </c>
      <c r="G552" s="865"/>
      <c r="H552" s="865"/>
      <c r="I552" s="865"/>
      <c r="J552" s="865" t="s">
        <v>129</v>
      </c>
      <c r="K552" s="865"/>
      <c r="L552" s="865"/>
      <c r="M552" s="865"/>
      <c r="N552" s="865"/>
      <c r="O552" s="865"/>
      <c r="P552" s="865"/>
    </row>
    <row r="553" spans="1:16" ht="27.2" customHeight="1" x14ac:dyDescent="0.25">
      <c r="A553" s="675"/>
      <c r="B553" s="865" t="s">
        <v>1160</v>
      </c>
      <c r="C553" s="865"/>
      <c r="D553" s="865"/>
      <c r="E553" s="865"/>
      <c r="F553" s="865" t="s">
        <v>2764</v>
      </c>
      <c r="G553" s="865"/>
      <c r="H553" s="865"/>
      <c r="I553" s="865"/>
      <c r="J553" s="865" t="s">
        <v>129</v>
      </c>
      <c r="K553" s="865"/>
      <c r="L553" s="865"/>
      <c r="M553" s="865"/>
      <c r="N553" s="865"/>
      <c r="O553" s="865"/>
      <c r="P553" s="865"/>
    </row>
    <row r="554" spans="1:16" x14ac:dyDescent="0.25">
      <c r="A554" s="675"/>
      <c r="B554" s="865" t="s">
        <v>1474</v>
      </c>
      <c r="C554" s="865"/>
      <c r="D554" s="865"/>
      <c r="E554" s="865"/>
      <c r="F554" s="865" t="s">
        <v>2763</v>
      </c>
      <c r="G554" s="865"/>
      <c r="H554" s="865"/>
      <c r="I554" s="865"/>
      <c r="J554" s="865" t="s">
        <v>129</v>
      </c>
      <c r="K554" s="865"/>
      <c r="L554" s="865"/>
      <c r="M554" s="865"/>
      <c r="N554" s="865"/>
      <c r="O554" s="865"/>
      <c r="P554" s="865"/>
    </row>
    <row r="555" spans="1:16" ht="149.65" customHeight="1" x14ac:dyDescent="0.25">
      <c r="A555" s="674" t="s">
        <v>205</v>
      </c>
      <c r="B555" s="781" t="s">
        <v>1217</v>
      </c>
      <c r="C555" s="782"/>
      <c r="D555" s="782"/>
      <c r="E555" s="782"/>
      <c r="F555" s="782" t="s">
        <v>1218</v>
      </c>
      <c r="G555" s="782"/>
      <c r="H555" s="782"/>
      <c r="I555" s="782"/>
      <c r="J555" s="782" t="s">
        <v>1483</v>
      </c>
      <c r="K555" s="782"/>
      <c r="L555" s="782"/>
      <c r="M555" s="866">
        <f>ROUND((72300 + 24 * 2814) * 1 * 1.68 * 0.6 * 1.3, 0)</f>
        <v>183241</v>
      </c>
      <c r="N555" s="782"/>
      <c r="O555" s="782" t="s">
        <v>129</v>
      </c>
      <c r="P555" s="782"/>
    </row>
    <row r="556" spans="1:16" x14ac:dyDescent="0.25">
      <c r="A556" s="676"/>
      <c r="B556" s="864" t="s">
        <v>306</v>
      </c>
      <c r="C556" s="864"/>
      <c r="D556" s="864"/>
      <c r="E556" s="864"/>
      <c r="F556" s="864" t="s">
        <v>129</v>
      </c>
      <c r="G556" s="864"/>
      <c r="H556" s="864"/>
      <c r="I556" s="864"/>
      <c r="J556" s="864" t="s">
        <v>129</v>
      </c>
      <c r="K556" s="864"/>
      <c r="L556" s="864"/>
      <c r="M556" s="864"/>
      <c r="N556" s="864"/>
      <c r="O556" s="864"/>
      <c r="P556" s="864"/>
    </row>
    <row r="557" spans="1:16" x14ac:dyDescent="0.25">
      <c r="A557" s="675"/>
      <c r="B557" s="865" t="s">
        <v>507</v>
      </c>
      <c r="C557" s="865"/>
      <c r="D557" s="865"/>
      <c r="E557" s="865"/>
      <c r="F557" s="865" t="s">
        <v>508</v>
      </c>
      <c r="G557" s="865"/>
      <c r="H557" s="865"/>
      <c r="I557" s="865"/>
      <c r="J557" s="865" t="s">
        <v>129</v>
      </c>
      <c r="K557" s="865"/>
      <c r="L557" s="865"/>
      <c r="M557" s="865"/>
      <c r="N557" s="865"/>
      <c r="O557" s="865"/>
      <c r="P557" s="865"/>
    </row>
    <row r="558" spans="1:16" ht="40.9" customHeight="1" x14ac:dyDescent="0.25">
      <c r="A558" s="675"/>
      <c r="B558" s="865" t="s">
        <v>331</v>
      </c>
      <c r="C558" s="865"/>
      <c r="D558" s="865"/>
      <c r="E558" s="865"/>
      <c r="F558" s="865" t="s">
        <v>332</v>
      </c>
      <c r="G558" s="865"/>
      <c r="H558" s="865"/>
      <c r="I558" s="865"/>
      <c r="J558" s="865" t="s">
        <v>129</v>
      </c>
      <c r="K558" s="865"/>
      <c r="L558" s="865"/>
      <c r="M558" s="865"/>
      <c r="N558" s="865"/>
      <c r="O558" s="865"/>
      <c r="P558" s="865"/>
    </row>
    <row r="559" spans="1:16" ht="149.65" customHeight="1" x14ac:dyDescent="0.25">
      <c r="A559" s="675"/>
      <c r="B559" s="865" t="s">
        <v>329</v>
      </c>
      <c r="C559" s="865"/>
      <c r="D559" s="865"/>
      <c r="E559" s="865"/>
      <c r="F559" s="865" t="s">
        <v>512</v>
      </c>
      <c r="G559" s="865"/>
      <c r="H559" s="865"/>
      <c r="I559" s="865"/>
      <c r="J559" s="865" t="s">
        <v>129</v>
      </c>
      <c r="K559" s="865"/>
      <c r="L559" s="865"/>
      <c r="M559" s="865"/>
      <c r="N559" s="865"/>
      <c r="O559" s="865"/>
      <c r="P559" s="865"/>
    </row>
    <row r="560" spans="1:16" x14ac:dyDescent="0.25">
      <c r="A560" s="676"/>
      <c r="B560" s="864" t="s">
        <v>330</v>
      </c>
      <c r="C560" s="864"/>
      <c r="D560" s="864"/>
      <c r="E560" s="864"/>
      <c r="F560" s="864" t="s">
        <v>129</v>
      </c>
      <c r="G560" s="864"/>
      <c r="H560" s="864"/>
      <c r="I560" s="864"/>
      <c r="J560" s="864" t="s">
        <v>129</v>
      </c>
      <c r="K560" s="864"/>
      <c r="L560" s="864"/>
      <c r="M560" s="864"/>
      <c r="N560" s="864"/>
      <c r="O560" s="864"/>
      <c r="P560" s="864"/>
    </row>
    <row r="561" spans="1:16" ht="27.2" customHeight="1" x14ac:dyDescent="0.25">
      <c r="A561" s="675"/>
      <c r="B561" s="865" t="s">
        <v>1477</v>
      </c>
      <c r="C561" s="865"/>
      <c r="D561" s="865"/>
      <c r="E561" s="865"/>
      <c r="F561" s="865" t="s">
        <v>1484</v>
      </c>
      <c r="G561" s="865"/>
      <c r="H561" s="865"/>
      <c r="I561" s="865"/>
      <c r="J561" s="865" t="s">
        <v>129</v>
      </c>
      <c r="K561" s="865"/>
      <c r="L561" s="865"/>
      <c r="M561" s="865"/>
      <c r="N561" s="865"/>
      <c r="O561" s="865"/>
      <c r="P561" s="865"/>
    </row>
    <row r="562" spans="1:16" x14ac:dyDescent="0.25">
      <c r="A562" s="675"/>
      <c r="B562" s="865" t="s">
        <v>1403</v>
      </c>
      <c r="C562" s="865"/>
      <c r="D562" s="865"/>
      <c r="E562" s="865"/>
      <c r="F562" s="865" t="s">
        <v>1485</v>
      </c>
      <c r="G562" s="865"/>
      <c r="H562" s="865"/>
      <c r="I562" s="865"/>
      <c r="J562" s="865" t="s">
        <v>129</v>
      </c>
      <c r="K562" s="865"/>
      <c r="L562" s="865"/>
      <c r="M562" s="865"/>
      <c r="N562" s="865"/>
      <c r="O562" s="865"/>
      <c r="P562" s="865"/>
    </row>
    <row r="563" spans="1:16" ht="81.599999999999994" customHeight="1" x14ac:dyDescent="0.25">
      <c r="A563" s="675"/>
      <c r="B563" s="865" t="s">
        <v>1486</v>
      </c>
      <c r="C563" s="865"/>
      <c r="D563" s="865"/>
      <c r="E563" s="865"/>
      <c r="F563" s="865" t="s">
        <v>1487</v>
      </c>
      <c r="G563" s="865"/>
      <c r="H563" s="865"/>
      <c r="I563" s="865"/>
      <c r="J563" s="865" t="s">
        <v>129</v>
      </c>
      <c r="K563" s="865"/>
      <c r="L563" s="865"/>
      <c r="M563" s="865"/>
      <c r="N563" s="865"/>
      <c r="O563" s="865"/>
      <c r="P563" s="865"/>
    </row>
    <row r="564" spans="1:16" ht="27.2" customHeight="1" x14ac:dyDescent="0.25">
      <c r="A564" s="675"/>
      <c r="B564" s="865" t="s">
        <v>1405</v>
      </c>
      <c r="C564" s="865"/>
      <c r="D564" s="865"/>
      <c r="E564" s="865"/>
      <c r="F564" s="865" t="s">
        <v>1488</v>
      </c>
      <c r="G564" s="865"/>
      <c r="H564" s="865"/>
      <c r="I564" s="865"/>
      <c r="J564" s="865" t="s">
        <v>129</v>
      </c>
      <c r="K564" s="865"/>
      <c r="L564" s="865"/>
      <c r="M564" s="865"/>
      <c r="N564" s="865"/>
      <c r="O564" s="865"/>
      <c r="P564" s="865"/>
    </row>
    <row r="565" spans="1:16" ht="27.2" customHeight="1" x14ac:dyDescent="0.25">
      <c r="A565" s="675"/>
      <c r="B565" s="865" t="s">
        <v>1489</v>
      </c>
      <c r="C565" s="865"/>
      <c r="D565" s="865"/>
      <c r="E565" s="865"/>
      <c r="F565" s="865" t="s">
        <v>1488</v>
      </c>
      <c r="G565" s="865"/>
      <c r="H565" s="865"/>
      <c r="I565" s="865"/>
      <c r="J565" s="865" t="s">
        <v>129</v>
      </c>
      <c r="K565" s="865"/>
      <c r="L565" s="865"/>
      <c r="M565" s="865"/>
      <c r="N565" s="865"/>
      <c r="O565" s="865"/>
      <c r="P565" s="865"/>
    </row>
    <row r="566" spans="1:16" x14ac:dyDescent="0.25">
      <c r="A566" s="675"/>
      <c r="B566" s="865" t="s">
        <v>1482</v>
      </c>
      <c r="C566" s="865"/>
      <c r="D566" s="865"/>
      <c r="E566" s="865"/>
      <c r="F566" s="865" t="s">
        <v>1490</v>
      </c>
      <c r="G566" s="865"/>
      <c r="H566" s="865"/>
      <c r="I566" s="865"/>
      <c r="J566" s="865" t="s">
        <v>129</v>
      </c>
      <c r="K566" s="865"/>
      <c r="L566" s="865"/>
      <c r="M566" s="865"/>
      <c r="N566" s="865"/>
      <c r="O566" s="865"/>
      <c r="P566" s="865"/>
    </row>
    <row r="567" spans="1:16" ht="149.65" customHeight="1" x14ac:dyDescent="0.25">
      <c r="A567" s="674" t="s">
        <v>206</v>
      </c>
      <c r="B567" s="781" t="s">
        <v>1234</v>
      </c>
      <c r="C567" s="782"/>
      <c r="D567" s="782"/>
      <c r="E567" s="782"/>
      <c r="F567" s="782" t="s">
        <v>1235</v>
      </c>
      <c r="G567" s="782"/>
      <c r="H567" s="782"/>
      <c r="I567" s="782"/>
      <c r="J567" s="782" t="s">
        <v>1491</v>
      </c>
      <c r="K567" s="782"/>
      <c r="L567" s="782"/>
      <c r="M567" s="866">
        <f>ROUND((33300 + 100 * 540) * 1 * 1.68 * 0.6 * 1.3, 0)</f>
        <v>114398</v>
      </c>
      <c r="N567" s="782"/>
      <c r="O567" s="782" t="s">
        <v>129</v>
      </c>
      <c r="P567" s="782"/>
    </row>
    <row r="568" spans="1:16" x14ac:dyDescent="0.25">
      <c r="A568" s="676"/>
      <c r="B568" s="864" t="s">
        <v>306</v>
      </c>
      <c r="C568" s="864"/>
      <c r="D568" s="864"/>
      <c r="E568" s="864"/>
      <c r="F568" s="864" t="s">
        <v>129</v>
      </c>
      <c r="G568" s="864"/>
      <c r="H568" s="864"/>
      <c r="I568" s="864"/>
      <c r="J568" s="864" t="s">
        <v>129</v>
      </c>
      <c r="K568" s="864"/>
      <c r="L568" s="864"/>
      <c r="M568" s="864"/>
      <c r="N568" s="864"/>
      <c r="O568" s="864"/>
      <c r="P568" s="864"/>
    </row>
    <row r="569" spans="1:16" x14ac:dyDescent="0.25">
      <c r="A569" s="675"/>
      <c r="B569" s="865" t="s">
        <v>507</v>
      </c>
      <c r="C569" s="865"/>
      <c r="D569" s="865"/>
      <c r="E569" s="865"/>
      <c r="F569" s="865" t="s">
        <v>508</v>
      </c>
      <c r="G569" s="865"/>
      <c r="H569" s="865"/>
      <c r="I569" s="865"/>
      <c r="J569" s="865" t="s">
        <v>129</v>
      </c>
      <c r="K569" s="865"/>
      <c r="L569" s="865"/>
      <c r="M569" s="865"/>
      <c r="N569" s="865"/>
      <c r="O569" s="865"/>
      <c r="P569" s="865"/>
    </row>
    <row r="570" spans="1:16" ht="40.9" customHeight="1" x14ac:dyDescent="0.25">
      <c r="A570" s="675"/>
      <c r="B570" s="865" t="s">
        <v>331</v>
      </c>
      <c r="C570" s="865"/>
      <c r="D570" s="865"/>
      <c r="E570" s="865"/>
      <c r="F570" s="865" t="s">
        <v>332</v>
      </c>
      <c r="G570" s="865"/>
      <c r="H570" s="865"/>
      <c r="I570" s="865"/>
      <c r="J570" s="865" t="s">
        <v>129</v>
      </c>
      <c r="K570" s="865"/>
      <c r="L570" s="865"/>
      <c r="M570" s="865"/>
      <c r="N570" s="865"/>
      <c r="O570" s="865"/>
      <c r="P570" s="865"/>
    </row>
    <row r="571" spans="1:16" ht="149.65" customHeight="1" x14ac:dyDescent="0.25">
      <c r="A571" s="675"/>
      <c r="B571" s="865" t="s">
        <v>329</v>
      </c>
      <c r="C571" s="865"/>
      <c r="D571" s="865"/>
      <c r="E571" s="865"/>
      <c r="F571" s="865" t="s">
        <v>512</v>
      </c>
      <c r="G571" s="865"/>
      <c r="H571" s="865"/>
      <c r="I571" s="865"/>
      <c r="J571" s="865" t="s">
        <v>129</v>
      </c>
      <c r="K571" s="865"/>
      <c r="L571" s="865"/>
      <c r="M571" s="865"/>
      <c r="N571" s="865"/>
      <c r="O571" s="865"/>
      <c r="P571" s="865"/>
    </row>
    <row r="572" spans="1:16" x14ac:dyDescent="0.25">
      <c r="A572" s="676"/>
      <c r="B572" s="864" t="s">
        <v>330</v>
      </c>
      <c r="C572" s="864"/>
      <c r="D572" s="864"/>
      <c r="E572" s="864"/>
      <c r="F572" s="864" t="s">
        <v>129</v>
      </c>
      <c r="G572" s="864"/>
      <c r="H572" s="864"/>
      <c r="I572" s="864"/>
      <c r="J572" s="864" t="s">
        <v>129</v>
      </c>
      <c r="K572" s="864"/>
      <c r="L572" s="864"/>
      <c r="M572" s="864"/>
      <c r="N572" s="864"/>
      <c r="O572" s="864"/>
      <c r="P572" s="864"/>
    </row>
    <row r="573" spans="1:16" ht="27.2" customHeight="1" x14ac:dyDescent="0.25">
      <c r="A573" s="675"/>
      <c r="B573" s="865" t="s">
        <v>1477</v>
      </c>
      <c r="C573" s="865"/>
      <c r="D573" s="865"/>
      <c r="E573" s="865"/>
      <c r="F573" s="865" t="s">
        <v>1492</v>
      </c>
      <c r="G573" s="865"/>
      <c r="H573" s="865"/>
      <c r="I573" s="865"/>
      <c r="J573" s="865" t="s">
        <v>129</v>
      </c>
      <c r="K573" s="865"/>
      <c r="L573" s="865"/>
      <c r="M573" s="865"/>
      <c r="N573" s="865"/>
      <c r="O573" s="865"/>
      <c r="P573" s="865"/>
    </row>
    <row r="574" spans="1:16" x14ac:dyDescent="0.25">
      <c r="A574" s="675"/>
      <c r="B574" s="865" t="s">
        <v>1403</v>
      </c>
      <c r="C574" s="865"/>
      <c r="D574" s="865"/>
      <c r="E574" s="865"/>
      <c r="F574" s="865" t="s">
        <v>1493</v>
      </c>
      <c r="G574" s="865"/>
      <c r="H574" s="865"/>
      <c r="I574" s="865"/>
      <c r="J574" s="865" t="s">
        <v>129</v>
      </c>
      <c r="K574" s="865"/>
      <c r="L574" s="865"/>
      <c r="M574" s="865"/>
      <c r="N574" s="865"/>
      <c r="O574" s="865"/>
      <c r="P574" s="865"/>
    </row>
    <row r="575" spans="1:16" ht="81.599999999999994" customHeight="1" x14ac:dyDescent="0.25">
      <c r="A575" s="675"/>
      <c r="B575" s="865" t="s">
        <v>1486</v>
      </c>
      <c r="C575" s="865"/>
      <c r="D575" s="865"/>
      <c r="E575" s="865"/>
      <c r="F575" s="865" t="s">
        <v>1494</v>
      </c>
      <c r="G575" s="865"/>
      <c r="H575" s="865"/>
      <c r="I575" s="865"/>
      <c r="J575" s="865" t="s">
        <v>129</v>
      </c>
      <c r="K575" s="865"/>
      <c r="L575" s="865"/>
      <c r="M575" s="865"/>
      <c r="N575" s="865"/>
      <c r="O575" s="865"/>
      <c r="P575" s="865"/>
    </row>
    <row r="576" spans="1:16" ht="27.2" customHeight="1" x14ac:dyDescent="0.25">
      <c r="A576" s="675"/>
      <c r="B576" s="865" t="s">
        <v>1405</v>
      </c>
      <c r="C576" s="865"/>
      <c r="D576" s="865"/>
      <c r="E576" s="865"/>
      <c r="F576" s="865" t="s">
        <v>1495</v>
      </c>
      <c r="G576" s="865"/>
      <c r="H576" s="865"/>
      <c r="I576" s="865"/>
      <c r="J576" s="865" t="s">
        <v>129</v>
      </c>
      <c r="K576" s="865"/>
      <c r="L576" s="865"/>
      <c r="M576" s="865"/>
      <c r="N576" s="865"/>
      <c r="O576" s="865"/>
      <c r="P576" s="865"/>
    </row>
    <row r="577" spans="1:16" ht="27.2" customHeight="1" x14ac:dyDescent="0.25">
      <c r="A577" s="675"/>
      <c r="B577" s="865" t="s">
        <v>1489</v>
      </c>
      <c r="C577" s="865"/>
      <c r="D577" s="865"/>
      <c r="E577" s="865"/>
      <c r="F577" s="865" t="s">
        <v>1496</v>
      </c>
      <c r="G577" s="865"/>
      <c r="H577" s="865"/>
      <c r="I577" s="865"/>
      <c r="J577" s="865" t="s">
        <v>129</v>
      </c>
      <c r="K577" s="865"/>
      <c r="L577" s="865"/>
      <c r="M577" s="865"/>
      <c r="N577" s="865"/>
      <c r="O577" s="865"/>
      <c r="P577" s="865"/>
    </row>
    <row r="578" spans="1:16" x14ac:dyDescent="0.25">
      <c r="A578" s="675"/>
      <c r="B578" s="865" t="s">
        <v>1482</v>
      </c>
      <c r="C578" s="865"/>
      <c r="D578" s="865"/>
      <c r="E578" s="865"/>
      <c r="F578" s="865" t="s">
        <v>1497</v>
      </c>
      <c r="G578" s="865"/>
      <c r="H578" s="865"/>
      <c r="I578" s="865"/>
      <c r="J578" s="865" t="s">
        <v>129</v>
      </c>
      <c r="K578" s="865"/>
      <c r="L578" s="865"/>
      <c r="M578" s="865"/>
      <c r="N578" s="865"/>
      <c r="O578" s="865"/>
      <c r="P578" s="865"/>
    </row>
    <row r="579" spans="1:16" ht="149.65" customHeight="1" x14ac:dyDescent="0.25">
      <c r="A579" s="674" t="s">
        <v>208</v>
      </c>
      <c r="B579" s="781" t="s">
        <v>344</v>
      </c>
      <c r="C579" s="782"/>
      <c r="D579" s="782"/>
      <c r="E579" s="782"/>
      <c r="F579" s="782" t="s">
        <v>1855</v>
      </c>
      <c r="G579" s="782"/>
      <c r="H579" s="782"/>
      <c r="I579" s="782"/>
      <c r="J579" s="782" t="s">
        <v>1985</v>
      </c>
      <c r="K579" s="782"/>
      <c r="L579" s="782"/>
      <c r="M579" s="866">
        <f>ROUND((110100 + 7105 * 31) * 1 * 1.68 * 0.6 * 1.3, 0)</f>
        <v>432897</v>
      </c>
      <c r="N579" s="782"/>
      <c r="O579" s="782" t="s">
        <v>129</v>
      </c>
      <c r="P579" s="782"/>
    </row>
    <row r="580" spans="1:16" x14ac:dyDescent="0.25">
      <c r="A580" s="676"/>
      <c r="B580" s="864" t="s">
        <v>306</v>
      </c>
      <c r="C580" s="864"/>
      <c r="D580" s="864"/>
      <c r="E580" s="864"/>
      <c r="F580" s="864" t="s">
        <v>129</v>
      </c>
      <c r="G580" s="864"/>
      <c r="H580" s="864"/>
      <c r="I580" s="864"/>
      <c r="J580" s="864" t="s">
        <v>129</v>
      </c>
      <c r="K580" s="864"/>
      <c r="L580" s="864"/>
      <c r="M580" s="864"/>
      <c r="N580" s="864"/>
      <c r="O580" s="864"/>
      <c r="P580" s="864"/>
    </row>
    <row r="581" spans="1:16" x14ac:dyDescent="0.25">
      <c r="A581" s="675"/>
      <c r="B581" s="865" t="s">
        <v>507</v>
      </c>
      <c r="C581" s="865"/>
      <c r="D581" s="865"/>
      <c r="E581" s="865"/>
      <c r="F581" s="865" t="s">
        <v>508</v>
      </c>
      <c r="G581" s="865"/>
      <c r="H581" s="865"/>
      <c r="I581" s="865"/>
      <c r="J581" s="865" t="s">
        <v>129</v>
      </c>
      <c r="K581" s="865"/>
      <c r="L581" s="865"/>
      <c r="M581" s="865"/>
      <c r="N581" s="865"/>
      <c r="O581" s="865"/>
      <c r="P581" s="865"/>
    </row>
    <row r="582" spans="1:16" ht="40.9" customHeight="1" x14ac:dyDescent="0.25">
      <c r="A582" s="675"/>
      <c r="B582" s="865" t="s">
        <v>331</v>
      </c>
      <c r="C582" s="865"/>
      <c r="D582" s="865"/>
      <c r="E582" s="865"/>
      <c r="F582" s="865" t="s">
        <v>332</v>
      </c>
      <c r="G582" s="865"/>
      <c r="H582" s="865"/>
      <c r="I582" s="865"/>
      <c r="J582" s="865" t="s">
        <v>129</v>
      </c>
      <c r="K582" s="865"/>
      <c r="L582" s="865"/>
      <c r="M582" s="865"/>
      <c r="N582" s="865"/>
      <c r="O582" s="865"/>
      <c r="P582" s="865"/>
    </row>
    <row r="583" spans="1:16" ht="149.65" customHeight="1" x14ac:dyDescent="0.25">
      <c r="A583" s="675"/>
      <c r="B583" s="865" t="s">
        <v>329</v>
      </c>
      <c r="C583" s="865"/>
      <c r="D583" s="865"/>
      <c r="E583" s="865"/>
      <c r="F583" s="865" t="s">
        <v>512</v>
      </c>
      <c r="G583" s="865"/>
      <c r="H583" s="865"/>
      <c r="I583" s="865"/>
      <c r="J583" s="865" t="s">
        <v>129</v>
      </c>
      <c r="K583" s="865"/>
      <c r="L583" s="865"/>
      <c r="M583" s="865"/>
      <c r="N583" s="865"/>
      <c r="O583" s="865"/>
      <c r="P583" s="865"/>
    </row>
    <row r="584" spans="1:16" x14ac:dyDescent="0.25">
      <c r="A584" s="676"/>
      <c r="B584" s="864" t="s">
        <v>330</v>
      </c>
      <c r="C584" s="864"/>
      <c r="D584" s="864"/>
      <c r="E584" s="864"/>
      <c r="F584" s="864" t="s">
        <v>129</v>
      </c>
      <c r="G584" s="864"/>
      <c r="H584" s="864"/>
      <c r="I584" s="864"/>
      <c r="J584" s="864" t="s">
        <v>129</v>
      </c>
      <c r="K584" s="864"/>
      <c r="L584" s="864"/>
      <c r="M584" s="864"/>
      <c r="N584" s="864"/>
      <c r="O584" s="864"/>
      <c r="P584" s="864"/>
    </row>
    <row r="585" spans="1:16" ht="27.2" customHeight="1" x14ac:dyDescent="0.25">
      <c r="A585" s="675"/>
      <c r="B585" s="865" t="s">
        <v>1477</v>
      </c>
      <c r="C585" s="865"/>
      <c r="D585" s="865"/>
      <c r="E585" s="865"/>
      <c r="F585" s="865" t="s">
        <v>1986</v>
      </c>
      <c r="G585" s="865"/>
      <c r="H585" s="865"/>
      <c r="I585" s="865"/>
      <c r="J585" s="865" t="s">
        <v>129</v>
      </c>
      <c r="K585" s="865"/>
      <c r="L585" s="865"/>
      <c r="M585" s="865"/>
      <c r="N585" s="865"/>
      <c r="O585" s="865"/>
      <c r="P585" s="865"/>
    </row>
    <row r="586" spans="1:16" x14ac:dyDescent="0.25">
      <c r="A586" s="675"/>
      <c r="B586" s="865" t="s">
        <v>1403</v>
      </c>
      <c r="C586" s="865"/>
      <c r="D586" s="865"/>
      <c r="E586" s="865"/>
      <c r="F586" s="865" t="s">
        <v>1987</v>
      </c>
      <c r="G586" s="865"/>
      <c r="H586" s="865"/>
      <c r="I586" s="865"/>
      <c r="J586" s="865" t="s">
        <v>129</v>
      </c>
      <c r="K586" s="865"/>
      <c r="L586" s="865"/>
      <c r="M586" s="865"/>
      <c r="N586" s="865"/>
      <c r="O586" s="865"/>
      <c r="P586" s="865"/>
    </row>
    <row r="587" spans="1:16" ht="81.599999999999994" customHeight="1" x14ac:dyDescent="0.25">
      <c r="A587" s="675"/>
      <c r="B587" s="865" t="s">
        <v>1486</v>
      </c>
      <c r="C587" s="865"/>
      <c r="D587" s="865"/>
      <c r="E587" s="865"/>
      <c r="F587" s="865" t="s">
        <v>1988</v>
      </c>
      <c r="G587" s="865"/>
      <c r="H587" s="865"/>
      <c r="I587" s="865"/>
      <c r="J587" s="865" t="s">
        <v>129</v>
      </c>
      <c r="K587" s="865"/>
      <c r="L587" s="865"/>
      <c r="M587" s="865"/>
      <c r="N587" s="865"/>
      <c r="O587" s="865"/>
      <c r="P587" s="865"/>
    </row>
    <row r="588" spans="1:16" ht="27.2" customHeight="1" x14ac:dyDescent="0.25">
      <c r="A588" s="675"/>
      <c r="B588" s="865" t="s">
        <v>1405</v>
      </c>
      <c r="C588" s="865"/>
      <c r="D588" s="865"/>
      <c r="E588" s="865"/>
      <c r="F588" s="865" t="s">
        <v>1989</v>
      </c>
      <c r="G588" s="865"/>
      <c r="H588" s="865"/>
      <c r="I588" s="865"/>
      <c r="J588" s="865" t="s">
        <v>129</v>
      </c>
      <c r="K588" s="865"/>
      <c r="L588" s="865"/>
      <c r="M588" s="865"/>
      <c r="N588" s="865"/>
      <c r="O588" s="865"/>
      <c r="P588" s="865"/>
    </row>
    <row r="589" spans="1:16" ht="27.2" customHeight="1" x14ac:dyDescent="0.25">
      <c r="A589" s="675"/>
      <c r="B589" s="865" t="s">
        <v>1489</v>
      </c>
      <c r="C589" s="865"/>
      <c r="D589" s="865"/>
      <c r="E589" s="865"/>
      <c r="F589" s="865" t="s">
        <v>1989</v>
      </c>
      <c r="G589" s="865"/>
      <c r="H589" s="865"/>
      <c r="I589" s="865"/>
      <c r="J589" s="865" t="s">
        <v>129</v>
      </c>
      <c r="K589" s="865"/>
      <c r="L589" s="865"/>
      <c r="M589" s="865"/>
      <c r="N589" s="865"/>
      <c r="O589" s="865"/>
      <c r="P589" s="865"/>
    </row>
    <row r="590" spans="1:16" x14ac:dyDescent="0.25">
      <c r="A590" s="675"/>
      <c r="B590" s="865" t="s">
        <v>1482</v>
      </c>
      <c r="C590" s="865"/>
      <c r="D590" s="865"/>
      <c r="E590" s="865"/>
      <c r="F590" s="865" t="s">
        <v>1990</v>
      </c>
      <c r="G590" s="865"/>
      <c r="H590" s="865"/>
      <c r="I590" s="865"/>
      <c r="J590" s="865" t="s">
        <v>129</v>
      </c>
      <c r="K590" s="865"/>
      <c r="L590" s="865"/>
      <c r="M590" s="865"/>
      <c r="N590" s="865"/>
      <c r="O590" s="865"/>
      <c r="P590" s="865"/>
    </row>
    <row r="591" spans="1:16" ht="149.65" customHeight="1" x14ac:dyDescent="0.25">
      <c r="A591" s="674" t="s">
        <v>210</v>
      </c>
      <c r="B591" s="781" t="s">
        <v>1866</v>
      </c>
      <c r="C591" s="782"/>
      <c r="D591" s="782"/>
      <c r="E591" s="782"/>
      <c r="F591" s="782" t="s">
        <v>1867</v>
      </c>
      <c r="G591" s="782"/>
      <c r="H591" s="782"/>
      <c r="I591" s="782"/>
      <c r="J591" s="782" t="s">
        <v>1991</v>
      </c>
      <c r="K591" s="782"/>
      <c r="L591" s="782"/>
      <c r="M591" s="866">
        <f>ROUND((109200 + 5153 * 28) * 1 * 1.68 * 0.6 * 1.3, 0)</f>
        <v>332165</v>
      </c>
      <c r="N591" s="782"/>
      <c r="O591" s="782" t="s">
        <v>129</v>
      </c>
      <c r="P591" s="782"/>
    </row>
    <row r="592" spans="1:16" x14ac:dyDescent="0.25">
      <c r="A592" s="676"/>
      <c r="B592" s="864" t="s">
        <v>306</v>
      </c>
      <c r="C592" s="864"/>
      <c r="D592" s="864"/>
      <c r="E592" s="864"/>
      <c r="F592" s="864" t="s">
        <v>129</v>
      </c>
      <c r="G592" s="864"/>
      <c r="H592" s="864"/>
      <c r="I592" s="864"/>
      <c r="J592" s="864" t="s">
        <v>129</v>
      </c>
      <c r="K592" s="864"/>
      <c r="L592" s="864"/>
      <c r="M592" s="864"/>
      <c r="N592" s="864"/>
      <c r="O592" s="864"/>
      <c r="P592" s="864"/>
    </row>
    <row r="593" spans="1:16" x14ac:dyDescent="0.25">
      <c r="A593" s="675"/>
      <c r="B593" s="865" t="s">
        <v>507</v>
      </c>
      <c r="C593" s="865"/>
      <c r="D593" s="865"/>
      <c r="E593" s="865"/>
      <c r="F593" s="865" t="s">
        <v>508</v>
      </c>
      <c r="G593" s="865"/>
      <c r="H593" s="865"/>
      <c r="I593" s="865"/>
      <c r="J593" s="865" t="s">
        <v>129</v>
      </c>
      <c r="K593" s="865"/>
      <c r="L593" s="865"/>
      <c r="M593" s="865"/>
      <c r="N593" s="865"/>
      <c r="O593" s="865"/>
      <c r="P593" s="865"/>
    </row>
    <row r="594" spans="1:16" ht="40.9" customHeight="1" x14ac:dyDescent="0.25">
      <c r="A594" s="675"/>
      <c r="B594" s="865" t="s">
        <v>331</v>
      </c>
      <c r="C594" s="865"/>
      <c r="D594" s="865"/>
      <c r="E594" s="865"/>
      <c r="F594" s="865" t="s">
        <v>332</v>
      </c>
      <c r="G594" s="865"/>
      <c r="H594" s="865"/>
      <c r="I594" s="865"/>
      <c r="J594" s="865" t="s">
        <v>129</v>
      </c>
      <c r="K594" s="865"/>
      <c r="L594" s="865"/>
      <c r="M594" s="865"/>
      <c r="N594" s="865"/>
      <c r="O594" s="865"/>
      <c r="P594" s="865"/>
    </row>
    <row r="595" spans="1:16" ht="149.65" customHeight="1" x14ac:dyDescent="0.25">
      <c r="A595" s="675"/>
      <c r="B595" s="865" t="s">
        <v>329</v>
      </c>
      <c r="C595" s="865"/>
      <c r="D595" s="865"/>
      <c r="E595" s="865"/>
      <c r="F595" s="865" t="s">
        <v>512</v>
      </c>
      <c r="G595" s="865"/>
      <c r="H595" s="865"/>
      <c r="I595" s="865"/>
      <c r="J595" s="865" t="s">
        <v>129</v>
      </c>
      <c r="K595" s="865"/>
      <c r="L595" s="865"/>
      <c r="M595" s="865"/>
      <c r="N595" s="865"/>
      <c r="O595" s="865"/>
      <c r="P595" s="865"/>
    </row>
    <row r="596" spans="1:16" x14ac:dyDescent="0.25">
      <c r="A596" s="676"/>
      <c r="B596" s="864" t="s">
        <v>330</v>
      </c>
      <c r="C596" s="864"/>
      <c r="D596" s="864"/>
      <c r="E596" s="864"/>
      <c r="F596" s="864" t="s">
        <v>129</v>
      </c>
      <c r="G596" s="864"/>
      <c r="H596" s="864"/>
      <c r="I596" s="864"/>
      <c r="J596" s="864" t="s">
        <v>129</v>
      </c>
      <c r="K596" s="864"/>
      <c r="L596" s="864"/>
      <c r="M596" s="864"/>
      <c r="N596" s="864"/>
      <c r="O596" s="864"/>
      <c r="P596" s="864"/>
    </row>
    <row r="597" spans="1:16" ht="27.2" customHeight="1" x14ac:dyDescent="0.25">
      <c r="A597" s="675"/>
      <c r="B597" s="865" t="s">
        <v>1477</v>
      </c>
      <c r="C597" s="865"/>
      <c r="D597" s="865"/>
      <c r="E597" s="865"/>
      <c r="F597" s="865" t="s">
        <v>1992</v>
      </c>
      <c r="G597" s="865"/>
      <c r="H597" s="865"/>
      <c r="I597" s="865"/>
      <c r="J597" s="865" t="s">
        <v>129</v>
      </c>
      <c r="K597" s="865"/>
      <c r="L597" s="865"/>
      <c r="M597" s="865"/>
      <c r="N597" s="865"/>
      <c r="O597" s="865"/>
      <c r="P597" s="865"/>
    </row>
    <row r="598" spans="1:16" x14ac:dyDescent="0.25">
      <c r="A598" s="675"/>
      <c r="B598" s="865" t="s">
        <v>1403</v>
      </c>
      <c r="C598" s="865"/>
      <c r="D598" s="865"/>
      <c r="E598" s="865"/>
      <c r="F598" s="865" t="s">
        <v>1993</v>
      </c>
      <c r="G598" s="865"/>
      <c r="H598" s="865"/>
      <c r="I598" s="865"/>
      <c r="J598" s="865" t="s">
        <v>129</v>
      </c>
      <c r="K598" s="865"/>
      <c r="L598" s="865"/>
      <c r="M598" s="865"/>
      <c r="N598" s="865"/>
      <c r="O598" s="865"/>
      <c r="P598" s="865"/>
    </row>
    <row r="599" spans="1:16" ht="81.599999999999994" customHeight="1" x14ac:dyDescent="0.25">
      <c r="A599" s="675"/>
      <c r="B599" s="865" t="s">
        <v>1486</v>
      </c>
      <c r="C599" s="865"/>
      <c r="D599" s="865"/>
      <c r="E599" s="865"/>
      <c r="F599" s="865" t="s">
        <v>1994</v>
      </c>
      <c r="G599" s="865"/>
      <c r="H599" s="865"/>
      <c r="I599" s="865"/>
      <c r="J599" s="865" t="s">
        <v>129</v>
      </c>
      <c r="K599" s="865"/>
      <c r="L599" s="865"/>
      <c r="M599" s="865"/>
      <c r="N599" s="865"/>
      <c r="O599" s="865"/>
      <c r="P599" s="865"/>
    </row>
    <row r="600" spans="1:16" ht="27.2" customHeight="1" x14ac:dyDescent="0.25">
      <c r="A600" s="675"/>
      <c r="B600" s="865" t="s">
        <v>1405</v>
      </c>
      <c r="C600" s="865"/>
      <c r="D600" s="865"/>
      <c r="E600" s="865"/>
      <c r="F600" s="865" t="s">
        <v>1995</v>
      </c>
      <c r="G600" s="865"/>
      <c r="H600" s="865"/>
      <c r="I600" s="865"/>
      <c r="J600" s="865" t="s">
        <v>129</v>
      </c>
      <c r="K600" s="865"/>
      <c r="L600" s="865"/>
      <c r="M600" s="865"/>
      <c r="N600" s="865"/>
      <c r="O600" s="865"/>
      <c r="P600" s="865"/>
    </row>
    <row r="601" spans="1:16" ht="27.2" customHeight="1" x14ac:dyDescent="0.25">
      <c r="A601" s="675"/>
      <c r="B601" s="865" t="s">
        <v>1489</v>
      </c>
      <c r="C601" s="865"/>
      <c r="D601" s="865"/>
      <c r="E601" s="865"/>
      <c r="F601" s="865" t="s">
        <v>1995</v>
      </c>
      <c r="G601" s="865"/>
      <c r="H601" s="865"/>
      <c r="I601" s="865"/>
      <c r="J601" s="865" t="s">
        <v>129</v>
      </c>
      <c r="K601" s="865"/>
      <c r="L601" s="865"/>
      <c r="M601" s="865"/>
      <c r="N601" s="865"/>
      <c r="O601" s="865"/>
      <c r="P601" s="865"/>
    </row>
    <row r="602" spans="1:16" x14ac:dyDescent="0.25">
      <c r="A602" s="675"/>
      <c r="B602" s="865" t="s">
        <v>1482</v>
      </c>
      <c r="C602" s="865"/>
      <c r="D602" s="865"/>
      <c r="E602" s="865"/>
      <c r="F602" s="865" t="s">
        <v>1996</v>
      </c>
      <c r="G602" s="865"/>
      <c r="H602" s="865"/>
      <c r="I602" s="865"/>
      <c r="J602" s="865" t="s">
        <v>129</v>
      </c>
      <c r="K602" s="865"/>
      <c r="L602" s="865"/>
      <c r="M602" s="865"/>
      <c r="N602" s="865"/>
      <c r="O602" s="865"/>
      <c r="P602" s="865"/>
    </row>
    <row r="603" spans="1:16" ht="163.15" customHeight="1" x14ac:dyDescent="0.25">
      <c r="A603" s="674" t="s">
        <v>211</v>
      </c>
      <c r="B603" s="781" t="s">
        <v>346</v>
      </c>
      <c r="C603" s="782"/>
      <c r="D603" s="782"/>
      <c r="E603" s="782"/>
      <c r="F603" s="782" t="s">
        <v>1247</v>
      </c>
      <c r="G603" s="782"/>
      <c r="H603" s="782"/>
      <c r="I603" s="782"/>
      <c r="J603" s="782" t="s">
        <v>513</v>
      </c>
      <c r="K603" s="782"/>
      <c r="L603" s="782"/>
      <c r="M603" s="866">
        <f>ROUND(140400 * 1 * 1.68 * 0.6 * 1.3, 0)</f>
        <v>183980</v>
      </c>
      <c r="N603" s="782"/>
      <c r="O603" s="782" t="s">
        <v>129</v>
      </c>
      <c r="P603" s="782"/>
    </row>
    <row r="604" spans="1:16" x14ac:dyDescent="0.25">
      <c r="A604" s="676"/>
      <c r="B604" s="864" t="s">
        <v>306</v>
      </c>
      <c r="C604" s="864"/>
      <c r="D604" s="864"/>
      <c r="E604" s="864"/>
      <c r="F604" s="864" t="s">
        <v>129</v>
      </c>
      <c r="G604" s="864"/>
      <c r="H604" s="864"/>
      <c r="I604" s="864"/>
      <c r="J604" s="864" t="s">
        <v>129</v>
      </c>
      <c r="K604" s="864"/>
      <c r="L604" s="864"/>
      <c r="M604" s="864"/>
      <c r="N604" s="864"/>
      <c r="O604" s="864"/>
      <c r="P604" s="864"/>
    </row>
    <row r="605" spans="1:16" x14ac:dyDescent="0.25">
      <c r="A605" s="675"/>
      <c r="B605" s="865" t="s">
        <v>507</v>
      </c>
      <c r="C605" s="865"/>
      <c r="D605" s="865"/>
      <c r="E605" s="865"/>
      <c r="F605" s="865" t="s">
        <v>508</v>
      </c>
      <c r="G605" s="865"/>
      <c r="H605" s="865"/>
      <c r="I605" s="865"/>
      <c r="J605" s="865" t="s">
        <v>129</v>
      </c>
      <c r="K605" s="865"/>
      <c r="L605" s="865"/>
      <c r="M605" s="865"/>
      <c r="N605" s="865"/>
      <c r="O605" s="865"/>
      <c r="P605" s="865"/>
    </row>
    <row r="606" spans="1:16" ht="40.9" customHeight="1" x14ac:dyDescent="0.25">
      <c r="A606" s="675"/>
      <c r="B606" s="865" t="s">
        <v>331</v>
      </c>
      <c r="C606" s="865"/>
      <c r="D606" s="865"/>
      <c r="E606" s="865"/>
      <c r="F606" s="865" t="s">
        <v>332</v>
      </c>
      <c r="G606" s="865"/>
      <c r="H606" s="865"/>
      <c r="I606" s="865"/>
      <c r="J606" s="865" t="s">
        <v>129</v>
      </c>
      <c r="K606" s="865"/>
      <c r="L606" s="865"/>
      <c r="M606" s="865"/>
      <c r="N606" s="865"/>
      <c r="O606" s="865"/>
      <c r="P606" s="865"/>
    </row>
    <row r="607" spans="1:16" ht="149.65" customHeight="1" x14ac:dyDescent="0.25">
      <c r="A607" s="675"/>
      <c r="B607" s="865" t="s">
        <v>329</v>
      </c>
      <c r="C607" s="865"/>
      <c r="D607" s="865"/>
      <c r="E607" s="865"/>
      <c r="F607" s="865" t="s">
        <v>514</v>
      </c>
      <c r="G607" s="865"/>
      <c r="H607" s="865"/>
      <c r="I607" s="865"/>
      <c r="J607" s="865" t="s">
        <v>129</v>
      </c>
      <c r="K607" s="865"/>
      <c r="L607" s="865"/>
      <c r="M607" s="865"/>
      <c r="N607" s="865"/>
      <c r="O607" s="865"/>
      <c r="P607" s="865"/>
    </row>
    <row r="608" spans="1:16" x14ac:dyDescent="0.25">
      <c r="A608" s="676"/>
      <c r="B608" s="864" t="s">
        <v>330</v>
      </c>
      <c r="C608" s="864"/>
      <c r="D608" s="864"/>
      <c r="E608" s="864"/>
      <c r="F608" s="864" t="s">
        <v>129</v>
      </c>
      <c r="G608" s="864"/>
      <c r="H608" s="864"/>
      <c r="I608" s="864"/>
      <c r="J608" s="864" t="s">
        <v>129</v>
      </c>
      <c r="K608" s="864"/>
      <c r="L608" s="864"/>
      <c r="M608" s="864"/>
      <c r="N608" s="864"/>
      <c r="O608" s="864"/>
      <c r="P608" s="864"/>
    </row>
    <row r="609" spans="1:16" ht="27.2" customHeight="1" x14ac:dyDescent="0.25">
      <c r="A609" s="675"/>
      <c r="B609" s="865" t="s">
        <v>1477</v>
      </c>
      <c r="C609" s="865"/>
      <c r="D609" s="865"/>
      <c r="E609" s="865"/>
      <c r="F609" s="865" t="s">
        <v>515</v>
      </c>
      <c r="G609" s="865"/>
      <c r="H609" s="865"/>
      <c r="I609" s="865"/>
      <c r="J609" s="865" t="s">
        <v>129</v>
      </c>
      <c r="K609" s="865"/>
      <c r="L609" s="865"/>
      <c r="M609" s="865"/>
      <c r="N609" s="865"/>
      <c r="O609" s="865"/>
      <c r="P609" s="865"/>
    </row>
    <row r="610" spans="1:16" x14ac:dyDescent="0.25">
      <c r="A610" s="675"/>
      <c r="B610" s="865" t="s">
        <v>1403</v>
      </c>
      <c r="C610" s="865"/>
      <c r="D610" s="865"/>
      <c r="E610" s="865"/>
      <c r="F610" s="865" t="s">
        <v>516</v>
      </c>
      <c r="G610" s="865"/>
      <c r="H610" s="865"/>
      <c r="I610" s="865"/>
      <c r="J610" s="865" t="s">
        <v>129</v>
      </c>
      <c r="K610" s="865"/>
      <c r="L610" s="865"/>
      <c r="M610" s="865"/>
      <c r="N610" s="865"/>
      <c r="O610" s="865"/>
      <c r="P610" s="865"/>
    </row>
    <row r="611" spans="1:16" ht="81.599999999999994" customHeight="1" x14ac:dyDescent="0.25">
      <c r="A611" s="675"/>
      <c r="B611" s="865" t="s">
        <v>1486</v>
      </c>
      <c r="C611" s="865"/>
      <c r="D611" s="865"/>
      <c r="E611" s="865"/>
      <c r="F611" s="865" t="s">
        <v>517</v>
      </c>
      <c r="G611" s="865"/>
      <c r="H611" s="865"/>
      <c r="I611" s="865"/>
      <c r="J611" s="865" t="s">
        <v>129</v>
      </c>
      <c r="K611" s="865"/>
      <c r="L611" s="865"/>
      <c r="M611" s="865"/>
      <c r="N611" s="865"/>
      <c r="O611" s="865"/>
      <c r="P611" s="865"/>
    </row>
    <row r="612" spans="1:16" ht="27.2" customHeight="1" x14ac:dyDescent="0.25">
      <c r="A612" s="675"/>
      <c r="B612" s="865" t="s">
        <v>1405</v>
      </c>
      <c r="C612" s="865"/>
      <c r="D612" s="865"/>
      <c r="E612" s="865"/>
      <c r="F612" s="865" t="s">
        <v>518</v>
      </c>
      <c r="G612" s="865"/>
      <c r="H612" s="865"/>
      <c r="I612" s="865"/>
      <c r="J612" s="865" t="s">
        <v>129</v>
      </c>
      <c r="K612" s="865"/>
      <c r="L612" s="865"/>
      <c r="M612" s="865"/>
      <c r="N612" s="865"/>
      <c r="O612" s="865"/>
      <c r="P612" s="865"/>
    </row>
    <row r="613" spans="1:16" x14ac:dyDescent="0.25">
      <c r="A613" s="675"/>
      <c r="B613" s="865" t="s">
        <v>1482</v>
      </c>
      <c r="C613" s="865"/>
      <c r="D613" s="865"/>
      <c r="E613" s="865"/>
      <c r="F613" s="865" t="s">
        <v>519</v>
      </c>
      <c r="G613" s="865"/>
      <c r="H613" s="865"/>
      <c r="I613" s="865"/>
      <c r="J613" s="865" t="s">
        <v>129</v>
      </c>
      <c r="K613" s="865"/>
      <c r="L613" s="865"/>
      <c r="M613" s="865"/>
      <c r="N613" s="865"/>
      <c r="O613" s="865"/>
      <c r="P613" s="865"/>
    </row>
    <row r="614" spans="1:16" ht="163.15" customHeight="1" x14ac:dyDescent="0.25">
      <c r="A614" s="674" t="s">
        <v>212</v>
      </c>
      <c r="B614" s="781" t="s">
        <v>1248</v>
      </c>
      <c r="C614" s="782"/>
      <c r="D614" s="782"/>
      <c r="E614" s="782"/>
      <c r="F614" s="782" t="s">
        <v>1249</v>
      </c>
      <c r="G614" s="782"/>
      <c r="H614" s="782"/>
      <c r="I614" s="782"/>
      <c r="J614" s="782" t="s">
        <v>1997</v>
      </c>
      <c r="K614" s="782"/>
      <c r="L614" s="782"/>
      <c r="M614" s="866">
        <f>ROUND(21100 * 1 * 1.68 * 0.6 * 1.5 * 1.3, 0)</f>
        <v>41474</v>
      </c>
      <c r="N614" s="782"/>
      <c r="O614" s="782" t="s">
        <v>129</v>
      </c>
      <c r="P614" s="782"/>
    </row>
    <row r="615" spans="1:16" x14ac:dyDescent="0.25">
      <c r="A615" s="676"/>
      <c r="B615" s="864" t="s">
        <v>306</v>
      </c>
      <c r="C615" s="864"/>
      <c r="D615" s="864"/>
      <c r="E615" s="864"/>
      <c r="F615" s="864" t="s">
        <v>129</v>
      </c>
      <c r="G615" s="864"/>
      <c r="H615" s="864"/>
      <c r="I615" s="864"/>
      <c r="J615" s="864" t="s">
        <v>129</v>
      </c>
      <c r="K615" s="864"/>
      <c r="L615" s="864"/>
      <c r="M615" s="864"/>
      <c r="N615" s="864"/>
      <c r="O615" s="864"/>
      <c r="P615" s="864"/>
    </row>
    <row r="616" spans="1:16" x14ac:dyDescent="0.25">
      <c r="A616" s="675"/>
      <c r="B616" s="865" t="s">
        <v>507</v>
      </c>
      <c r="C616" s="865"/>
      <c r="D616" s="865"/>
      <c r="E616" s="865"/>
      <c r="F616" s="865" t="s">
        <v>508</v>
      </c>
      <c r="G616" s="865"/>
      <c r="H616" s="865"/>
      <c r="I616" s="865"/>
      <c r="J616" s="865" t="s">
        <v>129</v>
      </c>
      <c r="K616" s="865"/>
      <c r="L616" s="865"/>
      <c r="M616" s="865"/>
      <c r="N616" s="865"/>
      <c r="O616" s="865"/>
      <c r="P616" s="865"/>
    </row>
    <row r="617" spans="1:16" ht="40.9" customHeight="1" x14ac:dyDescent="0.25">
      <c r="A617" s="675"/>
      <c r="B617" s="865" t="s">
        <v>331</v>
      </c>
      <c r="C617" s="865"/>
      <c r="D617" s="865"/>
      <c r="E617" s="865"/>
      <c r="F617" s="865" t="s">
        <v>332</v>
      </c>
      <c r="G617" s="865"/>
      <c r="H617" s="865"/>
      <c r="I617" s="865"/>
      <c r="J617" s="865" t="s">
        <v>129</v>
      </c>
      <c r="K617" s="865"/>
      <c r="L617" s="865"/>
      <c r="M617" s="865"/>
      <c r="N617" s="865"/>
      <c r="O617" s="865"/>
      <c r="P617" s="865"/>
    </row>
    <row r="618" spans="1:16" ht="95.25" customHeight="1" x14ac:dyDescent="0.25">
      <c r="A618" s="675"/>
      <c r="B618" s="865" t="s">
        <v>1251</v>
      </c>
      <c r="C618" s="865"/>
      <c r="D618" s="865"/>
      <c r="E618" s="865"/>
      <c r="F618" s="865" t="s">
        <v>1877</v>
      </c>
      <c r="G618" s="865"/>
      <c r="H618" s="865"/>
      <c r="I618" s="865"/>
      <c r="J618" s="865" t="s">
        <v>129</v>
      </c>
      <c r="K618" s="865"/>
      <c r="L618" s="865"/>
      <c r="M618" s="865"/>
      <c r="N618" s="865"/>
      <c r="O618" s="865"/>
      <c r="P618" s="865"/>
    </row>
    <row r="619" spans="1:16" ht="149.65" customHeight="1" x14ac:dyDescent="0.25">
      <c r="A619" s="675"/>
      <c r="B619" s="865" t="s">
        <v>329</v>
      </c>
      <c r="C619" s="865"/>
      <c r="D619" s="865"/>
      <c r="E619" s="865"/>
      <c r="F619" s="865" t="s">
        <v>1499</v>
      </c>
      <c r="G619" s="865"/>
      <c r="H619" s="865"/>
      <c r="I619" s="865"/>
      <c r="J619" s="865" t="s">
        <v>129</v>
      </c>
      <c r="K619" s="865"/>
      <c r="L619" s="865"/>
      <c r="M619" s="865"/>
      <c r="N619" s="865"/>
      <c r="O619" s="865"/>
      <c r="P619" s="865"/>
    </row>
    <row r="620" spans="1:16" x14ac:dyDescent="0.25">
      <c r="A620" s="676"/>
      <c r="B620" s="864" t="s">
        <v>330</v>
      </c>
      <c r="C620" s="864"/>
      <c r="D620" s="864"/>
      <c r="E620" s="864"/>
      <c r="F620" s="864" t="s">
        <v>129</v>
      </c>
      <c r="G620" s="864"/>
      <c r="H620" s="864"/>
      <c r="I620" s="864"/>
      <c r="J620" s="864" t="s">
        <v>129</v>
      </c>
      <c r="K620" s="864"/>
      <c r="L620" s="864"/>
      <c r="M620" s="864"/>
      <c r="N620" s="864"/>
      <c r="O620" s="864"/>
      <c r="P620" s="864"/>
    </row>
    <row r="621" spans="1:16" ht="27.2" customHeight="1" x14ac:dyDescent="0.25">
      <c r="A621" s="675"/>
      <c r="B621" s="865" t="s">
        <v>1477</v>
      </c>
      <c r="C621" s="865"/>
      <c r="D621" s="865"/>
      <c r="E621" s="865"/>
      <c r="F621" s="865" t="s">
        <v>1998</v>
      </c>
      <c r="G621" s="865"/>
      <c r="H621" s="865"/>
      <c r="I621" s="865"/>
      <c r="J621" s="865" t="s">
        <v>129</v>
      </c>
      <c r="K621" s="865"/>
      <c r="L621" s="865"/>
      <c r="M621" s="865"/>
      <c r="N621" s="865"/>
      <c r="O621" s="865"/>
      <c r="P621" s="865"/>
    </row>
    <row r="622" spans="1:16" x14ac:dyDescent="0.25">
      <c r="A622" s="675"/>
      <c r="B622" s="865" t="s">
        <v>1403</v>
      </c>
      <c r="C622" s="865"/>
      <c r="D622" s="865"/>
      <c r="E622" s="865"/>
      <c r="F622" s="865" t="s">
        <v>1999</v>
      </c>
      <c r="G622" s="865"/>
      <c r="H622" s="865"/>
      <c r="I622" s="865"/>
      <c r="J622" s="865" t="s">
        <v>129</v>
      </c>
      <c r="K622" s="865"/>
      <c r="L622" s="865"/>
      <c r="M622" s="865"/>
      <c r="N622" s="865"/>
      <c r="O622" s="865"/>
      <c r="P622" s="865"/>
    </row>
    <row r="623" spans="1:16" ht="81.599999999999994" customHeight="1" x14ac:dyDescent="0.25">
      <c r="A623" s="675"/>
      <c r="B623" s="865" t="s">
        <v>1486</v>
      </c>
      <c r="C623" s="865"/>
      <c r="D623" s="865"/>
      <c r="E623" s="865"/>
      <c r="F623" s="865" t="s">
        <v>2000</v>
      </c>
      <c r="G623" s="865"/>
      <c r="H623" s="865"/>
      <c r="I623" s="865"/>
      <c r="J623" s="865" t="s">
        <v>129</v>
      </c>
      <c r="K623" s="865"/>
      <c r="L623" s="865"/>
      <c r="M623" s="865"/>
      <c r="N623" s="865"/>
      <c r="O623" s="865"/>
      <c r="P623" s="865"/>
    </row>
    <row r="624" spans="1:16" ht="27.2" customHeight="1" x14ac:dyDescent="0.25">
      <c r="A624" s="675"/>
      <c r="B624" s="865" t="s">
        <v>1405</v>
      </c>
      <c r="C624" s="865"/>
      <c r="D624" s="865"/>
      <c r="E624" s="865"/>
      <c r="F624" s="865" t="s">
        <v>2001</v>
      </c>
      <c r="G624" s="865"/>
      <c r="H624" s="865"/>
      <c r="I624" s="865"/>
      <c r="J624" s="865" t="s">
        <v>129</v>
      </c>
      <c r="K624" s="865"/>
      <c r="L624" s="865"/>
      <c r="M624" s="865"/>
      <c r="N624" s="865"/>
      <c r="O624" s="865"/>
      <c r="P624" s="865"/>
    </row>
    <row r="625" spans="1:16" x14ac:dyDescent="0.25">
      <c r="A625" s="675"/>
      <c r="B625" s="865" t="s">
        <v>1482</v>
      </c>
      <c r="C625" s="865"/>
      <c r="D625" s="865"/>
      <c r="E625" s="865"/>
      <c r="F625" s="865" t="s">
        <v>2002</v>
      </c>
      <c r="G625" s="865"/>
      <c r="H625" s="865"/>
      <c r="I625" s="865"/>
      <c r="J625" s="865" t="s">
        <v>129</v>
      </c>
      <c r="K625" s="865"/>
      <c r="L625" s="865"/>
      <c r="M625" s="865"/>
      <c r="N625" s="865"/>
      <c r="O625" s="865"/>
      <c r="P625" s="865"/>
    </row>
    <row r="626" spans="1:16" ht="176.85" customHeight="1" x14ac:dyDescent="0.25">
      <c r="A626" s="674" t="s">
        <v>213</v>
      </c>
      <c r="B626" s="781" t="s">
        <v>1885</v>
      </c>
      <c r="C626" s="782"/>
      <c r="D626" s="782"/>
      <c r="E626" s="782"/>
      <c r="F626" s="782" t="s">
        <v>1886</v>
      </c>
      <c r="G626" s="782"/>
      <c r="H626" s="782"/>
      <c r="I626" s="782"/>
      <c r="J626" s="782" t="s">
        <v>2762</v>
      </c>
      <c r="K626" s="782"/>
      <c r="L626" s="782"/>
      <c r="M626" s="866">
        <f>ROUND(167544 + 117281 + 335088 + 770702 + 0 + 0, 0)</f>
        <v>1390615</v>
      </c>
      <c r="N626" s="782"/>
      <c r="O626" s="782" t="s">
        <v>129</v>
      </c>
      <c r="P626" s="782"/>
    </row>
    <row r="627" spans="1:16" x14ac:dyDescent="0.25">
      <c r="A627" s="676"/>
      <c r="B627" s="864" t="s">
        <v>1887</v>
      </c>
      <c r="C627" s="864"/>
      <c r="D627" s="864"/>
      <c r="E627" s="864"/>
      <c r="F627" s="864" t="s">
        <v>129</v>
      </c>
      <c r="G627" s="864"/>
      <c r="H627" s="864"/>
      <c r="I627" s="864"/>
      <c r="J627" s="864" t="s">
        <v>129</v>
      </c>
      <c r="K627" s="864"/>
      <c r="L627" s="864"/>
      <c r="M627" s="864"/>
      <c r="N627" s="864"/>
      <c r="O627" s="864"/>
      <c r="P627" s="864"/>
    </row>
    <row r="628" spans="1:16" ht="40.9" customHeight="1" x14ac:dyDescent="0.25">
      <c r="A628" s="675"/>
      <c r="B628" s="865" t="s">
        <v>1888</v>
      </c>
      <c r="C628" s="865"/>
      <c r="D628" s="865"/>
      <c r="E628" s="865"/>
      <c r="F628" s="865" t="s">
        <v>1889</v>
      </c>
      <c r="G628" s="865"/>
      <c r="H628" s="865"/>
      <c r="I628" s="865"/>
      <c r="J628" s="865" t="s">
        <v>129</v>
      </c>
      <c r="K628" s="865"/>
      <c r="L628" s="865"/>
      <c r="M628" s="865"/>
      <c r="N628" s="865"/>
      <c r="O628" s="865"/>
      <c r="P628" s="865"/>
    </row>
    <row r="629" spans="1:16" ht="40.9" customHeight="1" x14ac:dyDescent="0.25">
      <c r="A629" s="675"/>
      <c r="B629" s="865" t="s">
        <v>1890</v>
      </c>
      <c r="C629" s="865"/>
      <c r="D629" s="865"/>
      <c r="E629" s="865"/>
      <c r="F629" s="865" t="s">
        <v>1891</v>
      </c>
      <c r="G629" s="865"/>
      <c r="H629" s="865"/>
      <c r="I629" s="865"/>
      <c r="J629" s="865" t="s">
        <v>129</v>
      </c>
      <c r="K629" s="865"/>
      <c r="L629" s="865"/>
      <c r="M629" s="865"/>
      <c r="N629" s="865"/>
      <c r="O629" s="865"/>
      <c r="P629" s="865"/>
    </row>
    <row r="630" spans="1:16" ht="27.2" customHeight="1" x14ac:dyDescent="0.25">
      <c r="A630" s="675"/>
      <c r="B630" s="865" t="s">
        <v>1892</v>
      </c>
      <c r="C630" s="865"/>
      <c r="D630" s="865"/>
      <c r="E630" s="865"/>
      <c r="F630" s="865" t="s">
        <v>1893</v>
      </c>
      <c r="G630" s="865"/>
      <c r="H630" s="865"/>
      <c r="I630" s="865"/>
      <c r="J630" s="865" t="s">
        <v>129</v>
      </c>
      <c r="K630" s="865"/>
      <c r="L630" s="865"/>
      <c r="M630" s="865"/>
      <c r="N630" s="865"/>
      <c r="O630" s="865"/>
      <c r="P630" s="865"/>
    </row>
    <row r="631" spans="1:16" ht="40.9" customHeight="1" x14ac:dyDescent="0.25">
      <c r="A631" s="675"/>
      <c r="B631" s="865" t="s">
        <v>1894</v>
      </c>
      <c r="C631" s="865"/>
      <c r="D631" s="865"/>
      <c r="E631" s="865"/>
      <c r="F631" s="865" t="s">
        <v>1895</v>
      </c>
      <c r="G631" s="865"/>
      <c r="H631" s="865"/>
      <c r="I631" s="865"/>
      <c r="J631" s="865" t="s">
        <v>129</v>
      </c>
      <c r="K631" s="865"/>
      <c r="L631" s="865"/>
      <c r="M631" s="865"/>
      <c r="N631" s="865"/>
      <c r="O631" s="865"/>
      <c r="P631" s="865"/>
    </row>
    <row r="632" spans="1:16" ht="81.599999999999994" customHeight="1" x14ac:dyDescent="0.25">
      <c r="A632" s="675"/>
      <c r="B632" s="865" t="s">
        <v>1896</v>
      </c>
      <c r="C632" s="865"/>
      <c r="D632" s="865"/>
      <c r="E632" s="865"/>
      <c r="F632" s="865" t="s">
        <v>1897</v>
      </c>
      <c r="G632" s="865"/>
      <c r="H632" s="865"/>
      <c r="I632" s="865"/>
      <c r="J632" s="865" t="s">
        <v>129</v>
      </c>
      <c r="K632" s="865"/>
      <c r="L632" s="865"/>
      <c r="M632" s="865"/>
      <c r="N632" s="865"/>
      <c r="O632" s="865"/>
      <c r="P632" s="865"/>
    </row>
    <row r="633" spans="1:16" ht="68.099999999999994" customHeight="1" x14ac:dyDescent="0.25">
      <c r="A633" s="675"/>
      <c r="B633" s="865" t="s">
        <v>1898</v>
      </c>
      <c r="C633" s="865"/>
      <c r="D633" s="865"/>
      <c r="E633" s="865"/>
      <c r="F633" s="865" t="s">
        <v>1899</v>
      </c>
      <c r="G633" s="865"/>
      <c r="H633" s="865"/>
      <c r="I633" s="865"/>
      <c r="J633" s="865" t="s">
        <v>129</v>
      </c>
      <c r="K633" s="865"/>
      <c r="L633" s="865"/>
      <c r="M633" s="865"/>
      <c r="N633" s="865"/>
      <c r="O633" s="865"/>
      <c r="P633" s="865"/>
    </row>
    <row r="634" spans="1:16" ht="68.099999999999994" customHeight="1" x14ac:dyDescent="0.25">
      <c r="A634" s="675"/>
      <c r="B634" s="865" t="s">
        <v>1900</v>
      </c>
      <c r="C634" s="865"/>
      <c r="D634" s="865"/>
      <c r="E634" s="865"/>
      <c r="F634" s="865" t="s">
        <v>1901</v>
      </c>
      <c r="G634" s="865"/>
      <c r="H634" s="865"/>
      <c r="I634" s="865"/>
      <c r="J634" s="865" t="s">
        <v>129</v>
      </c>
      <c r="K634" s="865"/>
      <c r="L634" s="865"/>
      <c r="M634" s="865"/>
      <c r="N634" s="865"/>
      <c r="O634" s="865"/>
      <c r="P634" s="865"/>
    </row>
    <row r="635" spans="1:16" x14ac:dyDescent="0.25">
      <c r="A635" s="676"/>
      <c r="B635" s="864" t="s">
        <v>306</v>
      </c>
      <c r="C635" s="864"/>
      <c r="D635" s="864"/>
      <c r="E635" s="864"/>
      <c r="F635" s="864" t="s">
        <v>129</v>
      </c>
      <c r="G635" s="864"/>
      <c r="H635" s="864"/>
      <c r="I635" s="864"/>
      <c r="J635" s="864" t="s">
        <v>129</v>
      </c>
      <c r="K635" s="864"/>
      <c r="L635" s="864"/>
      <c r="M635" s="864"/>
      <c r="N635" s="864"/>
      <c r="O635" s="864"/>
      <c r="P635" s="864"/>
    </row>
    <row r="636" spans="1:16" ht="40.9" customHeight="1" x14ac:dyDescent="0.25">
      <c r="A636" s="675"/>
      <c r="B636" s="865" t="s">
        <v>331</v>
      </c>
      <c r="C636" s="865"/>
      <c r="D636" s="865"/>
      <c r="E636" s="865"/>
      <c r="F636" s="865" t="s">
        <v>332</v>
      </c>
      <c r="G636" s="865"/>
      <c r="H636" s="865"/>
      <c r="I636" s="865"/>
      <c r="J636" s="865" t="s">
        <v>129</v>
      </c>
      <c r="K636" s="865"/>
      <c r="L636" s="865"/>
      <c r="M636" s="865"/>
      <c r="N636" s="865"/>
      <c r="O636" s="865"/>
      <c r="P636" s="865"/>
    </row>
    <row r="637" spans="1:16" ht="54.4" customHeight="1" x14ac:dyDescent="0.25">
      <c r="A637" s="675"/>
      <c r="B637" s="865" t="s">
        <v>2521</v>
      </c>
      <c r="C637" s="865"/>
      <c r="D637" s="865"/>
      <c r="E637" s="865"/>
      <c r="F637" s="865" t="s">
        <v>2520</v>
      </c>
      <c r="G637" s="865"/>
      <c r="H637" s="865"/>
      <c r="I637" s="865"/>
      <c r="J637" s="865" t="s">
        <v>129</v>
      </c>
      <c r="K637" s="865"/>
      <c r="L637" s="865"/>
      <c r="M637" s="865"/>
      <c r="N637" s="865"/>
      <c r="O637" s="865"/>
      <c r="P637" s="865"/>
    </row>
    <row r="638" spans="1:16" x14ac:dyDescent="0.25">
      <c r="A638" s="676"/>
      <c r="B638" s="864" t="s">
        <v>1902</v>
      </c>
      <c r="C638" s="864"/>
      <c r="D638" s="864"/>
      <c r="E638" s="864"/>
      <c r="F638" s="864" t="s">
        <v>129</v>
      </c>
      <c r="G638" s="864"/>
      <c r="H638" s="864"/>
      <c r="I638" s="864"/>
      <c r="J638" s="864" t="s">
        <v>129</v>
      </c>
      <c r="K638" s="864"/>
      <c r="L638" s="864"/>
      <c r="M638" s="864"/>
      <c r="N638" s="864"/>
      <c r="O638" s="864"/>
      <c r="P638" s="864"/>
    </row>
    <row r="639" spans="1:16" ht="68.099999999999994" customHeight="1" x14ac:dyDescent="0.25">
      <c r="A639" s="675"/>
      <c r="B639" s="865" t="s">
        <v>129</v>
      </c>
      <c r="C639" s="865"/>
      <c r="D639" s="865"/>
      <c r="E639" s="865"/>
      <c r="F639" s="865" t="s">
        <v>2003</v>
      </c>
      <c r="G639" s="865"/>
      <c r="H639" s="865"/>
      <c r="I639" s="865"/>
      <c r="J639" s="865" t="s">
        <v>2761</v>
      </c>
      <c r="K639" s="865"/>
      <c r="L639" s="865"/>
      <c r="M639" s="865"/>
      <c r="N639" s="865"/>
      <c r="O639" s="865"/>
      <c r="P639" s="865"/>
    </row>
    <row r="640" spans="1:16" ht="27.2" customHeight="1" x14ac:dyDescent="0.25">
      <c r="A640" s="675"/>
      <c r="B640" s="865" t="s">
        <v>2004</v>
      </c>
      <c r="C640" s="865"/>
      <c r="D640" s="865"/>
      <c r="E640" s="865"/>
      <c r="F640" s="865" t="s">
        <v>1905</v>
      </c>
      <c r="G640" s="865"/>
      <c r="H640" s="865"/>
      <c r="I640" s="865"/>
      <c r="J640" s="865" t="s">
        <v>129</v>
      </c>
      <c r="K640" s="865"/>
      <c r="L640" s="865"/>
      <c r="M640" s="865"/>
      <c r="N640" s="865"/>
      <c r="O640" s="865"/>
      <c r="P640" s="865"/>
    </row>
    <row r="641" spans="1:16" x14ac:dyDescent="0.25">
      <c r="A641" s="675"/>
      <c r="B641" s="865" t="s">
        <v>2005</v>
      </c>
      <c r="C641" s="865"/>
      <c r="D641" s="865"/>
      <c r="E641" s="865"/>
      <c r="F641" s="865" t="s">
        <v>1905</v>
      </c>
      <c r="G641" s="865"/>
      <c r="H641" s="865"/>
      <c r="I641" s="865"/>
      <c r="J641" s="865" t="s">
        <v>129</v>
      </c>
      <c r="K641" s="865"/>
      <c r="L641" s="865"/>
      <c r="M641" s="865"/>
      <c r="N641" s="865"/>
      <c r="O641" s="865"/>
      <c r="P641" s="865"/>
    </row>
    <row r="642" spans="1:16" ht="27.2" customHeight="1" x14ac:dyDescent="0.25">
      <c r="A642" s="675"/>
      <c r="B642" s="865" t="s">
        <v>2006</v>
      </c>
      <c r="C642" s="865"/>
      <c r="D642" s="865"/>
      <c r="E642" s="865"/>
      <c r="F642" s="865" t="s">
        <v>1910</v>
      </c>
      <c r="G642" s="865"/>
      <c r="H642" s="865"/>
      <c r="I642" s="865"/>
      <c r="J642" s="865" t="s">
        <v>129</v>
      </c>
      <c r="K642" s="865"/>
      <c r="L642" s="865"/>
      <c r="M642" s="865"/>
      <c r="N642" s="865"/>
      <c r="O642" s="865"/>
      <c r="P642" s="865"/>
    </row>
    <row r="643" spans="1:16" ht="54.4" customHeight="1" x14ac:dyDescent="0.25">
      <c r="A643" s="675"/>
      <c r="B643" s="865" t="s">
        <v>2007</v>
      </c>
      <c r="C643" s="865"/>
      <c r="D643" s="865"/>
      <c r="E643" s="865"/>
      <c r="F643" s="865" t="s">
        <v>1905</v>
      </c>
      <c r="G643" s="865"/>
      <c r="H643" s="865"/>
      <c r="I643" s="865"/>
      <c r="J643" s="865" t="s">
        <v>129</v>
      </c>
      <c r="K643" s="865"/>
      <c r="L643" s="865"/>
      <c r="M643" s="865"/>
      <c r="N643" s="865"/>
      <c r="O643" s="865"/>
      <c r="P643" s="865"/>
    </row>
    <row r="644" spans="1:16" x14ac:dyDescent="0.25">
      <c r="A644" s="675"/>
      <c r="B644" s="865" t="s">
        <v>2008</v>
      </c>
      <c r="C644" s="865"/>
      <c r="D644" s="865"/>
      <c r="E644" s="865"/>
      <c r="F644" s="865" t="s">
        <v>1910</v>
      </c>
      <c r="G644" s="865"/>
      <c r="H644" s="865"/>
      <c r="I644" s="865"/>
      <c r="J644" s="865" t="s">
        <v>129</v>
      </c>
      <c r="K644" s="865"/>
      <c r="L644" s="865"/>
      <c r="M644" s="865"/>
      <c r="N644" s="865"/>
      <c r="O644" s="865"/>
      <c r="P644" s="865"/>
    </row>
    <row r="645" spans="1:16" ht="27.2" customHeight="1" x14ac:dyDescent="0.25">
      <c r="A645" s="675"/>
      <c r="B645" s="865" t="s">
        <v>2009</v>
      </c>
      <c r="C645" s="865"/>
      <c r="D645" s="865"/>
      <c r="E645" s="865"/>
      <c r="F645" s="865" t="s">
        <v>1914</v>
      </c>
      <c r="G645" s="865"/>
      <c r="H645" s="865"/>
      <c r="I645" s="865"/>
      <c r="J645" s="865" t="s">
        <v>129</v>
      </c>
      <c r="K645" s="865"/>
      <c r="L645" s="865"/>
      <c r="M645" s="865"/>
      <c r="N645" s="865"/>
      <c r="O645" s="865"/>
      <c r="P645" s="865"/>
    </row>
    <row r="646" spans="1:16" x14ac:dyDescent="0.25">
      <c r="A646" s="675"/>
      <c r="B646" s="865" t="s">
        <v>2010</v>
      </c>
      <c r="C646" s="865"/>
      <c r="D646" s="865"/>
      <c r="E646" s="865"/>
      <c r="F646" s="865" t="s">
        <v>1914</v>
      </c>
      <c r="G646" s="865"/>
      <c r="H646" s="865"/>
      <c r="I646" s="865"/>
      <c r="J646" s="865" t="s">
        <v>129</v>
      </c>
      <c r="K646" s="865"/>
      <c r="L646" s="865"/>
      <c r="M646" s="865"/>
      <c r="N646" s="865"/>
      <c r="O646" s="865"/>
      <c r="P646" s="865"/>
    </row>
    <row r="647" spans="1:16" x14ac:dyDescent="0.25">
      <c r="A647" s="675"/>
      <c r="B647" s="865" t="s">
        <v>2011</v>
      </c>
      <c r="C647" s="865"/>
      <c r="D647" s="865"/>
      <c r="E647" s="865"/>
      <c r="F647" s="865" t="s">
        <v>1910</v>
      </c>
      <c r="G647" s="865"/>
      <c r="H647" s="865"/>
      <c r="I647" s="865"/>
      <c r="J647" s="865" t="s">
        <v>129</v>
      </c>
      <c r="K647" s="865"/>
      <c r="L647" s="865"/>
      <c r="M647" s="865"/>
      <c r="N647" s="865"/>
      <c r="O647" s="865"/>
      <c r="P647" s="865"/>
    </row>
    <row r="648" spans="1:16" ht="68.099999999999994" customHeight="1" x14ac:dyDescent="0.25">
      <c r="A648" s="675"/>
      <c r="B648" s="865" t="s">
        <v>129</v>
      </c>
      <c r="C648" s="865"/>
      <c r="D648" s="865"/>
      <c r="E648" s="865"/>
      <c r="F648" s="865" t="s">
        <v>2012</v>
      </c>
      <c r="G648" s="865"/>
      <c r="H648" s="865"/>
      <c r="I648" s="865"/>
      <c r="J648" s="865" t="s">
        <v>2760</v>
      </c>
      <c r="K648" s="865"/>
      <c r="L648" s="865"/>
      <c r="M648" s="865"/>
      <c r="N648" s="865"/>
      <c r="O648" s="865"/>
      <c r="P648" s="865"/>
    </row>
    <row r="649" spans="1:16" ht="40.9" customHeight="1" x14ac:dyDescent="0.25">
      <c r="A649" s="675"/>
      <c r="B649" s="865" t="s">
        <v>2013</v>
      </c>
      <c r="C649" s="865"/>
      <c r="D649" s="865"/>
      <c r="E649" s="865"/>
      <c r="F649" s="865" t="s">
        <v>1905</v>
      </c>
      <c r="G649" s="865"/>
      <c r="H649" s="865"/>
      <c r="I649" s="865"/>
      <c r="J649" s="865" t="s">
        <v>129</v>
      </c>
      <c r="K649" s="865"/>
      <c r="L649" s="865"/>
      <c r="M649" s="865"/>
      <c r="N649" s="865"/>
      <c r="O649" s="865"/>
      <c r="P649" s="865"/>
    </row>
    <row r="650" spans="1:16" x14ac:dyDescent="0.25">
      <c r="A650" s="675"/>
      <c r="B650" s="865" t="s">
        <v>2014</v>
      </c>
      <c r="C650" s="865"/>
      <c r="D650" s="865"/>
      <c r="E650" s="865"/>
      <c r="F650" s="865" t="s">
        <v>1907</v>
      </c>
      <c r="G650" s="865"/>
      <c r="H650" s="865"/>
      <c r="I650" s="865"/>
      <c r="J650" s="865" t="s">
        <v>129</v>
      </c>
      <c r="K650" s="865"/>
      <c r="L650" s="865"/>
      <c r="M650" s="865"/>
      <c r="N650" s="865"/>
      <c r="O650" s="865"/>
      <c r="P650" s="865"/>
    </row>
    <row r="651" spans="1:16" x14ac:dyDescent="0.25">
      <c r="A651" s="675"/>
      <c r="B651" s="865" t="s">
        <v>2015</v>
      </c>
      <c r="C651" s="865"/>
      <c r="D651" s="865"/>
      <c r="E651" s="865"/>
      <c r="F651" s="865" t="s">
        <v>1907</v>
      </c>
      <c r="G651" s="865"/>
      <c r="H651" s="865"/>
      <c r="I651" s="865"/>
      <c r="J651" s="865" t="s">
        <v>129</v>
      </c>
      <c r="K651" s="865"/>
      <c r="L651" s="865"/>
      <c r="M651" s="865"/>
      <c r="N651" s="865"/>
      <c r="O651" s="865"/>
      <c r="P651" s="865"/>
    </row>
    <row r="652" spans="1:16" ht="40.9" customHeight="1" x14ac:dyDescent="0.25">
      <c r="A652" s="675"/>
      <c r="B652" s="865" t="s">
        <v>2016</v>
      </c>
      <c r="C652" s="865"/>
      <c r="D652" s="865"/>
      <c r="E652" s="865"/>
      <c r="F652" s="865" t="s">
        <v>1905</v>
      </c>
      <c r="G652" s="865"/>
      <c r="H652" s="865"/>
      <c r="I652" s="865"/>
      <c r="J652" s="865" t="s">
        <v>129</v>
      </c>
      <c r="K652" s="865"/>
      <c r="L652" s="865"/>
      <c r="M652" s="865"/>
      <c r="N652" s="865"/>
      <c r="O652" s="865"/>
      <c r="P652" s="865"/>
    </row>
    <row r="653" spans="1:16" ht="68.099999999999994" customHeight="1" x14ac:dyDescent="0.25">
      <c r="A653" s="675"/>
      <c r="B653" s="865" t="s">
        <v>129</v>
      </c>
      <c r="C653" s="865"/>
      <c r="D653" s="865"/>
      <c r="E653" s="865"/>
      <c r="F653" s="865" t="s">
        <v>2017</v>
      </c>
      <c r="G653" s="865"/>
      <c r="H653" s="865"/>
      <c r="I653" s="865"/>
      <c r="J653" s="865" t="s">
        <v>2759</v>
      </c>
      <c r="K653" s="865"/>
      <c r="L653" s="865"/>
      <c r="M653" s="865"/>
      <c r="N653" s="865"/>
      <c r="O653" s="865"/>
      <c r="P653" s="865"/>
    </row>
    <row r="654" spans="1:16" ht="27.2" customHeight="1" x14ac:dyDescent="0.25">
      <c r="A654" s="675"/>
      <c r="B654" s="865" t="s">
        <v>2018</v>
      </c>
      <c r="C654" s="865"/>
      <c r="D654" s="865"/>
      <c r="E654" s="865"/>
      <c r="F654" s="865" t="s">
        <v>2019</v>
      </c>
      <c r="G654" s="865"/>
      <c r="H654" s="865"/>
      <c r="I654" s="865"/>
      <c r="J654" s="865" t="s">
        <v>129</v>
      </c>
      <c r="K654" s="865"/>
      <c r="L654" s="865"/>
      <c r="M654" s="865"/>
      <c r="N654" s="865"/>
      <c r="O654" s="865"/>
      <c r="P654" s="865"/>
    </row>
    <row r="655" spans="1:16" x14ac:dyDescent="0.25">
      <c r="A655" s="675"/>
      <c r="B655" s="865" t="s">
        <v>2020</v>
      </c>
      <c r="C655" s="865"/>
      <c r="D655" s="865"/>
      <c r="E655" s="865"/>
      <c r="F655" s="865" t="s">
        <v>2019</v>
      </c>
      <c r="G655" s="865"/>
      <c r="H655" s="865"/>
      <c r="I655" s="865"/>
      <c r="J655" s="865" t="s">
        <v>129</v>
      </c>
      <c r="K655" s="865"/>
      <c r="L655" s="865"/>
      <c r="M655" s="865"/>
      <c r="N655" s="865"/>
      <c r="O655" s="865"/>
      <c r="P655" s="865"/>
    </row>
    <row r="656" spans="1:16" ht="68.099999999999994" customHeight="1" x14ac:dyDescent="0.25">
      <c r="A656" s="675"/>
      <c r="B656" s="865" t="s">
        <v>129</v>
      </c>
      <c r="C656" s="865"/>
      <c r="D656" s="865"/>
      <c r="E656" s="865"/>
      <c r="F656" s="865" t="s">
        <v>2021</v>
      </c>
      <c r="G656" s="865"/>
      <c r="H656" s="865"/>
      <c r="I656" s="865"/>
      <c r="J656" s="865" t="s">
        <v>2758</v>
      </c>
      <c r="K656" s="865"/>
      <c r="L656" s="865"/>
      <c r="M656" s="865"/>
      <c r="N656" s="865"/>
      <c r="O656" s="865"/>
      <c r="P656" s="865"/>
    </row>
    <row r="657" spans="1:16" x14ac:dyDescent="0.25">
      <c r="A657" s="675"/>
      <c r="B657" s="865" t="s">
        <v>2022</v>
      </c>
      <c r="C657" s="865"/>
      <c r="D657" s="865"/>
      <c r="E657" s="865"/>
      <c r="F657" s="865" t="s">
        <v>1912</v>
      </c>
      <c r="G657" s="865"/>
      <c r="H657" s="865"/>
      <c r="I657" s="865"/>
      <c r="J657" s="865" t="s">
        <v>129</v>
      </c>
      <c r="K657" s="865"/>
      <c r="L657" s="865"/>
      <c r="M657" s="865"/>
      <c r="N657" s="865"/>
      <c r="O657" s="865"/>
      <c r="P657" s="865"/>
    </row>
    <row r="658" spans="1:16" ht="27.2" customHeight="1" x14ac:dyDescent="0.25">
      <c r="A658" s="675"/>
      <c r="B658" s="865" t="s">
        <v>2023</v>
      </c>
      <c r="C658" s="865"/>
      <c r="D658" s="865"/>
      <c r="E658" s="865"/>
      <c r="F658" s="865" t="s">
        <v>1910</v>
      </c>
      <c r="G658" s="865"/>
      <c r="H658" s="865"/>
      <c r="I658" s="865"/>
      <c r="J658" s="865" t="s">
        <v>129</v>
      </c>
      <c r="K658" s="865"/>
      <c r="L658" s="865"/>
      <c r="M658" s="865"/>
      <c r="N658" s="865"/>
      <c r="O658" s="865"/>
      <c r="P658" s="865"/>
    </row>
    <row r="659" spans="1:16" ht="27.2" customHeight="1" x14ac:dyDescent="0.25">
      <c r="A659" s="675"/>
      <c r="B659" s="865" t="s">
        <v>2024</v>
      </c>
      <c r="C659" s="865"/>
      <c r="D659" s="865"/>
      <c r="E659" s="865"/>
      <c r="F659" s="865" t="s">
        <v>1914</v>
      </c>
      <c r="G659" s="865"/>
      <c r="H659" s="865"/>
      <c r="I659" s="865"/>
      <c r="J659" s="865" t="s">
        <v>129</v>
      </c>
      <c r="K659" s="865"/>
      <c r="L659" s="865"/>
      <c r="M659" s="865"/>
      <c r="N659" s="865"/>
      <c r="O659" s="865"/>
      <c r="P659" s="865"/>
    </row>
    <row r="660" spans="1:16" ht="27.2" customHeight="1" x14ac:dyDescent="0.25">
      <c r="A660" s="675"/>
      <c r="B660" s="865" t="s">
        <v>2025</v>
      </c>
      <c r="C660" s="865"/>
      <c r="D660" s="865"/>
      <c r="E660" s="865"/>
      <c r="F660" s="865" t="s">
        <v>1910</v>
      </c>
      <c r="G660" s="865"/>
      <c r="H660" s="865"/>
      <c r="I660" s="865"/>
      <c r="J660" s="865" t="s">
        <v>129</v>
      </c>
      <c r="K660" s="865"/>
      <c r="L660" s="865"/>
      <c r="M660" s="865"/>
      <c r="N660" s="865"/>
      <c r="O660" s="865"/>
      <c r="P660" s="865"/>
    </row>
    <row r="661" spans="1:16" ht="27.2" customHeight="1" x14ac:dyDescent="0.25">
      <c r="A661" s="675"/>
      <c r="B661" s="865" t="s">
        <v>2026</v>
      </c>
      <c r="C661" s="865"/>
      <c r="D661" s="865"/>
      <c r="E661" s="865"/>
      <c r="F661" s="865" t="s">
        <v>1910</v>
      </c>
      <c r="G661" s="865"/>
      <c r="H661" s="865"/>
      <c r="I661" s="865"/>
      <c r="J661" s="865" t="s">
        <v>129</v>
      </c>
      <c r="K661" s="865"/>
      <c r="L661" s="865"/>
      <c r="M661" s="865"/>
      <c r="N661" s="865"/>
      <c r="O661" s="865"/>
      <c r="P661" s="865"/>
    </row>
    <row r="662" spans="1:16" ht="27.2" customHeight="1" x14ac:dyDescent="0.25">
      <c r="A662" s="675"/>
      <c r="B662" s="865" t="s">
        <v>2027</v>
      </c>
      <c r="C662" s="865"/>
      <c r="D662" s="865"/>
      <c r="E662" s="865"/>
      <c r="F662" s="865" t="s">
        <v>1914</v>
      </c>
      <c r="G662" s="865"/>
      <c r="H662" s="865"/>
      <c r="I662" s="865"/>
      <c r="J662" s="865" t="s">
        <v>129</v>
      </c>
      <c r="K662" s="865"/>
      <c r="L662" s="865"/>
      <c r="M662" s="865"/>
      <c r="N662" s="865"/>
      <c r="O662" s="865"/>
      <c r="P662" s="865"/>
    </row>
    <row r="663" spans="1:16" ht="27.2" customHeight="1" x14ac:dyDescent="0.25">
      <c r="A663" s="675"/>
      <c r="B663" s="865" t="s">
        <v>2028</v>
      </c>
      <c r="C663" s="865"/>
      <c r="D663" s="865"/>
      <c r="E663" s="865"/>
      <c r="F663" s="865" t="s">
        <v>1910</v>
      </c>
      <c r="G663" s="865"/>
      <c r="H663" s="865"/>
      <c r="I663" s="865"/>
      <c r="J663" s="865" t="s">
        <v>129</v>
      </c>
      <c r="K663" s="865"/>
      <c r="L663" s="865"/>
      <c r="M663" s="865"/>
      <c r="N663" s="865"/>
      <c r="O663" s="865"/>
      <c r="P663" s="865"/>
    </row>
    <row r="664" spans="1:16" x14ac:dyDescent="0.25">
      <c r="A664" s="675"/>
      <c r="B664" s="865" t="s">
        <v>2029</v>
      </c>
      <c r="C664" s="865"/>
      <c r="D664" s="865"/>
      <c r="E664" s="865"/>
      <c r="F664" s="865" t="s">
        <v>1914</v>
      </c>
      <c r="G664" s="865"/>
      <c r="H664" s="865"/>
      <c r="I664" s="865"/>
      <c r="J664" s="865" t="s">
        <v>129</v>
      </c>
      <c r="K664" s="865"/>
      <c r="L664" s="865"/>
      <c r="M664" s="865"/>
      <c r="N664" s="865"/>
      <c r="O664" s="865"/>
      <c r="P664" s="865"/>
    </row>
    <row r="665" spans="1:16" ht="27.2" customHeight="1" x14ac:dyDescent="0.25">
      <c r="A665" s="675"/>
      <c r="B665" s="865" t="s">
        <v>2030</v>
      </c>
      <c r="C665" s="865"/>
      <c r="D665" s="865"/>
      <c r="E665" s="865"/>
      <c r="F665" s="865" t="s">
        <v>1910</v>
      </c>
      <c r="G665" s="865"/>
      <c r="H665" s="865"/>
      <c r="I665" s="865"/>
      <c r="J665" s="865" t="s">
        <v>129</v>
      </c>
      <c r="K665" s="865"/>
      <c r="L665" s="865"/>
      <c r="M665" s="865"/>
      <c r="N665" s="865"/>
      <c r="O665" s="865"/>
      <c r="P665" s="865"/>
    </row>
    <row r="666" spans="1:16" x14ac:dyDescent="0.25">
      <c r="A666" s="675"/>
      <c r="B666" s="865" t="s">
        <v>2031</v>
      </c>
      <c r="C666" s="865"/>
      <c r="D666" s="865"/>
      <c r="E666" s="865"/>
      <c r="F666" s="865" t="s">
        <v>2032</v>
      </c>
      <c r="G666" s="865"/>
      <c r="H666" s="865"/>
      <c r="I666" s="865"/>
      <c r="J666" s="865" t="s">
        <v>129</v>
      </c>
      <c r="K666" s="865"/>
      <c r="L666" s="865"/>
      <c r="M666" s="865"/>
      <c r="N666" s="865"/>
      <c r="O666" s="865"/>
      <c r="P666" s="865"/>
    </row>
    <row r="667" spans="1:16" ht="27.2" customHeight="1" x14ac:dyDescent="0.25">
      <c r="A667" s="675"/>
      <c r="B667" s="865" t="s">
        <v>2033</v>
      </c>
      <c r="C667" s="865"/>
      <c r="D667" s="865"/>
      <c r="E667" s="865"/>
      <c r="F667" s="865" t="s">
        <v>2034</v>
      </c>
      <c r="G667" s="865"/>
      <c r="H667" s="865"/>
      <c r="I667" s="865"/>
      <c r="J667" s="865" t="s">
        <v>129</v>
      </c>
      <c r="K667" s="865"/>
      <c r="L667" s="865"/>
      <c r="M667" s="865"/>
      <c r="N667" s="865"/>
      <c r="O667" s="865"/>
      <c r="P667" s="865"/>
    </row>
    <row r="668" spans="1:16" ht="27.2" customHeight="1" x14ac:dyDescent="0.25">
      <c r="A668" s="675"/>
      <c r="B668" s="865" t="s">
        <v>2035</v>
      </c>
      <c r="C668" s="865"/>
      <c r="D668" s="865"/>
      <c r="E668" s="865"/>
      <c r="F668" s="865" t="s">
        <v>1914</v>
      </c>
      <c r="G668" s="865"/>
      <c r="H668" s="865"/>
      <c r="I668" s="865"/>
      <c r="J668" s="865" t="s">
        <v>129</v>
      </c>
      <c r="K668" s="865"/>
      <c r="L668" s="865"/>
      <c r="M668" s="865"/>
      <c r="N668" s="865"/>
      <c r="O668" s="865"/>
      <c r="P668" s="865"/>
    </row>
    <row r="669" spans="1:16" ht="149.65" customHeight="1" x14ac:dyDescent="0.25">
      <c r="A669" s="674" t="s">
        <v>215</v>
      </c>
      <c r="B669" s="781" t="s">
        <v>1261</v>
      </c>
      <c r="C669" s="782"/>
      <c r="D669" s="782"/>
      <c r="E669" s="782"/>
      <c r="F669" s="782" t="s">
        <v>1262</v>
      </c>
      <c r="G669" s="782"/>
      <c r="H669" s="782"/>
      <c r="I669" s="782"/>
      <c r="J669" s="782" t="s">
        <v>1505</v>
      </c>
      <c r="K669" s="782"/>
      <c r="L669" s="782"/>
      <c r="M669" s="866">
        <f>ROUND((35900 + 281 * 390) * 1 * 1.15 * 0.6 * 1.28681, 0)</f>
        <v>129180</v>
      </c>
      <c r="N669" s="782"/>
      <c r="O669" s="782" t="s">
        <v>1264</v>
      </c>
      <c r="P669" s="782"/>
    </row>
    <row r="670" spans="1:16" x14ac:dyDescent="0.25">
      <c r="A670" s="676"/>
      <c r="B670" s="864" t="s">
        <v>306</v>
      </c>
      <c r="C670" s="864"/>
      <c r="D670" s="864"/>
      <c r="E670" s="864"/>
      <c r="F670" s="864" t="s">
        <v>129</v>
      </c>
      <c r="G670" s="864"/>
      <c r="H670" s="864"/>
      <c r="I670" s="864"/>
      <c r="J670" s="864" t="s">
        <v>129</v>
      </c>
      <c r="K670" s="864"/>
      <c r="L670" s="864"/>
      <c r="M670" s="864"/>
      <c r="N670" s="864"/>
      <c r="O670" s="864"/>
      <c r="P670" s="864"/>
    </row>
    <row r="671" spans="1:16" x14ac:dyDescent="0.25">
      <c r="A671" s="675"/>
      <c r="B671" s="865" t="s">
        <v>507</v>
      </c>
      <c r="C671" s="865"/>
      <c r="D671" s="865"/>
      <c r="E671" s="865"/>
      <c r="F671" s="865" t="s">
        <v>508</v>
      </c>
      <c r="G671" s="865"/>
      <c r="H671" s="865"/>
      <c r="I671" s="865"/>
      <c r="J671" s="865" t="s">
        <v>129</v>
      </c>
      <c r="K671" s="865"/>
      <c r="L671" s="865"/>
      <c r="M671" s="865"/>
      <c r="N671" s="865"/>
      <c r="O671" s="865"/>
      <c r="P671" s="865"/>
    </row>
    <row r="672" spans="1:16" ht="40.9" customHeight="1" x14ac:dyDescent="0.25">
      <c r="A672" s="675"/>
      <c r="B672" s="865" t="s">
        <v>1265</v>
      </c>
      <c r="C672" s="865"/>
      <c r="D672" s="865"/>
      <c r="E672" s="865"/>
      <c r="F672" s="865" t="s">
        <v>1266</v>
      </c>
      <c r="G672" s="865"/>
      <c r="H672" s="865"/>
      <c r="I672" s="865"/>
      <c r="J672" s="865" t="s">
        <v>129</v>
      </c>
      <c r="K672" s="865"/>
      <c r="L672" s="865"/>
      <c r="M672" s="865"/>
      <c r="N672" s="865"/>
      <c r="O672" s="865"/>
      <c r="P672" s="865"/>
    </row>
    <row r="673" spans="1:16" ht="149.65" customHeight="1" x14ac:dyDescent="0.25">
      <c r="A673" s="675"/>
      <c r="B673" s="865" t="s">
        <v>329</v>
      </c>
      <c r="C673" s="865"/>
      <c r="D673" s="865"/>
      <c r="E673" s="865"/>
      <c r="F673" s="865" t="s">
        <v>347</v>
      </c>
      <c r="G673" s="865"/>
      <c r="H673" s="865"/>
      <c r="I673" s="865"/>
      <c r="J673" s="865" t="s">
        <v>129</v>
      </c>
      <c r="K673" s="865"/>
      <c r="L673" s="865"/>
      <c r="M673" s="865"/>
      <c r="N673" s="865"/>
      <c r="O673" s="865"/>
      <c r="P673" s="865"/>
    </row>
    <row r="674" spans="1:16" x14ac:dyDescent="0.25">
      <c r="A674" s="676"/>
      <c r="B674" s="864" t="s">
        <v>330</v>
      </c>
      <c r="C674" s="864"/>
      <c r="D674" s="864"/>
      <c r="E674" s="864"/>
      <c r="F674" s="864" t="s">
        <v>129</v>
      </c>
      <c r="G674" s="864"/>
      <c r="H674" s="864"/>
      <c r="I674" s="864"/>
      <c r="J674" s="864" t="s">
        <v>129</v>
      </c>
      <c r="K674" s="864"/>
      <c r="L674" s="864"/>
      <c r="M674" s="864"/>
      <c r="N674" s="864"/>
      <c r="O674" s="864"/>
      <c r="P674" s="864"/>
    </row>
    <row r="675" spans="1:16" x14ac:dyDescent="0.25">
      <c r="A675" s="675"/>
      <c r="B675" s="865" t="s">
        <v>1028</v>
      </c>
      <c r="C675" s="865"/>
      <c r="D675" s="865"/>
      <c r="E675" s="865"/>
      <c r="F675" s="865" t="s">
        <v>1506</v>
      </c>
      <c r="G675" s="865"/>
      <c r="H675" s="865"/>
      <c r="I675" s="865"/>
      <c r="J675" s="865" t="s">
        <v>129</v>
      </c>
      <c r="K675" s="865"/>
      <c r="L675" s="865"/>
      <c r="M675" s="865"/>
      <c r="N675" s="865"/>
      <c r="O675" s="865"/>
      <c r="P675" s="865"/>
    </row>
    <row r="676" spans="1:16" ht="40.9" customHeight="1" x14ac:dyDescent="0.25">
      <c r="A676" s="675"/>
      <c r="B676" s="865" t="s">
        <v>1268</v>
      </c>
      <c r="C676" s="865"/>
      <c r="D676" s="865"/>
      <c r="E676" s="865"/>
      <c r="F676" s="865" t="s">
        <v>1507</v>
      </c>
      <c r="G676" s="865"/>
      <c r="H676" s="865"/>
      <c r="I676" s="865"/>
      <c r="J676" s="865" t="s">
        <v>129</v>
      </c>
      <c r="K676" s="865"/>
      <c r="L676" s="865"/>
      <c r="M676" s="865"/>
      <c r="N676" s="865"/>
      <c r="O676" s="865"/>
      <c r="P676" s="865"/>
    </row>
    <row r="677" spans="1:16" x14ac:dyDescent="0.25">
      <c r="A677" s="675"/>
      <c r="B677" s="865" t="s">
        <v>1224</v>
      </c>
      <c r="C677" s="865"/>
      <c r="D677" s="865"/>
      <c r="E677" s="865"/>
      <c r="F677" s="865" t="s">
        <v>1508</v>
      </c>
      <c r="G677" s="865"/>
      <c r="H677" s="865"/>
      <c r="I677" s="865"/>
      <c r="J677" s="865" t="s">
        <v>129</v>
      </c>
      <c r="K677" s="865"/>
      <c r="L677" s="865"/>
      <c r="M677" s="865"/>
      <c r="N677" s="865"/>
      <c r="O677" s="865"/>
      <c r="P677" s="865"/>
    </row>
    <row r="678" spans="1:16" ht="81.599999999999994" customHeight="1" x14ac:dyDescent="0.25">
      <c r="A678" s="675"/>
      <c r="B678" s="865" t="s">
        <v>1271</v>
      </c>
      <c r="C678" s="865"/>
      <c r="D678" s="865"/>
      <c r="E678" s="865"/>
      <c r="F678" s="865" t="s">
        <v>1509</v>
      </c>
      <c r="G678" s="865"/>
      <c r="H678" s="865"/>
      <c r="I678" s="865"/>
      <c r="J678" s="865" t="s">
        <v>129</v>
      </c>
      <c r="K678" s="865"/>
      <c r="L678" s="865"/>
      <c r="M678" s="865"/>
      <c r="N678" s="865"/>
      <c r="O678" s="865"/>
      <c r="P678" s="865"/>
    </row>
    <row r="679" spans="1:16" ht="27.2" customHeight="1" x14ac:dyDescent="0.25">
      <c r="A679" s="675"/>
      <c r="B679" s="865" t="s">
        <v>1228</v>
      </c>
      <c r="C679" s="865"/>
      <c r="D679" s="865"/>
      <c r="E679" s="865"/>
      <c r="F679" s="865" t="s">
        <v>1510</v>
      </c>
      <c r="G679" s="865"/>
      <c r="H679" s="865"/>
      <c r="I679" s="865"/>
      <c r="J679" s="865" t="s">
        <v>129</v>
      </c>
      <c r="K679" s="865"/>
      <c r="L679" s="865"/>
      <c r="M679" s="865"/>
      <c r="N679" s="865"/>
      <c r="O679" s="865"/>
      <c r="P679" s="865"/>
    </row>
    <row r="680" spans="1:16" x14ac:dyDescent="0.25">
      <c r="A680" s="675"/>
      <c r="B680" s="865" t="s">
        <v>1474</v>
      </c>
      <c r="C680" s="865"/>
      <c r="D680" s="865"/>
      <c r="E680" s="865"/>
      <c r="F680" s="865" t="s">
        <v>1511</v>
      </c>
      <c r="G680" s="865"/>
      <c r="H680" s="865"/>
      <c r="I680" s="865"/>
      <c r="J680" s="865" t="s">
        <v>129</v>
      </c>
      <c r="K680" s="865"/>
      <c r="L680" s="865"/>
      <c r="M680" s="865"/>
      <c r="N680" s="865"/>
      <c r="O680" s="865"/>
      <c r="P680" s="865"/>
    </row>
    <row r="681" spans="1:16" ht="149.65" customHeight="1" x14ac:dyDescent="0.25">
      <c r="A681" s="674" t="s">
        <v>217</v>
      </c>
      <c r="B681" s="781" t="s">
        <v>1276</v>
      </c>
      <c r="C681" s="782"/>
      <c r="D681" s="782"/>
      <c r="E681" s="782"/>
      <c r="F681" s="782" t="s">
        <v>1277</v>
      </c>
      <c r="G681" s="782"/>
      <c r="H681" s="782"/>
      <c r="I681" s="782"/>
      <c r="J681" s="782" t="s">
        <v>1512</v>
      </c>
      <c r="K681" s="782"/>
      <c r="L681" s="782"/>
      <c r="M681" s="866">
        <f>ROUND((104500 + 15480 * 12) * 1 * 1.68 * 0.6 * 0.7 * 1.3, 0)</f>
        <v>266250</v>
      </c>
      <c r="N681" s="782"/>
      <c r="O681" s="782" t="s">
        <v>129</v>
      </c>
      <c r="P681" s="782"/>
    </row>
    <row r="682" spans="1:16" x14ac:dyDescent="0.25">
      <c r="A682" s="676"/>
      <c r="B682" s="864" t="s">
        <v>306</v>
      </c>
      <c r="C682" s="864"/>
      <c r="D682" s="864"/>
      <c r="E682" s="864"/>
      <c r="F682" s="864" t="s">
        <v>129</v>
      </c>
      <c r="G682" s="864"/>
      <c r="H682" s="864"/>
      <c r="I682" s="864"/>
      <c r="J682" s="864" t="s">
        <v>129</v>
      </c>
      <c r="K682" s="864"/>
      <c r="L682" s="864"/>
      <c r="M682" s="864"/>
      <c r="N682" s="864"/>
      <c r="O682" s="864"/>
      <c r="P682" s="864"/>
    </row>
    <row r="683" spans="1:16" x14ac:dyDescent="0.25">
      <c r="A683" s="675"/>
      <c r="B683" s="865" t="s">
        <v>507</v>
      </c>
      <c r="C683" s="865"/>
      <c r="D683" s="865"/>
      <c r="E683" s="865"/>
      <c r="F683" s="865" t="s">
        <v>508</v>
      </c>
      <c r="G683" s="865"/>
      <c r="H683" s="865"/>
      <c r="I683" s="865"/>
      <c r="J683" s="865" t="s">
        <v>129</v>
      </c>
      <c r="K683" s="865"/>
      <c r="L683" s="865"/>
      <c r="M683" s="865"/>
      <c r="N683" s="865"/>
      <c r="O683" s="865"/>
      <c r="P683" s="865"/>
    </row>
    <row r="684" spans="1:16" ht="40.9" customHeight="1" x14ac:dyDescent="0.25">
      <c r="A684" s="675"/>
      <c r="B684" s="865" t="s">
        <v>331</v>
      </c>
      <c r="C684" s="865"/>
      <c r="D684" s="865"/>
      <c r="E684" s="865"/>
      <c r="F684" s="865" t="s">
        <v>332</v>
      </c>
      <c r="G684" s="865"/>
      <c r="H684" s="865"/>
      <c r="I684" s="865"/>
      <c r="J684" s="865" t="s">
        <v>129</v>
      </c>
      <c r="K684" s="865"/>
      <c r="L684" s="865"/>
      <c r="M684" s="865"/>
      <c r="N684" s="865"/>
      <c r="O684" s="865"/>
      <c r="P684" s="865"/>
    </row>
    <row r="685" spans="1:16" ht="81.599999999999994" customHeight="1" x14ac:dyDescent="0.25">
      <c r="A685" s="675"/>
      <c r="B685" s="865" t="s">
        <v>356</v>
      </c>
      <c r="C685" s="865"/>
      <c r="D685" s="865"/>
      <c r="E685" s="865"/>
      <c r="F685" s="865" t="s">
        <v>357</v>
      </c>
      <c r="G685" s="865"/>
      <c r="H685" s="865"/>
      <c r="I685" s="865"/>
      <c r="J685" s="865" t="s">
        <v>129</v>
      </c>
      <c r="K685" s="865"/>
      <c r="L685" s="865"/>
      <c r="M685" s="865"/>
      <c r="N685" s="865"/>
      <c r="O685" s="865"/>
      <c r="P685" s="865"/>
    </row>
    <row r="686" spans="1:16" ht="149.65" customHeight="1" x14ac:dyDescent="0.25">
      <c r="A686" s="675"/>
      <c r="B686" s="865" t="s">
        <v>329</v>
      </c>
      <c r="C686" s="865"/>
      <c r="D686" s="865"/>
      <c r="E686" s="865"/>
      <c r="F686" s="865" t="s">
        <v>520</v>
      </c>
      <c r="G686" s="865"/>
      <c r="H686" s="865"/>
      <c r="I686" s="865"/>
      <c r="J686" s="865" t="s">
        <v>129</v>
      </c>
      <c r="K686" s="865"/>
      <c r="L686" s="865"/>
      <c r="M686" s="865"/>
      <c r="N686" s="865"/>
      <c r="O686" s="865"/>
      <c r="P686" s="865"/>
    </row>
    <row r="687" spans="1:16" x14ac:dyDescent="0.25">
      <c r="A687" s="676"/>
      <c r="B687" s="864" t="s">
        <v>330</v>
      </c>
      <c r="C687" s="864"/>
      <c r="D687" s="864"/>
      <c r="E687" s="864"/>
      <c r="F687" s="864" t="s">
        <v>129</v>
      </c>
      <c r="G687" s="864"/>
      <c r="H687" s="864"/>
      <c r="I687" s="864"/>
      <c r="J687" s="864" t="s">
        <v>129</v>
      </c>
      <c r="K687" s="864"/>
      <c r="L687" s="864"/>
      <c r="M687" s="864"/>
      <c r="N687" s="864"/>
      <c r="O687" s="864"/>
      <c r="P687" s="864"/>
    </row>
    <row r="688" spans="1:16" ht="27.2" customHeight="1" x14ac:dyDescent="0.25">
      <c r="A688" s="675"/>
      <c r="B688" s="865" t="s">
        <v>1477</v>
      </c>
      <c r="C688" s="865"/>
      <c r="D688" s="865"/>
      <c r="E688" s="865"/>
      <c r="F688" s="865" t="s">
        <v>1513</v>
      </c>
      <c r="G688" s="865"/>
      <c r="H688" s="865"/>
      <c r="I688" s="865"/>
      <c r="J688" s="865" t="s">
        <v>129</v>
      </c>
      <c r="K688" s="865"/>
      <c r="L688" s="865"/>
      <c r="M688" s="865"/>
      <c r="N688" s="865"/>
      <c r="O688" s="865"/>
      <c r="P688" s="865"/>
    </row>
    <row r="689" spans="1:16" x14ac:dyDescent="0.25">
      <c r="A689" s="675"/>
      <c r="B689" s="865" t="s">
        <v>1403</v>
      </c>
      <c r="C689" s="865"/>
      <c r="D689" s="865"/>
      <c r="E689" s="865"/>
      <c r="F689" s="865" t="s">
        <v>1514</v>
      </c>
      <c r="G689" s="865"/>
      <c r="H689" s="865"/>
      <c r="I689" s="865"/>
      <c r="J689" s="865" t="s">
        <v>129</v>
      </c>
      <c r="K689" s="865"/>
      <c r="L689" s="865"/>
      <c r="M689" s="865"/>
      <c r="N689" s="865"/>
      <c r="O689" s="865"/>
      <c r="P689" s="865"/>
    </row>
    <row r="690" spans="1:16" ht="81.599999999999994" customHeight="1" x14ac:dyDescent="0.25">
      <c r="A690" s="675"/>
      <c r="B690" s="865" t="s">
        <v>1486</v>
      </c>
      <c r="C690" s="865"/>
      <c r="D690" s="865"/>
      <c r="E690" s="865"/>
      <c r="F690" s="865" t="s">
        <v>1515</v>
      </c>
      <c r="G690" s="865"/>
      <c r="H690" s="865"/>
      <c r="I690" s="865"/>
      <c r="J690" s="865" t="s">
        <v>129</v>
      </c>
      <c r="K690" s="865"/>
      <c r="L690" s="865"/>
      <c r="M690" s="865"/>
      <c r="N690" s="865"/>
      <c r="O690" s="865"/>
      <c r="P690" s="865"/>
    </row>
    <row r="691" spans="1:16" ht="27.2" customHeight="1" x14ac:dyDescent="0.25">
      <c r="A691" s="675"/>
      <c r="B691" s="865" t="s">
        <v>1405</v>
      </c>
      <c r="C691" s="865"/>
      <c r="D691" s="865"/>
      <c r="E691" s="865"/>
      <c r="F691" s="865" t="s">
        <v>1516</v>
      </c>
      <c r="G691" s="865"/>
      <c r="H691" s="865"/>
      <c r="I691" s="865"/>
      <c r="J691" s="865" t="s">
        <v>129</v>
      </c>
      <c r="K691" s="865"/>
      <c r="L691" s="865"/>
      <c r="M691" s="865"/>
      <c r="N691" s="865"/>
      <c r="O691" s="865"/>
      <c r="P691" s="865"/>
    </row>
    <row r="692" spans="1:16" ht="27.2" customHeight="1" x14ac:dyDescent="0.25">
      <c r="A692" s="675"/>
      <c r="B692" s="865" t="s">
        <v>1489</v>
      </c>
      <c r="C692" s="865"/>
      <c r="D692" s="865"/>
      <c r="E692" s="865"/>
      <c r="F692" s="865" t="s">
        <v>1516</v>
      </c>
      <c r="G692" s="865"/>
      <c r="H692" s="865"/>
      <c r="I692" s="865"/>
      <c r="J692" s="865" t="s">
        <v>129</v>
      </c>
      <c r="K692" s="865"/>
      <c r="L692" s="865"/>
      <c r="M692" s="865"/>
      <c r="N692" s="865"/>
      <c r="O692" s="865"/>
      <c r="P692" s="865"/>
    </row>
    <row r="693" spans="1:16" x14ac:dyDescent="0.25">
      <c r="A693" s="675"/>
      <c r="B693" s="865" t="s">
        <v>1482</v>
      </c>
      <c r="C693" s="865"/>
      <c r="D693" s="865"/>
      <c r="E693" s="865"/>
      <c r="F693" s="865" t="s">
        <v>1517</v>
      </c>
      <c r="G693" s="865"/>
      <c r="H693" s="865"/>
      <c r="I693" s="865"/>
      <c r="J693" s="865" t="s">
        <v>129</v>
      </c>
      <c r="K693" s="865"/>
      <c r="L693" s="865"/>
      <c r="M693" s="865"/>
      <c r="N693" s="865"/>
      <c r="O693" s="865"/>
      <c r="P693" s="865"/>
    </row>
    <row r="694" spans="1:16" ht="108.75" customHeight="1" x14ac:dyDescent="0.25">
      <c r="A694" s="674" t="s">
        <v>218</v>
      </c>
      <c r="B694" s="781" t="s">
        <v>358</v>
      </c>
      <c r="C694" s="782"/>
      <c r="D694" s="782"/>
      <c r="E694" s="782"/>
      <c r="F694" s="782" t="s">
        <v>1287</v>
      </c>
      <c r="G694" s="782"/>
      <c r="H694" s="782"/>
      <c r="I694" s="782"/>
      <c r="J694" s="782" t="s">
        <v>2757</v>
      </c>
      <c r="K694" s="782"/>
      <c r="L694" s="782"/>
      <c r="M694" s="866">
        <f>ROUND((25980 + 4623 * 64) * 1 * 7.1 * 0.58 * 0.7 * 1.26413, 0)</f>
        <v>1172823</v>
      </c>
      <c r="N694" s="782"/>
      <c r="O694" s="782" t="s">
        <v>1288</v>
      </c>
      <c r="P694" s="782"/>
    </row>
    <row r="695" spans="1:16" x14ac:dyDescent="0.25">
      <c r="A695" s="676"/>
      <c r="B695" s="864" t="s">
        <v>306</v>
      </c>
      <c r="C695" s="864"/>
      <c r="D695" s="864"/>
      <c r="E695" s="864"/>
      <c r="F695" s="864" t="s">
        <v>129</v>
      </c>
      <c r="G695" s="864"/>
      <c r="H695" s="864"/>
      <c r="I695" s="864"/>
      <c r="J695" s="864" t="s">
        <v>129</v>
      </c>
      <c r="K695" s="864"/>
      <c r="L695" s="864"/>
      <c r="M695" s="864"/>
      <c r="N695" s="864"/>
      <c r="O695" s="864"/>
      <c r="P695" s="864"/>
    </row>
    <row r="696" spans="1:16" x14ac:dyDescent="0.25">
      <c r="A696" s="675"/>
      <c r="B696" s="865" t="s">
        <v>507</v>
      </c>
      <c r="C696" s="865"/>
      <c r="D696" s="865"/>
      <c r="E696" s="865"/>
      <c r="F696" s="865" t="s">
        <v>521</v>
      </c>
      <c r="G696" s="865"/>
      <c r="H696" s="865"/>
      <c r="I696" s="865"/>
      <c r="J696" s="865" t="s">
        <v>129</v>
      </c>
      <c r="K696" s="865"/>
      <c r="L696" s="865"/>
      <c r="M696" s="865"/>
      <c r="N696" s="865"/>
      <c r="O696" s="865"/>
      <c r="P696" s="865"/>
    </row>
    <row r="697" spans="1:16" ht="40.9" customHeight="1" x14ac:dyDescent="0.25">
      <c r="A697" s="675"/>
      <c r="B697" s="865" t="s">
        <v>360</v>
      </c>
      <c r="C697" s="865"/>
      <c r="D697" s="865"/>
      <c r="E697" s="865"/>
      <c r="F697" s="865" t="s">
        <v>361</v>
      </c>
      <c r="G697" s="865"/>
      <c r="H697" s="865"/>
      <c r="I697" s="865"/>
      <c r="J697" s="865" t="s">
        <v>129</v>
      </c>
      <c r="K697" s="865"/>
      <c r="L697" s="865"/>
      <c r="M697" s="865"/>
      <c r="N697" s="865"/>
      <c r="O697" s="865"/>
      <c r="P697" s="865"/>
    </row>
    <row r="698" spans="1:16" ht="135.94999999999999" customHeight="1" x14ac:dyDescent="0.25">
      <c r="A698" s="675"/>
      <c r="B698" s="865" t="s">
        <v>2494</v>
      </c>
      <c r="C698" s="865"/>
      <c r="D698" s="865"/>
      <c r="E698" s="865"/>
      <c r="F698" s="865" t="s">
        <v>2493</v>
      </c>
      <c r="G698" s="865"/>
      <c r="H698" s="865"/>
      <c r="I698" s="865"/>
      <c r="J698" s="865" t="s">
        <v>129</v>
      </c>
      <c r="K698" s="865"/>
      <c r="L698" s="865"/>
      <c r="M698" s="865"/>
      <c r="N698" s="865"/>
      <c r="O698" s="865"/>
      <c r="P698" s="865"/>
    </row>
    <row r="699" spans="1:16" ht="149.65" customHeight="1" x14ac:dyDescent="0.25">
      <c r="A699" s="675"/>
      <c r="B699" s="865" t="s">
        <v>329</v>
      </c>
      <c r="C699" s="865"/>
      <c r="D699" s="865"/>
      <c r="E699" s="865"/>
      <c r="F699" s="865" t="s">
        <v>2740</v>
      </c>
      <c r="G699" s="865"/>
      <c r="H699" s="865"/>
      <c r="I699" s="865"/>
      <c r="J699" s="865" t="s">
        <v>129</v>
      </c>
      <c r="K699" s="865"/>
      <c r="L699" s="865"/>
      <c r="M699" s="865"/>
      <c r="N699" s="865"/>
      <c r="O699" s="865"/>
      <c r="P699" s="865"/>
    </row>
    <row r="700" spans="1:16" x14ac:dyDescent="0.25">
      <c r="A700" s="676"/>
      <c r="B700" s="864" t="s">
        <v>330</v>
      </c>
      <c r="C700" s="864"/>
      <c r="D700" s="864"/>
      <c r="E700" s="864"/>
      <c r="F700" s="864" t="s">
        <v>129</v>
      </c>
      <c r="G700" s="864"/>
      <c r="H700" s="864"/>
      <c r="I700" s="864"/>
      <c r="J700" s="864" t="s">
        <v>129</v>
      </c>
      <c r="K700" s="864"/>
      <c r="L700" s="864"/>
      <c r="M700" s="864"/>
      <c r="N700" s="864"/>
      <c r="O700" s="864"/>
      <c r="P700" s="864"/>
    </row>
    <row r="701" spans="1:16" ht="27.2" customHeight="1" x14ac:dyDescent="0.25">
      <c r="A701" s="675"/>
      <c r="B701" s="865" t="s">
        <v>1419</v>
      </c>
      <c r="C701" s="865"/>
      <c r="D701" s="865"/>
      <c r="E701" s="865"/>
      <c r="F701" s="865" t="s">
        <v>2756</v>
      </c>
      <c r="G701" s="865"/>
      <c r="H701" s="865"/>
      <c r="I701" s="865"/>
      <c r="J701" s="865" t="s">
        <v>129</v>
      </c>
      <c r="K701" s="865"/>
      <c r="L701" s="865"/>
      <c r="M701" s="865"/>
      <c r="N701" s="865"/>
      <c r="O701" s="865"/>
      <c r="P701" s="865"/>
    </row>
    <row r="702" spans="1:16" x14ac:dyDescent="0.25">
      <c r="A702" s="675"/>
      <c r="B702" s="865" t="s">
        <v>1518</v>
      </c>
      <c r="C702" s="865"/>
      <c r="D702" s="865"/>
      <c r="E702" s="865"/>
      <c r="F702" s="865" t="s">
        <v>2755</v>
      </c>
      <c r="G702" s="865"/>
      <c r="H702" s="865"/>
      <c r="I702" s="865"/>
      <c r="J702" s="865" t="s">
        <v>129</v>
      </c>
      <c r="K702" s="865"/>
      <c r="L702" s="865"/>
      <c r="M702" s="865"/>
      <c r="N702" s="865"/>
      <c r="O702" s="865"/>
      <c r="P702" s="865"/>
    </row>
    <row r="703" spans="1:16" ht="27.2" customHeight="1" x14ac:dyDescent="0.25">
      <c r="A703" s="675"/>
      <c r="B703" s="865" t="s">
        <v>1188</v>
      </c>
      <c r="C703" s="865"/>
      <c r="D703" s="865"/>
      <c r="E703" s="865"/>
      <c r="F703" s="865" t="s">
        <v>2754</v>
      </c>
      <c r="G703" s="865"/>
      <c r="H703" s="865"/>
      <c r="I703" s="865"/>
      <c r="J703" s="865" t="s">
        <v>129</v>
      </c>
      <c r="K703" s="865"/>
      <c r="L703" s="865"/>
      <c r="M703" s="865"/>
      <c r="N703" s="865"/>
      <c r="O703" s="865"/>
      <c r="P703" s="865"/>
    </row>
    <row r="704" spans="1:16" ht="54.4" customHeight="1" x14ac:dyDescent="0.25">
      <c r="A704" s="675"/>
      <c r="B704" s="865" t="s">
        <v>1519</v>
      </c>
      <c r="C704" s="865"/>
      <c r="D704" s="865"/>
      <c r="E704" s="865"/>
      <c r="F704" s="865" t="s">
        <v>2753</v>
      </c>
      <c r="G704" s="865"/>
      <c r="H704" s="865"/>
      <c r="I704" s="865"/>
      <c r="J704" s="865" t="s">
        <v>129</v>
      </c>
      <c r="K704" s="865"/>
      <c r="L704" s="865"/>
      <c r="M704" s="865"/>
      <c r="N704" s="865"/>
      <c r="O704" s="865"/>
      <c r="P704" s="865"/>
    </row>
    <row r="705" spans="1:16" ht="27.2" customHeight="1" x14ac:dyDescent="0.25">
      <c r="A705" s="675"/>
      <c r="B705" s="865" t="s">
        <v>1520</v>
      </c>
      <c r="C705" s="865"/>
      <c r="D705" s="865"/>
      <c r="E705" s="865"/>
      <c r="F705" s="865" t="s">
        <v>2752</v>
      </c>
      <c r="G705" s="865"/>
      <c r="H705" s="865"/>
      <c r="I705" s="865"/>
      <c r="J705" s="865" t="s">
        <v>129</v>
      </c>
      <c r="K705" s="865"/>
      <c r="L705" s="865"/>
      <c r="M705" s="865"/>
      <c r="N705" s="865"/>
      <c r="O705" s="865"/>
      <c r="P705" s="865"/>
    </row>
    <row r="706" spans="1:16" ht="27.2" customHeight="1" x14ac:dyDescent="0.25">
      <c r="A706" s="675"/>
      <c r="B706" s="865" t="s">
        <v>1521</v>
      </c>
      <c r="C706" s="865"/>
      <c r="D706" s="865"/>
      <c r="E706" s="865"/>
      <c r="F706" s="865" t="s">
        <v>2751</v>
      </c>
      <c r="G706" s="865"/>
      <c r="H706" s="865"/>
      <c r="I706" s="865"/>
      <c r="J706" s="865" t="s">
        <v>129</v>
      </c>
      <c r="K706" s="865"/>
      <c r="L706" s="865"/>
      <c r="M706" s="865"/>
      <c r="N706" s="865"/>
      <c r="O706" s="865"/>
      <c r="P706" s="865"/>
    </row>
    <row r="707" spans="1:16" ht="27.2" customHeight="1" x14ac:dyDescent="0.25">
      <c r="A707" s="675"/>
      <c r="B707" s="865" t="s">
        <v>1522</v>
      </c>
      <c r="C707" s="865"/>
      <c r="D707" s="865"/>
      <c r="E707" s="865"/>
      <c r="F707" s="865" t="s">
        <v>2751</v>
      </c>
      <c r="G707" s="865"/>
      <c r="H707" s="865"/>
      <c r="I707" s="865"/>
      <c r="J707" s="865" t="s">
        <v>129</v>
      </c>
      <c r="K707" s="865"/>
      <c r="L707" s="865"/>
      <c r="M707" s="865"/>
      <c r="N707" s="865"/>
      <c r="O707" s="865"/>
      <c r="P707" s="865"/>
    </row>
    <row r="708" spans="1:16" ht="27.2" customHeight="1" x14ac:dyDescent="0.25">
      <c r="A708" s="675"/>
      <c r="B708" s="865" t="s">
        <v>1523</v>
      </c>
      <c r="C708" s="865"/>
      <c r="D708" s="865"/>
      <c r="E708" s="865"/>
      <c r="F708" s="865" t="s">
        <v>2750</v>
      </c>
      <c r="G708" s="865"/>
      <c r="H708" s="865"/>
      <c r="I708" s="865"/>
      <c r="J708" s="865" t="s">
        <v>129</v>
      </c>
      <c r="K708" s="865"/>
      <c r="L708" s="865"/>
      <c r="M708" s="865"/>
      <c r="N708" s="865"/>
      <c r="O708" s="865"/>
      <c r="P708" s="865"/>
    </row>
    <row r="709" spans="1:16" ht="27.2" customHeight="1" x14ac:dyDescent="0.25">
      <c r="A709" s="675"/>
      <c r="B709" s="865" t="s">
        <v>1524</v>
      </c>
      <c r="C709" s="865"/>
      <c r="D709" s="865"/>
      <c r="E709" s="865"/>
      <c r="F709" s="865" t="s">
        <v>2749</v>
      </c>
      <c r="G709" s="865"/>
      <c r="H709" s="865"/>
      <c r="I709" s="865"/>
      <c r="J709" s="865" t="s">
        <v>129</v>
      </c>
      <c r="K709" s="865"/>
      <c r="L709" s="865"/>
      <c r="M709" s="865"/>
      <c r="N709" s="865"/>
      <c r="O709" s="865"/>
      <c r="P709" s="865"/>
    </row>
    <row r="710" spans="1:16" ht="27.2" customHeight="1" x14ac:dyDescent="0.25">
      <c r="A710" s="675"/>
      <c r="B710" s="865" t="s">
        <v>1525</v>
      </c>
      <c r="C710" s="865"/>
      <c r="D710" s="865"/>
      <c r="E710" s="865"/>
      <c r="F710" s="865" t="s">
        <v>2748</v>
      </c>
      <c r="G710" s="865"/>
      <c r="H710" s="865"/>
      <c r="I710" s="865"/>
      <c r="J710" s="865" t="s">
        <v>129</v>
      </c>
      <c r="K710" s="865"/>
      <c r="L710" s="865"/>
      <c r="M710" s="865"/>
      <c r="N710" s="865"/>
      <c r="O710" s="865"/>
      <c r="P710" s="865"/>
    </row>
    <row r="711" spans="1:16" ht="27.2" customHeight="1" x14ac:dyDescent="0.25">
      <c r="A711" s="675"/>
      <c r="B711" s="865" t="s">
        <v>1526</v>
      </c>
      <c r="C711" s="865"/>
      <c r="D711" s="865"/>
      <c r="E711" s="865"/>
      <c r="F711" s="865" t="s">
        <v>2747</v>
      </c>
      <c r="G711" s="865"/>
      <c r="H711" s="865"/>
      <c r="I711" s="865"/>
      <c r="J711" s="865" t="s">
        <v>129</v>
      </c>
      <c r="K711" s="865"/>
      <c r="L711" s="865"/>
      <c r="M711" s="865"/>
      <c r="N711" s="865"/>
      <c r="O711" s="865"/>
      <c r="P711" s="865"/>
    </row>
    <row r="712" spans="1:16" ht="27.2" customHeight="1" x14ac:dyDescent="0.25">
      <c r="A712" s="675"/>
      <c r="B712" s="865" t="s">
        <v>1055</v>
      </c>
      <c r="C712" s="865"/>
      <c r="D712" s="865"/>
      <c r="E712" s="865"/>
      <c r="F712" s="865" t="s">
        <v>2746</v>
      </c>
      <c r="G712" s="865"/>
      <c r="H712" s="865"/>
      <c r="I712" s="865"/>
      <c r="J712" s="865" t="s">
        <v>129</v>
      </c>
      <c r="K712" s="865"/>
      <c r="L712" s="865"/>
      <c r="M712" s="865"/>
      <c r="N712" s="865"/>
      <c r="O712" s="865"/>
      <c r="P712" s="865"/>
    </row>
    <row r="713" spans="1:16" ht="27.2" customHeight="1" x14ac:dyDescent="0.25">
      <c r="A713" s="675"/>
      <c r="B713" s="865" t="s">
        <v>1527</v>
      </c>
      <c r="C713" s="865"/>
      <c r="D713" s="865"/>
      <c r="E713" s="865"/>
      <c r="F713" s="865" t="s">
        <v>2745</v>
      </c>
      <c r="G713" s="865"/>
      <c r="H713" s="865"/>
      <c r="I713" s="865"/>
      <c r="J713" s="865" t="s">
        <v>129</v>
      </c>
      <c r="K713" s="865"/>
      <c r="L713" s="865"/>
      <c r="M713" s="865"/>
      <c r="N713" s="865"/>
      <c r="O713" s="865"/>
      <c r="P713" s="865"/>
    </row>
    <row r="714" spans="1:16" x14ac:dyDescent="0.25">
      <c r="A714" s="675"/>
      <c r="B714" s="865" t="s">
        <v>1170</v>
      </c>
      <c r="C714" s="865"/>
      <c r="D714" s="865"/>
      <c r="E714" s="865"/>
      <c r="F714" s="865" t="s">
        <v>2744</v>
      </c>
      <c r="G714" s="865"/>
      <c r="H714" s="865"/>
      <c r="I714" s="865"/>
      <c r="J714" s="865" t="s">
        <v>129</v>
      </c>
      <c r="K714" s="865"/>
      <c r="L714" s="865"/>
      <c r="M714" s="865"/>
      <c r="N714" s="865"/>
      <c r="O714" s="865"/>
      <c r="P714" s="865"/>
    </row>
    <row r="715" spans="1:16" ht="149.65" customHeight="1" x14ac:dyDescent="0.25">
      <c r="A715" s="674" t="s">
        <v>219</v>
      </c>
      <c r="B715" s="781" t="s">
        <v>1300</v>
      </c>
      <c r="C715" s="782"/>
      <c r="D715" s="782"/>
      <c r="E715" s="782"/>
      <c r="F715" s="782" t="s">
        <v>1301</v>
      </c>
      <c r="G715" s="782"/>
      <c r="H715" s="782"/>
      <c r="I715" s="782"/>
      <c r="J715" s="782" t="s">
        <v>2743</v>
      </c>
      <c r="K715" s="782"/>
      <c r="L715" s="782"/>
      <c r="M715" s="866">
        <f>ROUND((52500 + 3004 * (0.4 * 20 + 0.6 * (20 / 2))) * 1 * 0.4 * 1.53 * 0.6 * 0.7 * 1.3, 0)</f>
        <v>31596</v>
      </c>
      <c r="N715" s="782"/>
      <c r="O715" s="782" t="s">
        <v>1302</v>
      </c>
      <c r="P715" s="782"/>
    </row>
    <row r="716" spans="1:16" x14ac:dyDescent="0.25">
      <c r="A716" s="676"/>
      <c r="B716" s="864" t="s">
        <v>306</v>
      </c>
      <c r="C716" s="864"/>
      <c r="D716" s="864"/>
      <c r="E716" s="864"/>
      <c r="F716" s="864" t="s">
        <v>129</v>
      </c>
      <c r="G716" s="864"/>
      <c r="H716" s="864"/>
      <c r="I716" s="864"/>
      <c r="J716" s="864" t="s">
        <v>129</v>
      </c>
      <c r="K716" s="864"/>
      <c r="L716" s="864"/>
      <c r="M716" s="864"/>
      <c r="N716" s="864"/>
      <c r="O716" s="864"/>
      <c r="P716" s="864"/>
    </row>
    <row r="717" spans="1:16" x14ac:dyDescent="0.25">
      <c r="A717" s="675"/>
      <c r="B717" s="865" t="s">
        <v>507</v>
      </c>
      <c r="C717" s="865"/>
      <c r="D717" s="865"/>
      <c r="E717" s="865"/>
      <c r="F717" s="865" t="s">
        <v>508</v>
      </c>
      <c r="G717" s="865"/>
      <c r="H717" s="865"/>
      <c r="I717" s="865"/>
      <c r="J717" s="865" t="s">
        <v>129</v>
      </c>
      <c r="K717" s="865"/>
      <c r="L717" s="865"/>
      <c r="M717" s="865"/>
      <c r="N717" s="865"/>
      <c r="O717" s="865"/>
      <c r="P717" s="865"/>
    </row>
    <row r="718" spans="1:16" ht="40.9" customHeight="1" x14ac:dyDescent="0.25">
      <c r="A718" s="675"/>
      <c r="B718" s="865" t="s">
        <v>336</v>
      </c>
      <c r="C718" s="865"/>
      <c r="D718" s="865"/>
      <c r="E718" s="865"/>
      <c r="F718" s="865" t="s">
        <v>337</v>
      </c>
      <c r="G718" s="865"/>
      <c r="H718" s="865"/>
      <c r="I718" s="865"/>
      <c r="J718" s="865" t="s">
        <v>129</v>
      </c>
      <c r="K718" s="865"/>
      <c r="L718" s="865"/>
      <c r="M718" s="865"/>
      <c r="N718" s="865"/>
      <c r="O718" s="865"/>
      <c r="P718" s="865"/>
    </row>
    <row r="719" spans="1:16" ht="95.25" customHeight="1" x14ac:dyDescent="0.25">
      <c r="A719" s="675"/>
      <c r="B719" s="865" t="s">
        <v>333</v>
      </c>
      <c r="C719" s="865"/>
      <c r="D719" s="865"/>
      <c r="E719" s="865"/>
      <c r="F719" s="865" t="s">
        <v>1303</v>
      </c>
      <c r="G719" s="865"/>
      <c r="H719" s="865"/>
      <c r="I719" s="865"/>
      <c r="J719" s="865" t="s">
        <v>129</v>
      </c>
      <c r="K719" s="865"/>
      <c r="L719" s="865"/>
      <c r="M719" s="865"/>
      <c r="N719" s="865"/>
      <c r="O719" s="865"/>
      <c r="P719" s="865"/>
    </row>
    <row r="720" spans="1:16" ht="176.85" customHeight="1" x14ac:dyDescent="0.25">
      <c r="A720" s="675"/>
      <c r="B720" s="865" t="s">
        <v>2471</v>
      </c>
      <c r="C720" s="865"/>
      <c r="D720" s="865"/>
      <c r="E720" s="865"/>
      <c r="F720" s="865" t="s">
        <v>2470</v>
      </c>
      <c r="G720" s="865"/>
      <c r="H720" s="865"/>
      <c r="I720" s="865"/>
      <c r="J720" s="865" t="s">
        <v>129</v>
      </c>
      <c r="K720" s="865"/>
      <c r="L720" s="865"/>
      <c r="M720" s="865"/>
      <c r="N720" s="865"/>
      <c r="O720" s="865"/>
      <c r="P720" s="865"/>
    </row>
    <row r="721" spans="1:16" ht="149.65" customHeight="1" x14ac:dyDescent="0.25">
      <c r="A721" s="675"/>
      <c r="B721" s="865" t="s">
        <v>329</v>
      </c>
      <c r="C721" s="865"/>
      <c r="D721" s="865"/>
      <c r="E721" s="865"/>
      <c r="F721" s="865" t="s">
        <v>1951</v>
      </c>
      <c r="G721" s="865"/>
      <c r="H721" s="865"/>
      <c r="I721" s="865"/>
      <c r="J721" s="865" t="s">
        <v>129</v>
      </c>
      <c r="K721" s="865"/>
      <c r="L721" s="865"/>
      <c r="M721" s="865"/>
      <c r="N721" s="865"/>
      <c r="O721" s="865"/>
      <c r="P721" s="865"/>
    </row>
    <row r="722" spans="1:16" x14ac:dyDescent="0.25">
      <c r="A722" s="676"/>
      <c r="B722" s="864" t="s">
        <v>330</v>
      </c>
      <c r="C722" s="864"/>
      <c r="D722" s="864"/>
      <c r="E722" s="864"/>
      <c r="F722" s="864" t="s">
        <v>129</v>
      </c>
      <c r="G722" s="864"/>
      <c r="H722" s="864"/>
      <c r="I722" s="864"/>
      <c r="J722" s="864" t="s">
        <v>129</v>
      </c>
      <c r="K722" s="864"/>
      <c r="L722" s="864"/>
      <c r="M722" s="864"/>
      <c r="N722" s="864"/>
      <c r="O722" s="864"/>
      <c r="P722" s="864"/>
    </row>
    <row r="723" spans="1:16" x14ac:dyDescent="0.25">
      <c r="A723" s="675"/>
      <c r="B723" s="865" t="s">
        <v>1304</v>
      </c>
      <c r="C723" s="865"/>
      <c r="D723" s="865"/>
      <c r="E723" s="865"/>
      <c r="F723" s="865" t="s">
        <v>2742</v>
      </c>
      <c r="G723" s="865"/>
      <c r="H723" s="865"/>
      <c r="I723" s="865"/>
      <c r="J723" s="865" t="s">
        <v>129</v>
      </c>
      <c r="K723" s="865"/>
      <c r="L723" s="865"/>
      <c r="M723" s="865"/>
      <c r="N723" s="865"/>
      <c r="O723" s="865"/>
      <c r="P723" s="865"/>
    </row>
    <row r="724" spans="1:16" ht="108.75" customHeight="1" x14ac:dyDescent="0.25">
      <c r="A724" s="674" t="s">
        <v>220</v>
      </c>
      <c r="B724" s="781" t="s">
        <v>358</v>
      </c>
      <c r="C724" s="782"/>
      <c r="D724" s="782"/>
      <c r="E724" s="782"/>
      <c r="F724" s="782" t="s">
        <v>1305</v>
      </c>
      <c r="G724" s="782"/>
      <c r="H724" s="782"/>
      <c r="I724" s="782"/>
      <c r="J724" s="782" t="s">
        <v>2741</v>
      </c>
      <c r="K724" s="782"/>
      <c r="L724" s="782"/>
      <c r="M724" s="866">
        <f>ROUND((25980 + 4623 * 48) * 1 * 7.1 * 0.58 * 0.7 * 1.26413, 0)</f>
        <v>903285</v>
      </c>
      <c r="N724" s="782"/>
      <c r="O724" s="782" t="s">
        <v>1306</v>
      </c>
      <c r="P724" s="782"/>
    </row>
    <row r="725" spans="1:16" x14ac:dyDescent="0.25">
      <c r="A725" s="676"/>
      <c r="B725" s="864" t="s">
        <v>306</v>
      </c>
      <c r="C725" s="864"/>
      <c r="D725" s="864"/>
      <c r="E725" s="864"/>
      <c r="F725" s="864" t="s">
        <v>129</v>
      </c>
      <c r="G725" s="864"/>
      <c r="H725" s="864"/>
      <c r="I725" s="864"/>
      <c r="J725" s="864" t="s">
        <v>129</v>
      </c>
      <c r="K725" s="864"/>
      <c r="L725" s="864"/>
      <c r="M725" s="864"/>
      <c r="N725" s="864"/>
      <c r="O725" s="864"/>
      <c r="P725" s="864"/>
    </row>
    <row r="726" spans="1:16" x14ac:dyDescent="0.25">
      <c r="A726" s="675"/>
      <c r="B726" s="865" t="s">
        <v>507</v>
      </c>
      <c r="C726" s="865"/>
      <c r="D726" s="865"/>
      <c r="E726" s="865"/>
      <c r="F726" s="865" t="s">
        <v>521</v>
      </c>
      <c r="G726" s="865"/>
      <c r="H726" s="865"/>
      <c r="I726" s="865"/>
      <c r="J726" s="865" t="s">
        <v>129</v>
      </c>
      <c r="K726" s="865"/>
      <c r="L726" s="865"/>
      <c r="M726" s="865"/>
      <c r="N726" s="865"/>
      <c r="O726" s="865"/>
      <c r="P726" s="865"/>
    </row>
    <row r="727" spans="1:16" ht="40.9" customHeight="1" x14ac:dyDescent="0.25">
      <c r="A727" s="675"/>
      <c r="B727" s="865" t="s">
        <v>360</v>
      </c>
      <c r="C727" s="865"/>
      <c r="D727" s="865"/>
      <c r="E727" s="865"/>
      <c r="F727" s="865" t="s">
        <v>361</v>
      </c>
      <c r="G727" s="865"/>
      <c r="H727" s="865"/>
      <c r="I727" s="865"/>
      <c r="J727" s="865" t="s">
        <v>129</v>
      </c>
      <c r="K727" s="865"/>
      <c r="L727" s="865"/>
      <c r="M727" s="865"/>
      <c r="N727" s="865"/>
      <c r="O727" s="865"/>
      <c r="P727" s="865"/>
    </row>
    <row r="728" spans="1:16" ht="135.94999999999999" customHeight="1" x14ac:dyDescent="0.25">
      <c r="A728" s="675"/>
      <c r="B728" s="865" t="s">
        <v>2494</v>
      </c>
      <c r="C728" s="865"/>
      <c r="D728" s="865"/>
      <c r="E728" s="865"/>
      <c r="F728" s="865" t="s">
        <v>2493</v>
      </c>
      <c r="G728" s="865"/>
      <c r="H728" s="865"/>
      <c r="I728" s="865"/>
      <c r="J728" s="865" t="s">
        <v>129</v>
      </c>
      <c r="K728" s="865"/>
      <c r="L728" s="865"/>
      <c r="M728" s="865"/>
      <c r="N728" s="865"/>
      <c r="O728" s="865"/>
      <c r="P728" s="865"/>
    </row>
    <row r="729" spans="1:16" ht="149.65" customHeight="1" x14ac:dyDescent="0.25">
      <c r="A729" s="675"/>
      <c r="B729" s="865" t="s">
        <v>329</v>
      </c>
      <c r="C729" s="865"/>
      <c r="D729" s="865"/>
      <c r="E729" s="865"/>
      <c r="F729" s="865" t="s">
        <v>2740</v>
      </c>
      <c r="G729" s="865"/>
      <c r="H729" s="865"/>
      <c r="I729" s="865"/>
      <c r="J729" s="865" t="s">
        <v>129</v>
      </c>
      <c r="K729" s="865"/>
      <c r="L729" s="865"/>
      <c r="M729" s="865"/>
      <c r="N729" s="865"/>
      <c r="O729" s="865"/>
      <c r="P729" s="865"/>
    </row>
    <row r="730" spans="1:16" x14ac:dyDescent="0.25">
      <c r="A730" s="676"/>
      <c r="B730" s="864" t="s">
        <v>330</v>
      </c>
      <c r="C730" s="864"/>
      <c r="D730" s="864"/>
      <c r="E730" s="864"/>
      <c r="F730" s="864" t="s">
        <v>129</v>
      </c>
      <c r="G730" s="864"/>
      <c r="H730" s="864"/>
      <c r="I730" s="864"/>
      <c r="J730" s="864" t="s">
        <v>129</v>
      </c>
      <c r="K730" s="864"/>
      <c r="L730" s="864"/>
      <c r="M730" s="864"/>
      <c r="N730" s="864"/>
      <c r="O730" s="864"/>
      <c r="P730" s="864"/>
    </row>
    <row r="731" spans="1:16" ht="27.2" customHeight="1" x14ac:dyDescent="0.25">
      <c r="A731" s="675"/>
      <c r="B731" s="865" t="s">
        <v>1419</v>
      </c>
      <c r="C731" s="865"/>
      <c r="D731" s="865"/>
      <c r="E731" s="865"/>
      <c r="F731" s="865" t="s">
        <v>2739</v>
      </c>
      <c r="G731" s="865"/>
      <c r="H731" s="865"/>
      <c r="I731" s="865"/>
      <c r="J731" s="865" t="s">
        <v>129</v>
      </c>
      <c r="K731" s="865"/>
      <c r="L731" s="865"/>
      <c r="M731" s="865"/>
      <c r="N731" s="865"/>
      <c r="O731" s="865"/>
      <c r="P731" s="865"/>
    </row>
    <row r="732" spans="1:16" x14ac:dyDescent="0.25">
      <c r="A732" s="675"/>
      <c r="B732" s="865" t="s">
        <v>1518</v>
      </c>
      <c r="C732" s="865"/>
      <c r="D732" s="865"/>
      <c r="E732" s="865"/>
      <c r="F732" s="865" t="s">
        <v>2738</v>
      </c>
      <c r="G732" s="865"/>
      <c r="H732" s="865"/>
      <c r="I732" s="865"/>
      <c r="J732" s="865" t="s">
        <v>129</v>
      </c>
      <c r="K732" s="865"/>
      <c r="L732" s="865"/>
      <c r="M732" s="865"/>
      <c r="N732" s="865"/>
      <c r="O732" s="865"/>
      <c r="P732" s="865"/>
    </row>
    <row r="733" spans="1:16" ht="27.2" customHeight="1" x14ac:dyDescent="0.25">
      <c r="A733" s="675"/>
      <c r="B733" s="865" t="s">
        <v>1188</v>
      </c>
      <c r="C733" s="865"/>
      <c r="D733" s="865"/>
      <c r="E733" s="865"/>
      <c r="F733" s="865" t="s">
        <v>2737</v>
      </c>
      <c r="G733" s="865"/>
      <c r="H733" s="865"/>
      <c r="I733" s="865"/>
      <c r="J733" s="865" t="s">
        <v>129</v>
      </c>
      <c r="K733" s="865"/>
      <c r="L733" s="865"/>
      <c r="M733" s="865"/>
      <c r="N733" s="865"/>
      <c r="O733" s="865"/>
      <c r="P733" s="865"/>
    </row>
    <row r="734" spans="1:16" ht="54.4" customHeight="1" x14ac:dyDescent="0.25">
      <c r="A734" s="675"/>
      <c r="B734" s="865" t="s">
        <v>1519</v>
      </c>
      <c r="C734" s="865"/>
      <c r="D734" s="865"/>
      <c r="E734" s="865"/>
      <c r="F734" s="865" t="s">
        <v>2736</v>
      </c>
      <c r="G734" s="865"/>
      <c r="H734" s="865"/>
      <c r="I734" s="865"/>
      <c r="J734" s="865" t="s">
        <v>129</v>
      </c>
      <c r="K734" s="865"/>
      <c r="L734" s="865"/>
      <c r="M734" s="865"/>
      <c r="N734" s="865"/>
      <c r="O734" s="865"/>
      <c r="P734" s="865"/>
    </row>
    <row r="735" spans="1:16" ht="27.2" customHeight="1" x14ac:dyDescent="0.25">
      <c r="A735" s="675"/>
      <c r="B735" s="865" t="s">
        <v>1520</v>
      </c>
      <c r="C735" s="865"/>
      <c r="D735" s="865"/>
      <c r="E735" s="865"/>
      <c r="F735" s="865" t="s">
        <v>2735</v>
      </c>
      <c r="G735" s="865"/>
      <c r="H735" s="865"/>
      <c r="I735" s="865"/>
      <c r="J735" s="865" t="s">
        <v>129</v>
      </c>
      <c r="K735" s="865"/>
      <c r="L735" s="865"/>
      <c r="M735" s="865"/>
      <c r="N735" s="865"/>
      <c r="O735" s="865"/>
      <c r="P735" s="865"/>
    </row>
    <row r="736" spans="1:16" ht="27.2" customHeight="1" x14ac:dyDescent="0.25">
      <c r="A736" s="675"/>
      <c r="B736" s="865" t="s">
        <v>1521</v>
      </c>
      <c r="C736" s="865"/>
      <c r="D736" s="865"/>
      <c r="E736" s="865"/>
      <c r="F736" s="865" t="s">
        <v>2734</v>
      </c>
      <c r="G736" s="865"/>
      <c r="H736" s="865"/>
      <c r="I736" s="865"/>
      <c r="J736" s="865" t="s">
        <v>129</v>
      </c>
      <c r="K736" s="865"/>
      <c r="L736" s="865"/>
      <c r="M736" s="865"/>
      <c r="N736" s="865"/>
      <c r="O736" s="865"/>
      <c r="P736" s="865"/>
    </row>
    <row r="737" spans="1:16" ht="27.2" customHeight="1" x14ac:dyDescent="0.25">
      <c r="A737" s="675"/>
      <c r="B737" s="865" t="s">
        <v>1522</v>
      </c>
      <c r="C737" s="865"/>
      <c r="D737" s="865"/>
      <c r="E737" s="865"/>
      <c r="F737" s="865" t="s">
        <v>2734</v>
      </c>
      <c r="G737" s="865"/>
      <c r="H737" s="865"/>
      <c r="I737" s="865"/>
      <c r="J737" s="865" t="s">
        <v>129</v>
      </c>
      <c r="K737" s="865"/>
      <c r="L737" s="865"/>
      <c r="M737" s="865"/>
      <c r="N737" s="865"/>
      <c r="O737" s="865"/>
      <c r="P737" s="865"/>
    </row>
    <row r="738" spans="1:16" ht="27.2" customHeight="1" x14ac:dyDescent="0.25">
      <c r="A738" s="675"/>
      <c r="B738" s="865" t="s">
        <v>1523</v>
      </c>
      <c r="C738" s="865"/>
      <c r="D738" s="865"/>
      <c r="E738" s="865"/>
      <c r="F738" s="865" t="s">
        <v>2733</v>
      </c>
      <c r="G738" s="865"/>
      <c r="H738" s="865"/>
      <c r="I738" s="865"/>
      <c r="J738" s="865" t="s">
        <v>129</v>
      </c>
      <c r="K738" s="865"/>
      <c r="L738" s="865"/>
      <c r="M738" s="865"/>
      <c r="N738" s="865"/>
      <c r="O738" s="865"/>
      <c r="P738" s="865"/>
    </row>
    <row r="739" spans="1:16" ht="27.2" customHeight="1" x14ac:dyDescent="0.25">
      <c r="A739" s="675"/>
      <c r="B739" s="865" t="s">
        <v>1524</v>
      </c>
      <c r="C739" s="865"/>
      <c r="D739" s="865"/>
      <c r="E739" s="865"/>
      <c r="F739" s="865" t="s">
        <v>2732</v>
      </c>
      <c r="G739" s="865"/>
      <c r="H739" s="865"/>
      <c r="I739" s="865"/>
      <c r="J739" s="865" t="s">
        <v>129</v>
      </c>
      <c r="K739" s="865"/>
      <c r="L739" s="865"/>
      <c r="M739" s="865"/>
      <c r="N739" s="865"/>
      <c r="O739" s="865"/>
      <c r="P739" s="865"/>
    </row>
    <row r="740" spans="1:16" ht="27.2" customHeight="1" x14ac:dyDescent="0.25">
      <c r="A740" s="675"/>
      <c r="B740" s="865" t="s">
        <v>1525</v>
      </c>
      <c r="C740" s="865"/>
      <c r="D740" s="865"/>
      <c r="E740" s="865"/>
      <c r="F740" s="865" t="s">
        <v>2731</v>
      </c>
      <c r="G740" s="865"/>
      <c r="H740" s="865"/>
      <c r="I740" s="865"/>
      <c r="J740" s="865" t="s">
        <v>129</v>
      </c>
      <c r="K740" s="865"/>
      <c r="L740" s="865"/>
      <c r="M740" s="865"/>
      <c r="N740" s="865"/>
      <c r="O740" s="865"/>
      <c r="P740" s="865"/>
    </row>
    <row r="741" spans="1:16" ht="27.2" customHeight="1" x14ac:dyDescent="0.25">
      <c r="A741" s="675"/>
      <c r="B741" s="865" t="s">
        <v>1526</v>
      </c>
      <c r="C741" s="865"/>
      <c r="D741" s="865"/>
      <c r="E741" s="865"/>
      <c r="F741" s="865" t="s">
        <v>2730</v>
      </c>
      <c r="G741" s="865"/>
      <c r="H741" s="865"/>
      <c r="I741" s="865"/>
      <c r="J741" s="865" t="s">
        <v>129</v>
      </c>
      <c r="K741" s="865"/>
      <c r="L741" s="865"/>
      <c r="M741" s="865"/>
      <c r="N741" s="865"/>
      <c r="O741" s="865"/>
      <c r="P741" s="865"/>
    </row>
    <row r="742" spans="1:16" ht="27.2" customHeight="1" x14ac:dyDescent="0.25">
      <c r="A742" s="675"/>
      <c r="B742" s="865" t="s">
        <v>1055</v>
      </c>
      <c r="C742" s="865"/>
      <c r="D742" s="865"/>
      <c r="E742" s="865"/>
      <c r="F742" s="865" t="s">
        <v>2729</v>
      </c>
      <c r="G742" s="865"/>
      <c r="H742" s="865"/>
      <c r="I742" s="865"/>
      <c r="J742" s="865" t="s">
        <v>129</v>
      </c>
      <c r="K742" s="865"/>
      <c r="L742" s="865"/>
      <c r="M742" s="865"/>
      <c r="N742" s="865"/>
      <c r="O742" s="865"/>
      <c r="P742" s="865"/>
    </row>
    <row r="743" spans="1:16" ht="27.2" customHeight="1" x14ac:dyDescent="0.25">
      <c r="A743" s="675"/>
      <c r="B743" s="865" t="s">
        <v>1527</v>
      </c>
      <c r="C743" s="865"/>
      <c r="D743" s="865"/>
      <c r="E743" s="865"/>
      <c r="F743" s="865" t="s">
        <v>2728</v>
      </c>
      <c r="G743" s="865"/>
      <c r="H743" s="865"/>
      <c r="I743" s="865"/>
      <c r="J743" s="865" t="s">
        <v>129</v>
      </c>
      <c r="K743" s="865"/>
      <c r="L743" s="865"/>
      <c r="M743" s="865"/>
      <c r="N743" s="865"/>
      <c r="O743" s="865"/>
      <c r="P743" s="865"/>
    </row>
    <row r="744" spans="1:16" x14ac:dyDescent="0.25">
      <c r="A744" s="675"/>
      <c r="B744" s="865" t="s">
        <v>1170</v>
      </c>
      <c r="C744" s="865"/>
      <c r="D744" s="865"/>
      <c r="E744" s="865"/>
      <c r="F744" s="865" t="s">
        <v>2727</v>
      </c>
      <c r="G744" s="865"/>
      <c r="H744" s="865"/>
      <c r="I744" s="865"/>
      <c r="J744" s="865" t="s">
        <v>129</v>
      </c>
      <c r="K744" s="865"/>
      <c r="L744" s="865"/>
      <c r="M744" s="865"/>
      <c r="N744" s="865"/>
      <c r="O744" s="865"/>
      <c r="P744" s="865"/>
    </row>
    <row r="745" spans="1:16" x14ac:dyDescent="0.25">
      <c r="A745" s="785" t="s">
        <v>1937</v>
      </c>
      <c r="B745" s="785"/>
      <c r="C745" s="785"/>
      <c r="D745" s="785"/>
      <c r="E745" s="785"/>
      <c r="F745" s="785"/>
      <c r="G745" s="785"/>
      <c r="H745" s="785"/>
      <c r="I745" s="785"/>
      <c r="J745" s="785"/>
      <c r="K745" s="785"/>
      <c r="L745" s="785"/>
      <c r="M745" s="785"/>
      <c r="N745" s="785"/>
      <c r="O745" s="785"/>
      <c r="P745" s="785"/>
    </row>
    <row r="746" spans="1:16" ht="135.94999999999999" customHeight="1" x14ac:dyDescent="0.25">
      <c r="A746" s="674" t="s">
        <v>221</v>
      </c>
      <c r="B746" s="781" t="s">
        <v>1307</v>
      </c>
      <c r="C746" s="782"/>
      <c r="D746" s="782"/>
      <c r="E746" s="782"/>
      <c r="F746" s="782" t="s">
        <v>1308</v>
      </c>
      <c r="G746" s="782"/>
      <c r="H746" s="782"/>
      <c r="I746" s="782"/>
      <c r="J746" s="782" t="s">
        <v>1528</v>
      </c>
      <c r="K746" s="782"/>
      <c r="L746" s="782"/>
      <c r="M746" s="866">
        <f>ROUND(41100 * 1 * 1.68 * 0.6 * 1.3, 0)</f>
        <v>53857</v>
      </c>
      <c r="N746" s="782"/>
      <c r="O746" s="782" t="s">
        <v>129</v>
      </c>
      <c r="P746" s="782"/>
    </row>
    <row r="747" spans="1:16" x14ac:dyDescent="0.25">
      <c r="A747" s="676"/>
      <c r="B747" s="864" t="s">
        <v>306</v>
      </c>
      <c r="C747" s="864"/>
      <c r="D747" s="864"/>
      <c r="E747" s="864"/>
      <c r="F747" s="864" t="s">
        <v>129</v>
      </c>
      <c r="G747" s="864"/>
      <c r="H747" s="864"/>
      <c r="I747" s="864"/>
      <c r="J747" s="864" t="s">
        <v>129</v>
      </c>
      <c r="K747" s="864"/>
      <c r="L747" s="864"/>
      <c r="M747" s="864"/>
      <c r="N747" s="864"/>
      <c r="O747" s="864"/>
      <c r="P747" s="864"/>
    </row>
    <row r="748" spans="1:16" x14ac:dyDescent="0.25">
      <c r="A748" s="675"/>
      <c r="B748" s="865" t="s">
        <v>507</v>
      </c>
      <c r="C748" s="865"/>
      <c r="D748" s="865"/>
      <c r="E748" s="865"/>
      <c r="F748" s="865" t="s">
        <v>508</v>
      </c>
      <c r="G748" s="865"/>
      <c r="H748" s="865"/>
      <c r="I748" s="865"/>
      <c r="J748" s="865" t="s">
        <v>129</v>
      </c>
      <c r="K748" s="865"/>
      <c r="L748" s="865"/>
      <c r="M748" s="865"/>
      <c r="N748" s="865"/>
      <c r="O748" s="865"/>
      <c r="P748" s="865"/>
    </row>
    <row r="749" spans="1:16" ht="40.9" customHeight="1" x14ac:dyDescent="0.25">
      <c r="A749" s="675"/>
      <c r="B749" s="865" t="s">
        <v>331</v>
      </c>
      <c r="C749" s="865"/>
      <c r="D749" s="865"/>
      <c r="E749" s="865"/>
      <c r="F749" s="865" t="s">
        <v>332</v>
      </c>
      <c r="G749" s="865"/>
      <c r="H749" s="865"/>
      <c r="I749" s="865"/>
      <c r="J749" s="865" t="s">
        <v>129</v>
      </c>
      <c r="K749" s="865"/>
      <c r="L749" s="865"/>
      <c r="M749" s="865"/>
      <c r="N749" s="865"/>
      <c r="O749" s="865"/>
      <c r="P749" s="865"/>
    </row>
    <row r="750" spans="1:16" ht="149.65" customHeight="1" x14ac:dyDescent="0.25">
      <c r="A750" s="675"/>
      <c r="B750" s="865" t="s">
        <v>329</v>
      </c>
      <c r="C750" s="865"/>
      <c r="D750" s="865"/>
      <c r="E750" s="865"/>
      <c r="F750" s="865" t="s">
        <v>514</v>
      </c>
      <c r="G750" s="865"/>
      <c r="H750" s="865"/>
      <c r="I750" s="865"/>
      <c r="J750" s="865" t="s">
        <v>129</v>
      </c>
      <c r="K750" s="865"/>
      <c r="L750" s="865"/>
      <c r="M750" s="865"/>
      <c r="N750" s="865"/>
      <c r="O750" s="865"/>
      <c r="P750" s="865"/>
    </row>
    <row r="751" spans="1:16" x14ac:dyDescent="0.25">
      <c r="A751" s="676"/>
      <c r="B751" s="864" t="s">
        <v>330</v>
      </c>
      <c r="C751" s="864"/>
      <c r="D751" s="864"/>
      <c r="E751" s="864"/>
      <c r="F751" s="864" t="s">
        <v>129</v>
      </c>
      <c r="G751" s="864"/>
      <c r="H751" s="864"/>
      <c r="I751" s="864"/>
      <c r="J751" s="864" t="s">
        <v>129</v>
      </c>
      <c r="K751" s="864"/>
      <c r="L751" s="864"/>
      <c r="M751" s="864"/>
      <c r="N751" s="864"/>
      <c r="O751" s="864"/>
      <c r="P751" s="864"/>
    </row>
    <row r="752" spans="1:16" ht="27.2" customHeight="1" x14ac:dyDescent="0.25">
      <c r="A752" s="675"/>
      <c r="B752" s="865" t="s">
        <v>1477</v>
      </c>
      <c r="C752" s="865"/>
      <c r="D752" s="865"/>
      <c r="E752" s="865"/>
      <c r="F752" s="865" t="s">
        <v>1529</v>
      </c>
      <c r="G752" s="865"/>
      <c r="H752" s="865"/>
      <c r="I752" s="865"/>
      <c r="J752" s="865" t="s">
        <v>129</v>
      </c>
      <c r="K752" s="865"/>
      <c r="L752" s="865"/>
      <c r="M752" s="865"/>
      <c r="N752" s="865"/>
      <c r="O752" s="865"/>
      <c r="P752" s="865"/>
    </row>
    <row r="753" spans="1:16" x14ac:dyDescent="0.25">
      <c r="A753" s="675"/>
      <c r="B753" s="865" t="s">
        <v>1403</v>
      </c>
      <c r="C753" s="865"/>
      <c r="D753" s="865"/>
      <c r="E753" s="865"/>
      <c r="F753" s="865" t="s">
        <v>1530</v>
      </c>
      <c r="G753" s="865"/>
      <c r="H753" s="865"/>
      <c r="I753" s="865"/>
      <c r="J753" s="865" t="s">
        <v>129</v>
      </c>
      <c r="K753" s="865"/>
      <c r="L753" s="865"/>
      <c r="M753" s="865"/>
      <c r="N753" s="865"/>
      <c r="O753" s="865"/>
      <c r="P753" s="865"/>
    </row>
    <row r="754" spans="1:16" ht="81.599999999999994" customHeight="1" x14ac:dyDescent="0.25">
      <c r="A754" s="675"/>
      <c r="B754" s="865" t="s">
        <v>1486</v>
      </c>
      <c r="C754" s="865"/>
      <c r="D754" s="865"/>
      <c r="E754" s="865"/>
      <c r="F754" s="865" t="s">
        <v>1531</v>
      </c>
      <c r="G754" s="865"/>
      <c r="H754" s="865"/>
      <c r="I754" s="865"/>
      <c r="J754" s="865" t="s">
        <v>129</v>
      </c>
      <c r="K754" s="865"/>
      <c r="L754" s="865"/>
      <c r="M754" s="865"/>
      <c r="N754" s="865"/>
      <c r="O754" s="865"/>
      <c r="P754" s="865"/>
    </row>
    <row r="755" spans="1:16" ht="27.2" customHeight="1" x14ac:dyDescent="0.25">
      <c r="A755" s="675"/>
      <c r="B755" s="865" t="s">
        <v>1532</v>
      </c>
      <c r="C755" s="865"/>
      <c r="D755" s="865"/>
      <c r="E755" s="865"/>
      <c r="F755" s="865" t="s">
        <v>1533</v>
      </c>
      <c r="G755" s="865"/>
      <c r="H755" s="865"/>
      <c r="I755" s="865"/>
      <c r="J755" s="865" t="s">
        <v>129</v>
      </c>
      <c r="K755" s="865"/>
      <c r="L755" s="865"/>
      <c r="M755" s="865"/>
      <c r="N755" s="865"/>
      <c r="O755" s="865"/>
      <c r="P755" s="865"/>
    </row>
    <row r="756" spans="1:16" x14ac:dyDescent="0.25">
      <c r="A756" s="675"/>
      <c r="B756" s="865" t="s">
        <v>1482</v>
      </c>
      <c r="C756" s="865"/>
      <c r="D756" s="865"/>
      <c r="E756" s="865"/>
      <c r="F756" s="865" t="s">
        <v>1534</v>
      </c>
      <c r="G756" s="865"/>
      <c r="H756" s="865"/>
      <c r="I756" s="865"/>
      <c r="J756" s="865" t="s">
        <v>129</v>
      </c>
      <c r="K756" s="865"/>
      <c r="L756" s="865"/>
      <c r="M756" s="865"/>
      <c r="N756" s="865"/>
      <c r="O756" s="865"/>
      <c r="P756" s="865"/>
    </row>
    <row r="757" spans="1:16" ht="163.15" customHeight="1" x14ac:dyDescent="0.25">
      <c r="A757" s="674" t="s">
        <v>222</v>
      </c>
      <c r="B757" s="781" t="s">
        <v>346</v>
      </c>
      <c r="C757" s="782"/>
      <c r="D757" s="782"/>
      <c r="E757" s="782"/>
      <c r="F757" s="782" t="s">
        <v>1247</v>
      </c>
      <c r="G757" s="782"/>
      <c r="H757" s="782"/>
      <c r="I757" s="782"/>
      <c r="J757" s="782" t="s">
        <v>1535</v>
      </c>
      <c r="K757" s="782"/>
      <c r="L757" s="782"/>
      <c r="M757" s="866">
        <f>ROUND(140400 * 1 * 1.68 * 0.6 * 0.5 * 1.3, 0)</f>
        <v>91990</v>
      </c>
      <c r="N757" s="782"/>
      <c r="O757" s="782" t="s">
        <v>129</v>
      </c>
      <c r="P757" s="782"/>
    </row>
    <row r="758" spans="1:16" x14ac:dyDescent="0.25">
      <c r="A758" s="676"/>
      <c r="B758" s="864" t="s">
        <v>306</v>
      </c>
      <c r="C758" s="864"/>
      <c r="D758" s="864"/>
      <c r="E758" s="864"/>
      <c r="F758" s="864" t="s">
        <v>129</v>
      </c>
      <c r="G758" s="864"/>
      <c r="H758" s="864"/>
      <c r="I758" s="864"/>
      <c r="J758" s="864" t="s">
        <v>129</v>
      </c>
      <c r="K758" s="864"/>
      <c r="L758" s="864"/>
      <c r="M758" s="864"/>
      <c r="N758" s="864"/>
      <c r="O758" s="864"/>
      <c r="P758" s="864"/>
    </row>
    <row r="759" spans="1:16" x14ac:dyDescent="0.25">
      <c r="A759" s="675"/>
      <c r="B759" s="865" t="s">
        <v>507</v>
      </c>
      <c r="C759" s="865"/>
      <c r="D759" s="865"/>
      <c r="E759" s="865"/>
      <c r="F759" s="865" t="s">
        <v>508</v>
      </c>
      <c r="G759" s="865"/>
      <c r="H759" s="865"/>
      <c r="I759" s="865"/>
      <c r="J759" s="865" t="s">
        <v>129</v>
      </c>
      <c r="K759" s="865"/>
      <c r="L759" s="865"/>
      <c r="M759" s="865"/>
      <c r="N759" s="865"/>
      <c r="O759" s="865"/>
      <c r="P759" s="865"/>
    </row>
    <row r="760" spans="1:16" ht="40.9" customHeight="1" x14ac:dyDescent="0.25">
      <c r="A760" s="675"/>
      <c r="B760" s="865" t="s">
        <v>331</v>
      </c>
      <c r="C760" s="865"/>
      <c r="D760" s="865"/>
      <c r="E760" s="865"/>
      <c r="F760" s="865" t="s">
        <v>332</v>
      </c>
      <c r="G760" s="865"/>
      <c r="H760" s="865"/>
      <c r="I760" s="865"/>
      <c r="J760" s="865" t="s">
        <v>129</v>
      </c>
      <c r="K760" s="865"/>
      <c r="L760" s="865"/>
      <c r="M760" s="865"/>
      <c r="N760" s="865"/>
      <c r="O760" s="865"/>
      <c r="P760" s="865"/>
    </row>
    <row r="761" spans="1:16" ht="95.25" customHeight="1" x14ac:dyDescent="0.25">
      <c r="A761" s="675"/>
      <c r="B761" s="865" t="s">
        <v>1251</v>
      </c>
      <c r="C761" s="865"/>
      <c r="D761" s="865"/>
      <c r="E761" s="865"/>
      <c r="F761" s="865" t="s">
        <v>1252</v>
      </c>
      <c r="G761" s="865"/>
      <c r="H761" s="865"/>
      <c r="I761" s="865"/>
      <c r="J761" s="865" t="s">
        <v>129</v>
      </c>
      <c r="K761" s="865"/>
      <c r="L761" s="865"/>
      <c r="M761" s="865"/>
      <c r="N761" s="865"/>
      <c r="O761" s="865"/>
      <c r="P761" s="865"/>
    </row>
    <row r="762" spans="1:16" ht="149.65" customHeight="1" x14ac:dyDescent="0.25">
      <c r="A762" s="675"/>
      <c r="B762" s="865" t="s">
        <v>329</v>
      </c>
      <c r="C762" s="865"/>
      <c r="D762" s="865"/>
      <c r="E762" s="865"/>
      <c r="F762" s="865" t="s">
        <v>1499</v>
      </c>
      <c r="G762" s="865"/>
      <c r="H762" s="865"/>
      <c r="I762" s="865"/>
      <c r="J762" s="865" t="s">
        <v>129</v>
      </c>
      <c r="K762" s="865"/>
      <c r="L762" s="865"/>
      <c r="M762" s="865"/>
      <c r="N762" s="865"/>
      <c r="O762" s="865"/>
      <c r="P762" s="865"/>
    </row>
    <row r="763" spans="1:16" x14ac:dyDescent="0.25">
      <c r="A763" s="676"/>
      <c r="B763" s="864" t="s">
        <v>330</v>
      </c>
      <c r="C763" s="864"/>
      <c r="D763" s="864"/>
      <c r="E763" s="864"/>
      <c r="F763" s="864" t="s">
        <v>129</v>
      </c>
      <c r="G763" s="864"/>
      <c r="H763" s="864"/>
      <c r="I763" s="864"/>
      <c r="J763" s="864" t="s">
        <v>129</v>
      </c>
      <c r="K763" s="864"/>
      <c r="L763" s="864"/>
      <c r="M763" s="864"/>
      <c r="N763" s="864"/>
      <c r="O763" s="864"/>
      <c r="P763" s="864"/>
    </row>
    <row r="764" spans="1:16" ht="27.2" customHeight="1" x14ac:dyDescent="0.25">
      <c r="A764" s="675"/>
      <c r="B764" s="865" t="s">
        <v>1477</v>
      </c>
      <c r="C764" s="865"/>
      <c r="D764" s="865"/>
      <c r="E764" s="865"/>
      <c r="F764" s="865" t="s">
        <v>1536</v>
      </c>
      <c r="G764" s="865"/>
      <c r="H764" s="865"/>
      <c r="I764" s="865"/>
      <c r="J764" s="865" t="s">
        <v>129</v>
      </c>
      <c r="K764" s="865"/>
      <c r="L764" s="865"/>
      <c r="M764" s="865"/>
      <c r="N764" s="865"/>
      <c r="O764" s="865"/>
      <c r="P764" s="865"/>
    </row>
    <row r="765" spans="1:16" x14ac:dyDescent="0.25">
      <c r="A765" s="675"/>
      <c r="B765" s="865" t="s">
        <v>1403</v>
      </c>
      <c r="C765" s="865"/>
      <c r="D765" s="865"/>
      <c r="E765" s="865"/>
      <c r="F765" s="865" t="s">
        <v>1537</v>
      </c>
      <c r="G765" s="865"/>
      <c r="H765" s="865"/>
      <c r="I765" s="865"/>
      <c r="J765" s="865" t="s">
        <v>129</v>
      </c>
      <c r="K765" s="865"/>
      <c r="L765" s="865"/>
      <c r="M765" s="865"/>
      <c r="N765" s="865"/>
      <c r="O765" s="865"/>
      <c r="P765" s="865"/>
    </row>
    <row r="766" spans="1:16" ht="81.599999999999994" customHeight="1" x14ac:dyDescent="0.25">
      <c r="A766" s="675"/>
      <c r="B766" s="865" t="s">
        <v>1486</v>
      </c>
      <c r="C766" s="865"/>
      <c r="D766" s="865"/>
      <c r="E766" s="865"/>
      <c r="F766" s="865" t="s">
        <v>1538</v>
      </c>
      <c r="G766" s="865"/>
      <c r="H766" s="865"/>
      <c r="I766" s="865"/>
      <c r="J766" s="865" t="s">
        <v>129</v>
      </c>
      <c r="K766" s="865"/>
      <c r="L766" s="865"/>
      <c r="M766" s="865"/>
      <c r="N766" s="865"/>
      <c r="O766" s="865"/>
      <c r="P766" s="865"/>
    </row>
    <row r="767" spans="1:16" ht="27.2" customHeight="1" x14ac:dyDescent="0.25">
      <c r="A767" s="675"/>
      <c r="B767" s="865" t="s">
        <v>1405</v>
      </c>
      <c r="C767" s="865"/>
      <c r="D767" s="865"/>
      <c r="E767" s="865"/>
      <c r="F767" s="865" t="s">
        <v>1539</v>
      </c>
      <c r="G767" s="865"/>
      <c r="H767" s="865"/>
      <c r="I767" s="865"/>
      <c r="J767" s="865" t="s">
        <v>129</v>
      </c>
      <c r="K767" s="865"/>
      <c r="L767" s="865"/>
      <c r="M767" s="865"/>
      <c r="N767" s="865"/>
      <c r="O767" s="865"/>
      <c r="P767" s="865"/>
    </row>
    <row r="768" spans="1:16" x14ac:dyDescent="0.25">
      <c r="A768" s="675"/>
      <c r="B768" s="865" t="s">
        <v>1482</v>
      </c>
      <c r="C768" s="865"/>
      <c r="D768" s="865"/>
      <c r="E768" s="865"/>
      <c r="F768" s="865" t="s">
        <v>1540</v>
      </c>
      <c r="G768" s="865"/>
      <c r="H768" s="865"/>
      <c r="I768" s="865"/>
      <c r="J768" s="865" t="s">
        <v>129</v>
      </c>
      <c r="K768" s="865"/>
      <c r="L768" s="865"/>
      <c r="M768" s="865"/>
      <c r="N768" s="865"/>
      <c r="O768" s="865"/>
      <c r="P768" s="865"/>
    </row>
    <row r="769" spans="1:16" ht="163.15" customHeight="1" x14ac:dyDescent="0.25">
      <c r="A769" s="674" t="s">
        <v>223</v>
      </c>
      <c r="B769" s="781" t="s">
        <v>1248</v>
      </c>
      <c r="C769" s="782"/>
      <c r="D769" s="782"/>
      <c r="E769" s="782"/>
      <c r="F769" s="782" t="s">
        <v>1249</v>
      </c>
      <c r="G769" s="782"/>
      <c r="H769" s="782"/>
      <c r="I769" s="782"/>
      <c r="J769" s="782" t="s">
        <v>1498</v>
      </c>
      <c r="K769" s="782"/>
      <c r="L769" s="782"/>
      <c r="M769" s="866">
        <f>ROUND(21100 * 1 * 1.68 * 0.6 * 0.5 * 1.3, 0)</f>
        <v>13825</v>
      </c>
      <c r="N769" s="782"/>
      <c r="O769" s="782" t="s">
        <v>129</v>
      </c>
      <c r="P769" s="782"/>
    </row>
    <row r="770" spans="1:16" x14ac:dyDescent="0.25">
      <c r="A770" s="676"/>
      <c r="B770" s="864" t="s">
        <v>306</v>
      </c>
      <c r="C770" s="864"/>
      <c r="D770" s="864"/>
      <c r="E770" s="864"/>
      <c r="F770" s="864" t="s">
        <v>129</v>
      </c>
      <c r="G770" s="864"/>
      <c r="H770" s="864"/>
      <c r="I770" s="864"/>
      <c r="J770" s="864" t="s">
        <v>129</v>
      </c>
      <c r="K770" s="864"/>
      <c r="L770" s="864"/>
      <c r="M770" s="864"/>
      <c r="N770" s="864"/>
      <c r="O770" s="864"/>
      <c r="P770" s="864"/>
    </row>
    <row r="771" spans="1:16" x14ac:dyDescent="0.25">
      <c r="A771" s="675"/>
      <c r="B771" s="865" t="s">
        <v>507</v>
      </c>
      <c r="C771" s="865"/>
      <c r="D771" s="865"/>
      <c r="E771" s="865"/>
      <c r="F771" s="865" t="s">
        <v>508</v>
      </c>
      <c r="G771" s="865"/>
      <c r="H771" s="865"/>
      <c r="I771" s="865"/>
      <c r="J771" s="865" t="s">
        <v>129</v>
      </c>
      <c r="K771" s="865"/>
      <c r="L771" s="865"/>
      <c r="M771" s="865"/>
      <c r="N771" s="865"/>
      <c r="O771" s="865"/>
      <c r="P771" s="865"/>
    </row>
    <row r="772" spans="1:16" ht="40.9" customHeight="1" x14ac:dyDescent="0.25">
      <c r="A772" s="675"/>
      <c r="B772" s="865" t="s">
        <v>331</v>
      </c>
      <c r="C772" s="865"/>
      <c r="D772" s="865"/>
      <c r="E772" s="865"/>
      <c r="F772" s="865" t="s">
        <v>332</v>
      </c>
      <c r="G772" s="865"/>
      <c r="H772" s="865"/>
      <c r="I772" s="865"/>
      <c r="J772" s="865" t="s">
        <v>129</v>
      </c>
      <c r="K772" s="865"/>
      <c r="L772" s="865"/>
      <c r="M772" s="865"/>
      <c r="N772" s="865"/>
      <c r="O772" s="865"/>
      <c r="P772" s="865"/>
    </row>
    <row r="773" spans="1:16" ht="95.25" customHeight="1" x14ac:dyDescent="0.25">
      <c r="A773" s="675"/>
      <c r="B773" s="865" t="s">
        <v>1251</v>
      </c>
      <c r="C773" s="865"/>
      <c r="D773" s="865"/>
      <c r="E773" s="865"/>
      <c r="F773" s="865" t="s">
        <v>1252</v>
      </c>
      <c r="G773" s="865"/>
      <c r="H773" s="865"/>
      <c r="I773" s="865"/>
      <c r="J773" s="865" t="s">
        <v>129</v>
      </c>
      <c r="K773" s="865"/>
      <c r="L773" s="865"/>
      <c r="M773" s="865"/>
      <c r="N773" s="865"/>
      <c r="O773" s="865"/>
      <c r="P773" s="865"/>
    </row>
    <row r="774" spans="1:16" ht="149.65" customHeight="1" x14ac:dyDescent="0.25">
      <c r="A774" s="675"/>
      <c r="B774" s="865" t="s">
        <v>329</v>
      </c>
      <c r="C774" s="865"/>
      <c r="D774" s="865"/>
      <c r="E774" s="865"/>
      <c r="F774" s="865" t="s">
        <v>1499</v>
      </c>
      <c r="G774" s="865"/>
      <c r="H774" s="865"/>
      <c r="I774" s="865"/>
      <c r="J774" s="865" t="s">
        <v>129</v>
      </c>
      <c r="K774" s="865"/>
      <c r="L774" s="865"/>
      <c r="M774" s="865"/>
      <c r="N774" s="865"/>
      <c r="O774" s="865"/>
      <c r="P774" s="865"/>
    </row>
    <row r="775" spans="1:16" x14ac:dyDescent="0.25">
      <c r="A775" s="676"/>
      <c r="B775" s="864" t="s">
        <v>330</v>
      </c>
      <c r="C775" s="864"/>
      <c r="D775" s="864"/>
      <c r="E775" s="864"/>
      <c r="F775" s="864" t="s">
        <v>129</v>
      </c>
      <c r="G775" s="864"/>
      <c r="H775" s="864"/>
      <c r="I775" s="864"/>
      <c r="J775" s="864" t="s">
        <v>129</v>
      </c>
      <c r="K775" s="864"/>
      <c r="L775" s="864"/>
      <c r="M775" s="864"/>
      <c r="N775" s="864"/>
      <c r="O775" s="864"/>
      <c r="P775" s="864"/>
    </row>
    <row r="776" spans="1:16" ht="27.2" customHeight="1" x14ac:dyDescent="0.25">
      <c r="A776" s="675"/>
      <c r="B776" s="865" t="s">
        <v>1477</v>
      </c>
      <c r="C776" s="865"/>
      <c r="D776" s="865"/>
      <c r="E776" s="865"/>
      <c r="F776" s="865" t="s">
        <v>1500</v>
      </c>
      <c r="G776" s="865"/>
      <c r="H776" s="865"/>
      <c r="I776" s="865"/>
      <c r="J776" s="865" t="s">
        <v>129</v>
      </c>
      <c r="K776" s="865"/>
      <c r="L776" s="865"/>
      <c r="M776" s="865"/>
      <c r="N776" s="865"/>
      <c r="O776" s="865"/>
      <c r="P776" s="865"/>
    </row>
    <row r="777" spans="1:16" x14ac:dyDescent="0.25">
      <c r="A777" s="675"/>
      <c r="B777" s="865" t="s">
        <v>1403</v>
      </c>
      <c r="C777" s="865"/>
      <c r="D777" s="865"/>
      <c r="E777" s="865"/>
      <c r="F777" s="865" t="s">
        <v>1501</v>
      </c>
      <c r="G777" s="865"/>
      <c r="H777" s="865"/>
      <c r="I777" s="865"/>
      <c r="J777" s="865" t="s">
        <v>129</v>
      </c>
      <c r="K777" s="865"/>
      <c r="L777" s="865"/>
      <c r="M777" s="865"/>
      <c r="N777" s="865"/>
      <c r="O777" s="865"/>
      <c r="P777" s="865"/>
    </row>
    <row r="778" spans="1:16" ht="81.599999999999994" customHeight="1" x14ac:dyDescent="0.25">
      <c r="A778" s="675"/>
      <c r="B778" s="865" t="s">
        <v>1486</v>
      </c>
      <c r="C778" s="865"/>
      <c r="D778" s="865"/>
      <c r="E778" s="865"/>
      <c r="F778" s="865" t="s">
        <v>1502</v>
      </c>
      <c r="G778" s="865"/>
      <c r="H778" s="865"/>
      <c r="I778" s="865"/>
      <c r="J778" s="865" t="s">
        <v>129</v>
      </c>
      <c r="K778" s="865"/>
      <c r="L778" s="865"/>
      <c r="M778" s="865"/>
      <c r="N778" s="865"/>
      <c r="O778" s="865"/>
      <c r="P778" s="865"/>
    </row>
    <row r="779" spans="1:16" ht="27.2" customHeight="1" x14ac:dyDescent="0.25">
      <c r="A779" s="675"/>
      <c r="B779" s="865" t="s">
        <v>1405</v>
      </c>
      <c r="C779" s="865"/>
      <c r="D779" s="865"/>
      <c r="E779" s="865"/>
      <c r="F779" s="865" t="s">
        <v>1503</v>
      </c>
      <c r="G779" s="865"/>
      <c r="H779" s="865"/>
      <c r="I779" s="865"/>
      <c r="J779" s="865" t="s">
        <v>129</v>
      </c>
      <c r="K779" s="865"/>
      <c r="L779" s="865"/>
      <c r="M779" s="865"/>
      <c r="N779" s="865"/>
      <c r="O779" s="865"/>
      <c r="P779" s="865"/>
    </row>
    <row r="780" spans="1:16" x14ac:dyDescent="0.25">
      <c r="A780" s="675"/>
      <c r="B780" s="865" t="s">
        <v>1482</v>
      </c>
      <c r="C780" s="865"/>
      <c r="D780" s="865"/>
      <c r="E780" s="865"/>
      <c r="F780" s="865" t="s">
        <v>1504</v>
      </c>
      <c r="G780" s="865"/>
      <c r="H780" s="865"/>
      <c r="I780" s="865"/>
      <c r="J780" s="865" t="s">
        <v>129</v>
      </c>
      <c r="K780" s="865"/>
      <c r="L780" s="865"/>
      <c r="M780" s="865"/>
      <c r="N780" s="865"/>
      <c r="O780" s="865"/>
      <c r="P780" s="865"/>
    </row>
    <row r="781" spans="1:16" ht="163.15" customHeight="1" x14ac:dyDescent="0.25">
      <c r="A781" s="674" t="s">
        <v>437</v>
      </c>
      <c r="B781" s="781" t="s">
        <v>1328</v>
      </c>
      <c r="C781" s="782"/>
      <c r="D781" s="782"/>
      <c r="E781" s="782"/>
      <c r="F781" s="782" t="s">
        <v>1329</v>
      </c>
      <c r="G781" s="782"/>
      <c r="H781" s="782"/>
      <c r="I781" s="782"/>
      <c r="J781" s="782" t="s">
        <v>2726</v>
      </c>
      <c r="K781" s="782"/>
      <c r="L781" s="782"/>
      <c r="M781" s="866">
        <f>ROUND((14000 + 2000 * (0.4 * 25 + 0.6 * (25 / 2))) * 1 * 0.1 * 1.53 * 0.6 * 0.7 * 1.3, 0)</f>
        <v>4093</v>
      </c>
      <c r="N781" s="782"/>
      <c r="O781" s="782" t="s">
        <v>1330</v>
      </c>
      <c r="P781" s="782"/>
    </row>
    <row r="782" spans="1:16" x14ac:dyDescent="0.25">
      <c r="A782" s="676"/>
      <c r="B782" s="864" t="s">
        <v>306</v>
      </c>
      <c r="C782" s="864"/>
      <c r="D782" s="864"/>
      <c r="E782" s="864"/>
      <c r="F782" s="864" t="s">
        <v>129</v>
      </c>
      <c r="G782" s="864"/>
      <c r="H782" s="864"/>
      <c r="I782" s="864"/>
      <c r="J782" s="864" t="s">
        <v>129</v>
      </c>
      <c r="K782" s="864"/>
      <c r="L782" s="864"/>
      <c r="M782" s="864"/>
      <c r="N782" s="864"/>
      <c r="O782" s="864"/>
      <c r="P782" s="864"/>
    </row>
    <row r="783" spans="1:16" x14ac:dyDescent="0.25">
      <c r="A783" s="675"/>
      <c r="B783" s="865" t="s">
        <v>507</v>
      </c>
      <c r="C783" s="865"/>
      <c r="D783" s="865"/>
      <c r="E783" s="865"/>
      <c r="F783" s="865" t="s">
        <v>508</v>
      </c>
      <c r="G783" s="865"/>
      <c r="H783" s="865"/>
      <c r="I783" s="865"/>
      <c r="J783" s="865" t="s">
        <v>129</v>
      </c>
      <c r="K783" s="865"/>
      <c r="L783" s="865"/>
      <c r="M783" s="865"/>
      <c r="N783" s="865"/>
      <c r="O783" s="865"/>
      <c r="P783" s="865"/>
    </row>
    <row r="784" spans="1:16" ht="40.9" customHeight="1" x14ac:dyDescent="0.25">
      <c r="A784" s="675"/>
      <c r="B784" s="865" t="s">
        <v>336</v>
      </c>
      <c r="C784" s="865"/>
      <c r="D784" s="865"/>
      <c r="E784" s="865"/>
      <c r="F784" s="865" t="s">
        <v>337</v>
      </c>
      <c r="G784" s="865"/>
      <c r="H784" s="865"/>
      <c r="I784" s="865"/>
      <c r="J784" s="865" t="s">
        <v>129</v>
      </c>
      <c r="K784" s="865"/>
      <c r="L784" s="865"/>
      <c r="M784" s="865"/>
      <c r="N784" s="865"/>
      <c r="O784" s="865"/>
      <c r="P784" s="865"/>
    </row>
    <row r="785" spans="1:16" ht="95.25" customHeight="1" x14ac:dyDescent="0.25">
      <c r="A785" s="675"/>
      <c r="B785" s="865" t="s">
        <v>333</v>
      </c>
      <c r="C785" s="865"/>
      <c r="D785" s="865"/>
      <c r="E785" s="865"/>
      <c r="F785" s="865" t="s">
        <v>1331</v>
      </c>
      <c r="G785" s="865"/>
      <c r="H785" s="865"/>
      <c r="I785" s="865"/>
      <c r="J785" s="865" t="s">
        <v>129</v>
      </c>
      <c r="K785" s="865"/>
      <c r="L785" s="865"/>
      <c r="M785" s="865"/>
      <c r="N785" s="865"/>
      <c r="O785" s="865"/>
      <c r="P785" s="865"/>
    </row>
    <row r="786" spans="1:16" ht="176.85" customHeight="1" x14ac:dyDescent="0.25">
      <c r="A786" s="675"/>
      <c r="B786" s="865" t="s">
        <v>2471</v>
      </c>
      <c r="C786" s="865"/>
      <c r="D786" s="865"/>
      <c r="E786" s="865"/>
      <c r="F786" s="865" t="s">
        <v>2470</v>
      </c>
      <c r="G786" s="865"/>
      <c r="H786" s="865"/>
      <c r="I786" s="865"/>
      <c r="J786" s="865" t="s">
        <v>129</v>
      </c>
      <c r="K786" s="865"/>
      <c r="L786" s="865"/>
      <c r="M786" s="865"/>
      <c r="N786" s="865"/>
      <c r="O786" s="865"/>
      <c r="P786" s="865"/>
    </row>
    <row r="787" spans="1:16" ht="149.65" customHeight="1" x14ac:dyDescent="0.25">
      <c r="A787" s="675"/>
      <c r="B787" s="865" t="s">
        <v>329</v>
      </c>
      <c r="C787" s="865"/>
      <c r="D787" s="865"/>
      <c r="E787" s="865"/>
      <c r="F787" s="865" t="s">
        <v>1951</v>
      </c>
      <c r="G787" s="865"/>
      <c r="H787" s="865"/>
      <c r="I787" s="865"/>
      <c r="J787" s="865" t="s">
        <v>129</v>
      </c>
      <c r="K787" s="865"/>
      <c r="L787" s="865"/>
      <c r="M787" s="865"/>
      <c r="N787" s="865"/>
      <c r="O787" s="865"/>
      <c r="P787" s="865"/>
    </row>
    <row r="788" spans="1:16" x14ac:dyDescent="0.25">
      <c r="A788" s="676"/>
      <c r="B788" s="864" t="s">
        <v>330</v>
      </c>
      <c r="C788" s="864"/>
      <c r="D788" s="864"/>
      <c r="E788" s="864"/>
      <c r="F788" s="864" t="s">
        <v>129</v>
      </c>
      <c r="G788" s="864"/>
      <c r="H788" s="864"/>
      <c r="I788" s="864"/>
      <c r="J788" s="864" t="s">
        <v>129</v>
      </c>
      <c r="K788" s="864"/>
      <c r="L788" s="864"/>
      <c r="M788" s="864"/>
      <c r="N788" s="864"/>
      <c r="O788" s="864"/>
      <c r="P788" s="864"/>
    </row>
    <row r="789" spans="1:16" x14ac:dyDescent="0.25">
      <c r="A789" s="675"/>
      <c r="B789" s="865" t="s">
        <v>1304</v>
      </c>
      <c r="C789" s="865"/>
      <c r="D789" s="865"/>
      <c r="E789" s="865"/>
      <c r="F789" s="865" t="s">
        <v>2725</v>
      </c>
      <c r="G789" s="865"/>
      <c r="H789" s="865"/>
      <c r="I789" s="865"/>
      <c r="J789" s="865" t="s">
        <v>129</v>
      </c>
      <c r="K789" s="865"/>
      <c r="L789" s="865"/>
      <c r="M789" s="865"/>
      <c r="N789" s="865"/>
      <c r="O789" s="865"/>
      <c r="P789" s="865"/>
    </row>
    <row r="790" spans="1:16" ht="149.65" customHeight="1" x14ac:dyDescent="0.25">
      <c r="A790" s="674" t="s">
        <v>753</v>
      </c>
      <c r="B790" s="781" t="s">
        <v>1332</v>
      </c>
      <c r="C790" s="782"/>
      <c r="D790" s="782"/>
      <c r="E790" s="782"/>
      <c r="F790" s="782" t="s">
        <v>1333</v>
      </c>
      <c r="G790" s="782"/>
      <c r="H790" s="782"/>
      <c r="I790" s="782"/>
      <c r="J790" s="782" t="s">
        <v>2724</v>
      </c>
      <c r="K790" s="782"/>
      <c r="L790" s="782"/>
      <c r="M790" s="866">
        <f>ROUND((11900 + 1283 * (0.4 * 20 + 0.6 * (20 / 2))) * 1 * 0.2 * 1.53 * 0.6 * 0.7 * 1.3, 0)</f>
        <v>4989</v>
      </c>
      <c r="N790" s="782"/>
      <c r="O790" s="782" t="s">
        <v>1010</v>
      </c>
      <c r="P790" s="782"/>
    </row>
    <row r="791" spans="1:16" x14ac:dyDescent="0.25">
      <c r="A791" s="676"/>
      <c r="B791" s="864" t="s">
        <v>306</v>
      </c>
      <c r="C791" s="864"/>
      <c r="D791" s="864"/>
      <c r="E791" s="864"/>
      <c r="F791" s="864" t="s">
        <v>129</v>
      </c>
      <c r="G791" s="864"/>
      <c r="H791" s="864"/>
      <c r="I791" s="864"/>
      <c r="J791" s="864" t="s">
        <v>129</v>
      </c>
      <c r="K791" s="864"/>
      <c r="L791" s="864"/>
      <c r="M791" s="864"/>
      <c r="N791" s="864"/>
      <c r="O791" s="864"/>
      <c r="P791" s="864"/>
    </row>
    <row r="792" spans="1:16" x14ac:dyDescent="0.25">
      <c r="A792" s="675"/>
      <c r="B792" s="865" t="s">
        <v>507</v>
      </c>
      <c r="C792" s="865"/>
      <c r="D792" s="865"/>
      <c r="E792" s="865"/>
      <c r="F792" s="865" t="s">
        <v>508</v>
      </c>
      <c r="G792" s="865"/>
      <c r="H792" s="865"/>
      <c r="I792" s="865"/>
      <c r="J792" s="865" t="s">
        <v>129</v>
      </c>
      <c r="K792" s="865"/>
      <c r="L792" s="865"/>
      <c r="M792" s="865"/>
      <c r="N792" s="865"/>
      <c r="O792" s="865"/>
      <c r="P792" s="865"/>
    </row>
    <row r="793" spans="1:16" ht="40.9" customHeight="1" x14ac:dyDescent="0.25">
      <c r="A793" s="675"/>
      <c r="B793" s="865" t="s">
        <v>336</v>
      </c>
      <c r="C793" s="865"/>
      <c r="D793" s="865"/>
      <c r="E793" s="865"/>
      <c r="F793" s="865" t="s">
        <v>337</v>
      </c>
      <c r="G793" s="865"/>
      <c r="H793" s="865"/>
      <c r="I793" s="865"/>
      <c r="J793" s="865" t="s">
        <v>129</v>
      </c>
      <c r="K793" s="865"/>
      <c r="L793" s="865"/>
      <c r="M793" s="865"/>
      <c r="N793" s="865"/>
      <c r="O793" s="865"/>
      <c r="P793" s="865"/>
    </row>
    <row r="794" spans="1:16" ht="95.25" customHeight="1" x14ac:dyDescent="0.25">
      <c r="A794" s="675"/>
      <c r="B794" s="865" t="s">
        <v>333</v>
      </c>
      <c r="C794" s="865"/>
      <c r="D794" s="865"/>
      <c r="E794" s="865"/>
      <c r="F794" s="865" t="s">
        <v>1153</v>
      </c>
      <c r="G794" s="865"/>
      <c r="H794" s="865"/>
      <c r="I794" s="865"/>
      <c r="J794" s="865" t="s">
        <v>129</v>
      </c>
      <c r="K794" s="865"/>
      <c r="L794" s="865"/>
      <c r="M794" s="865"/>
      <c r="N794" s="865"/>
      <c r="O794" s="865"/>
      <c r="P794" s="865"/>
    </row>
    <row r="795" spans="1:16" ht="176.85" customHeight="1" x14ac:dyDescent="0.25">
      <c r="A795" s="675"/>
      <c r="B795" s="865" t="s">
        <v>2471</v>
      </c>
      <c r="C795" s="865"/>
      <c r="D795" s="865"/>
      <c r="E795" s="865"/>
      <c r="F795" s="865" t="s">
        <v>2470</v>
      </c>
      <c r="G795" s="865"/>
      <c r="H795" s="865"/>
      <c r="I795" s="865"/>
      <c r="J795" s="865" t="s">
        <v>129</v>
      </c>
      <c r="K795" s="865"/>
      <c r="L795" s="865"/>
      <c r="M795" s="865"/>
      <c r="N795" s="865"/>
      <c r="O795" s="865"/>
      <c r="P795" s="865"/>
    </row>
    <row r="796" spans="1:16" ht="149.65" customHeight="1" x14ac:dyDescent="0.25">
      <c r="A796" s="675"/>
      <c r="B796" s="865" t="s">
        <v>329</v>
      </c>
      <c r="C796" s="865"/>
      <c r="D796" s="865"/>
      <c r="E796" s="865"/>
      <c r="F796" s="865" t="s">
        <v>1951</v>
      </c>
      <c r="G796" s="865"/>
      <c r="H796" s="865"/>
      <c r="I796" s="865"/>
      <c r="J796" s="865" t="s">
        <v>129</v>
      </c>
      <c r="K796" s="865"/>
      <c r="L796" s="865"/>
      <c r="M796" s="865"/>
      <c r="N796" s="865"/>
      <c r="O796" s="865"/>
      <c r="P796" s="865"/>
    </row>
    <row r="797" spans="1:16" x14ac:dyDescent="0.25">
      <c r="A797" s="676"/>
      <c r="B797" s="864" t="s">
        <v>330</v>
      </c>
      <c r="C797" s="864"/>
      <c r="D797" s="864"/>
      <c r="E797" s="864"/>
      <c r="F797" s="864" t="s">
        <v>129</v>
      </c>
      <c r="G797" s="864"/>
      <c r="H797" s="864"/>
      <c r="I797" s="864"/>
      <c r="J797" s="864" t="s">
        <v>129</v>
      </c>
      <c r="K797" s="864"/>
      <c r="L797" s="864"/>
      <c r="M797" s="864"/>
      <c r="N797" s="864"/>
      <c r="O797" s="864"/>
      <c r="P797" s="864"/>
    </row>
    <row r="798" spans="1:16" x14ac:dyDescent="0.25">
      <c r="A798" s="675"/>
      <c r="B798" s="865" t="s">
        <v>1304</v>
      </c>
      <c r="C798" s="865"/>
      <c r="D798" s="865"/>
      <c r="E798" s="865"/>
      <c r="F798" s="865" t="s">
        <v>2723</v>
      </c>
      <c r="G798" s="865"/>
      <c r="H798" s="865"/>
      <c r="I798" s="865"/>
      <c r="J798" s="865" t="s">
        <v>129</v>
      </c>
      <c r="K798" s="865"/>
      <c r="L798" s="865"/>
      <c r="M798" s="865"/>
      <c r="N798" s="865"/>
      <c r="O798" s="865"/>
      <c r="P798" s="865"/>
    </row>
    <row r="799" spans="1:16" ht="135.94999999999999" customHeight="1" x14ac:dyDescent="0.25">
      <c r="A799" s="674" t="s">
        <v>754</v>
      </c>
      <c r="B799" s="781" t="s">
        <v>1334</v>
      </c>
      <c r="C799" s="782"/>
      <c r="D799" s="782"/>
      <c r="E799" s="782"/>
      <c r="F799" s="782" t="s">
        <v>1335</v>
      </c>
      <c r="G799" s="782"/>
      <c r="H799" s="782"/>
      <c r="I799" s="782"/>
      <c r="J799" s="782" t="s">
        <v>2722</v>
      </c>
      <c r="K799" s="782"/>
      <c r="L799" s="782"/>
      <c r="M799" s="866">
        <f>ROUND(73000 * 1 * 1.53 * 0.6 * 0.7 * 1.3, 0)</f>
        <v>60983</v>
      </c>
      <c r="N799" s="782"/>
      <c r="O799" s="782" t="s">
        <v>1336</v>
      </c>
      <c r="P799" s="782"/>
    </row>
    <row r="800" spans="1:16" x14ac:dyDescent="0.25">
      <c r="A800" s="676"/>
      <c r="B800" s="864" t="s">
        <v>306</v>
      </c>
      <c r="C800" s="864"/>
      <c r="D800" s="864"/>
      <c r="E800" s="864"/>
      <c r="F800" s="864" t="s">
        <v>129</v>
      </c>
      <c r="G800" s="864"/>
      <c r="H800" s="864"/>
      <c r="I800" s="864"/>
      <c r="J800" s="864" t="s">
        <v>129</v>
      </c>
      <c r="K800" s="864"/>
      <c r="L800" s="864"/>
      <c r="M800" s="864"/>
      <c r="N800" s="864"/>
      <c r="O800" s="864"/>
      <c r="P800" s="864"/>
    </row>
    <row r="801" spans="1:16" x14ac:dyDescent="0.25">
      <c r="A801" s="675"/>
      <c r="B801" s="865" t="s">
        <v>507</v>
      </c>
      <c r="C801" s="865"/>
      <c r="D801" s="865"/>
      <c r="E801" s="865"/>
      <c r="F801" s="865" t="s">
        <v>508</v>
      </c>
      <c r="G801" s="865"/>
      <c r="H801" s="865"/>
      <c r="I801" s="865"/>
      <c r="J801" s="865" t="s">
        <v>129</v>
      </c>
      <c r="K801" s="865"/>
      <c r="L801" s="865"/>
      <c r="M801" s="865"/>
      <c r="N801" s="865"/>
      <c r="O801" s="865"/>
      <c r="P801" s="865"/>
    </row>
    <row r="802" spans="1:16" ht="40.9" customHeight="1" x14ac:dyDescent="0.25">
      <c r="A802" s="675"/>
      <c r="B802" s="865" t="s">
        <v>336</v>
      </c>
      <c r="C802" s="865"/>
      <c r="D802" s="865"/>
      <c r="E802" s="865"/>
      <c r="F802" s="865" t="s">
        <v>337</v>
      </c>
      <c r="G802" s="865"/>
      <c r="H802" s="865"/>
      <c r="I802" s="865"/>
      <c r="J802" s="865" t="s">
        <v>129</v>
      </c>
      <c r="K802" s="865"/>
      <c r="L802" s="865"/>
      <c r="M802" s="865"/>
      <c r="N802" s="865"/>
      <c r="O802" s="865"/>
      <c r="P802" s="865"/>
    </row>
    <row r="803" spans="1:16" ht="176.85" customHeight="1" x14ac:dyDescent="0.25">
      <c r="A803" s="675"/>
      <c r="B803" s="865" t="s">
        <v>2471</v>
      </c>
      <c r="C803" s="865"/>
      <c r="D803" s="865"/>
      <c r="E803" s="865"/>
      <c r="F803" s="865" t="s">
        <v>2470</v>
      </c>
      <c r="G803" s="865"/>
      <c r="H803" s="865"/>
      <c r="I803" s="865"/>
      <c r="J803" s="865" t="s">
        <v>129</v>
      </c>
      <c r="K803" s="865"/>
      <c r="L803" s="865"/>
      <c r="M803" s="865"/>
      <c r="N803" s="865"/>
      <c r="O803" s="865"/>
      <c r="P803" s="865"/>
    </row>
    <row r="804" spans="1:16" ht="149.65" customHeight="1" x14ac:dyDescent="0.25">
      <c r="A804" s="675"/>
      <c r="B804" s="865" t="s">
        <v>329</v>
      </c>
      <c r="C804" s="865"/>
      <c r="D804" s="865"/>
      <c r="E804" s="865"/>
      <c r="F804" s="865" t="s">
        <v>1951</v>
      </c>
      <c r="G804" s="865"/>
      <c r="H804" s="865"/>
      <c r="I804" s="865"/>
      <c r="J804" s="865" t="s">
        <v>129</v>
      </c>
      <c r="K804" s="865"/>
      <c r="L804" s="865"/>
      <c r="M804" s="865"/>
      <c r="N804" s="865"/>
      <c r="O804" s="865"/>
      <c r="P804" s="865"/>
    </row>
    <row r="805" spans="1:16" x14ac:dyDescent="0.25">
      <c r="A805" s="676"/>
      <c r="B805" s="864" t="s">
        <v>330</v>
      </c>
      <c r="C805" s="864"/>
      <c r="D805" s="864"/>
      <c r="E805" s="864"/>
      <c r="F805" s="864" t="s">
        <v>129</v>
      </c>
      <c r="G805" s="864"/>
      <c r="H805" s="864"/>
      <c r="I805" s="864"/>
      <c r="J805" s="864" t="s">
        <v>129</v>
      </c>
      <c r="K805" s="864"/>
      <c r="L805" s="864"/>
      <c r="M805" s="864"/>
      <c r="N805" s="864"/>
      <c r="O805" s="864"/>
      <c r="P805" s="864"/>
    </row>
    <row r="806" spans="1:16" x14ac:dyDescent="0.25">
      <c r="A806" s="675"/>
      <c r="B806" s="865" t="s">
        <v>1304</v>
      </c>
      <c r="C806" s="865"/>
      <c r="D806" s="865"/>
      <c r="E806" s="865"/>
      <c r="F806" s="865" t="s">
        <v>2721</v>
      </c>
      <c r="G806" s="865"/>
      <c r="H806" s="865"/>
      <c r="I806" s="865"/>
      <c r="J806" s="865" t="s">
        <v>129</v>
      </c>
      <c r="K806" s="865"/>
      <c r="L806" s="865"/>
      <c r="M806" s="865"/>
      <c r="N806" s="865"/>
      <c r="O806" s="865"/>
      <c r="P806" s="865"/>
    </row>
    <row r="807" spans="1:16" ht="135.94999999999999" customHeight="1" x14ac:dyDescent="0.25">
      <c r="A807" s="674" t="s">
        <v>755</v>
      </c>
      <c r="B807" s="781" t="s">
        <v>1337</v>
      </c>
      <c r="C807" s="782"/>
      <c r="D807" s="782"/>
      <c r="E807" s="782"/>
      <c r="F807" s="782" t="s">
        <v>1338</v>
      </c>
      <c r="G807" s="782"/>
      <c r="H807" s="782"/>
      <c r="I807" s="782"/>
      <c r="J807" s="782" t="s">
        <v>1541</v>
      </c>
      <c r="K807" s="782"/>
      <c r="L807" s="782"/>
      <c r="M807" s="866">
        <f>ROUND(2560 * 1 * 54.34 * 0.75 * 1.3, 0)</f>
        <v>135633</v>
      </c>
      <c r="N807" s="782"/>
      <c r="O807" s="782" t="s">
        <v>1340</v>
      </c>
      <c r="P807" s="782"/>
    </row>
    <row r="808" spans="1:16" x14ac:dyDescent="0.25">
      <c r="A808" s="676"/>
      <c r="B808" s="864" t="s">
        <v>306</v>
      </c>
      <c r="C808" s="864"/>
      <c r="D808" s="864"/>
      <c r="E808" s="864"/>
      <c r="F808" s="864" t="s">
        <v>129</v>
      </c>
      <c r="G808" s="864"/>
      <c r="H808" s="864"/>
      <c r="I808" s="864"/>
      <c r="J808" s="864" t="s">
        <v>129</v>
      </c>
      <c r="K808" s="864"/>
      <c r="L808" s="864"/>
      <c r="M808" s="864"/>
      <c r="N808" s="864"/>
      <c r="O808" s="864"/>
      <c r="P808" s="864"/>
    </row>
    <row r="809" spans="1:16" x14ac:dyDescent="0.25">
      <c r="A809" s="675"/>
      <c r="B809" s="865" t="s">
        <v>507</v>
      </c>
      <c r="C809" s="865"/>
      <c r="D809" s="865"/>
      <c r="E809" s="865"/>
      <c r="F809" s="865" t="s">
        <v>1542</v>
      </c>
      <c r="G809" s="865"/>
      <c r="H809" s="865"/>
      <c r="I809" s="865"/>
      <c r="J809" s="865" t="s">
        <v>129</v>
      </c>
      <c r="K809" s="865"/>
      <c r="L809" s="865"/>
      <c r="M809" s="865"/>
      <c r="N809" s="865"/>
      <c r="O809" s="865"/>
      <c r="P809" s="865"/>
    </row>
    <row r="810" spans="1:16" ht="40.9" customHeight="1" x14ac:dyDescent="0.25">
      <c r="A810" s="675"/>
      <c r="B810" s="865" t="s">
        <v>1342</v>
      </c>
      <c r="C810" s="865"/>
      <c r="D810" s="865"/>
      <c r="E810" s="865"/>
      <c r="F810" s="865" t="s">
        <v>1343</v>
      </c>
      <c r="G810" s="865"/>
      <c r="H810" s="865"/>
      <c r="I810" s="865"/>
      <c r="J810" s="865" t="s">
        <v>129</v>
      </c>
      <c r="K810" s="865"/>
      <c r="L810" s="865"/>
      <c r="M810" s="865"/>
      <c r="N810" s="865"/>
      <c r="O810" s="865"/>
      <c r="P810" s="865"/>
    </row>
    <row r="811" spans="1:16" ht="108.75" customHeight="1" x14ac:dyDescent="0.25">
      <c r="A811" s="675"/>
      <c r="B811" s="865" t="s">
        <v>1543</v>
      </c>
      <c r="C811" s="865"/>
      <c r="D811" s="865"/>
      <c r="E811" s="865"/>
      <c r="F811" s="865" t="s">
        <v>1544</v>
      </c>
      <c r="G811" s="865"/>
      <c r="H811" s="865"/>
      <c r="I811" s="865"/>
      <c r="J811" s="865" t="s">
        <v>129</v>
      </c>
      <c r="K811" s="865"/>
      <c r="L811" s="865"/>
      <c r="M811" s="865"/>
      <c r="N811" s="865"/>
      <c r="O811" s="865"/>
      <c r="P811" s="865"/>
    </row>
    <row r="812" spans="1:16" x14ac:dyDescent="0.25">
      <c r="A812" s="676"/>
      <c r="B812" s="864" t="s">
        <v>330</v>
      </c>
      <c r="C812" s="864"/>
      <c r="D812" s="864"/>
      <c r="E812" s="864"/>
      <c r="F812" s="864" t="s">
        <v>129</v>
      </c>
      <c r="G812" s="864"/>
      <c r="H812" s="864"/>
      <c r="I812" s="864"/>
      <c r="J812" s="864" t="s">
        <v>129</v>
      </c>
      <c r="K812" s="864"/>
      <c r="L812" s="864"/>
      <c r="M812" s="864"/>
      <c r="N812" s="864"/>
      <c r="O812" s="864"/>
      <c r="P812" s="864"/>
    </row>
    <row r="813" spans="1:16" ht="40.9" customHeight="1" x14ac:dyDescent="0.25">
      <c r="A813" s="675"/>
      <c r="B813" s="865" t="s">
        <v>1345</v>
      </c>
      <c r="C813" s="865"/>
      <c r="D813" s="865"/>
      <c r="E813" s="865"/>
      <c r="F813" s="865" t="s">
        <v>1545</v>
      </c>
      <c r="G813" s="865"/>
      <c r="H813" s="865"/>
      <c r="I813" s="865"/>
      <c r="J813" s="865" t="s">
        <v>129</v>
      </c>
      <c r="K813" s="865"/>
      <c r="L813" s="865"/>
      <c r="M813" s="865"/>
      <c r="N813" s="865"/>
      <c r="O813" s="865"/>
      <c r="P813" s="865"/>
    </row>
    <row r="814" spans="1:16" x14ac:dyDescent="0.25">
      <c r="A814" s="675"/>
      <c r="B814" s="865" t="s">
        <v>1347</v>
      </c>
      <c r="C814" s="865"/>
      <c r="D814" s="865"/>
      <c r="E814" s="865"/>
      <c r="F814" s="865" t="s">
        <v>1546</v>
      </c>
      <c r="G814" s="865"/>
      <c r="H814" s="865"/>
      <c r="I814" s="865"/>
      <c r="J814" s="865" t="s">
        <v>129</v>
      </c>
      <c r="K814" s="865"/>
      <c r="L814" s="865"/>
      <c r="M814" s="865"/>
      <c r="N814" s="865"/>
      <c r="O814" s="865"/>
      <c r="P814" s="865"/>
    </row>
    <row r="815" spans="1:16" x14ac:dyDescent="0.25">
      <c r="A815" s="675"/>
      <c r="B815" s="865" t="s">
        <v>1349</v>
      </c>
      <c r="C815" s="865"/>
      <c r="D815" s="865"/>
      <c r="E815" s="865"/>
      <c r="F815" s="865" t="s">
        <v>1547</v>
      </c>
      <c r="G815" s="865"/>
      <c r="H815" s="865"/>
      <c r="I815" s="865"/>
      <c r="J815" s="865" t="s">
        <v>129</v>
      </c>
      <c r="K815" s="865"/>
      <c r="L815" s="865"/>
      <c r="M815" s="865"/>
      <c r="N815" s="865"/>
      <c r="O815" s="865"/>
      <c r="P815" s="865"/>
    </row>
    <row r="816" spans="1:16" x14ac:dyDescent="0.25">
      <c r="A816" s="675"/>
      <c r="B816" s="865" t="s">
        <v>1351</v>
      </c>
      <c r="C816" s="865"/>
      <c r="D816" s="865"/>
      <c r="E816" s="865"/>
      <c r="F816" s="865" t="s">
        <v>1548</v>
      </c>
      <c r="G816" s="865"/>
      <c r="H816" s="865"/>
      <c r="I816" s="865"/>
      <c r="J816" s="865" t="s">
        <v>129</v>
      </c>
      <c r="K816" s="865"/>
      <c r="L816" s="865"/>
      <c r="M816" s="865"/>
      <c r="N816" s="865"/>
      <c r="O816" s="865"/>
      <c r="P816" s="865"/>
    </row>
    <row r="817" spans="1:16" ht="135.94999999999999" customHeight="1" x14ac:dyDescent="0.25">
      <c r="A817" s="674" t="s">
        <v>756</v>
      </c>
      <c r="B817" s="781" t="s">
        <v>1353</v>
      </c>
      <c r="C817" s="782"/>
      <c r="D817" s="782"/>
      <c r="E817" s="782"/>
      <c r="F817" s="782" t="s">
        <v>1354</v>
      </c>
      <c r="G817" s="782"/>
      <c r="H817" s="782"/>
      <c r="I817" s="782"/>
      <c r="J817" s="782" t="s">
        <v>2187</v>
      </c>
      <c r="K817" s="782"/>
      <c r="L817" s="782"/>
      <c r="M817" s="866">
        <f>ROUND((32300 + 428 * 300) * 1 * 1.68 * 0.6 * 0.9 * 1.28895, 0)</f>
        <v>187912</v>
      </c>
      <c r="N817" s="782"/>
      <c r="O817" s="782" t="s">
        <v>2186</v>
      </c>
      <c r="P817" s="782"/>
    </row>
    <row r="818" spans="1:16" x14ac:dyDescent="0.25">
      <c r="A818" s="676"/>
      <c r="B818" s="864" t="s">
        <v>306</v>
      </c>
      <c r="C818" s="864"/>
      <c r="D818" s="864"/>
      <c r="E818" s="864"/>
      <c r="F818" s="864" t="s">
        <v>129</v>
      </c>
      <c r="G818" s="864"/>
      <c r="H818" s="864"/>
      <c r="I818" s="864"/>
      <c r="J818" s="864" t="s">
        <v>129</v>
      </c>
      <c r="K818" s="864"/>
      <c r="L818" s="864"/>
      <c r="M818" s="864"/>
      <c r="N818" s="864"/>
      <c r="O818" s="864"/>
      <c r="P818" s="864"/>
    </row>
    <row r="819" spans="1:16" x14ac:dyDescent="0.25">
      <c r="A819" s="675"/>
      <c r="B819" s="865" t="s">
        <v>507</v>
      </c>
      <c r="C819" s="865"/>
      <c r="D819" s="865"/>
      <c r="E819" s="865"/>
      <c r="F819" s="865" t="s">
        <v>508</v>
      </c>
      <c r="G819" s="865"/>
      <c r="H819" s="865"/>
      <c r="I819" s="865"/>
      <c r="J819" s="865" t="s">
        <v>129</v>
      </c>
      <c r="K819" s="865"/>
      <c r="L819" s="865"/>
      <c r="M819" s="865"/>
      <c r="N819" s="865"/>
      <c r="O819" s="865"/>
      <c r="P819" s="865"/>
    </row>
    <row r="820" spans="1:16" ht="40.9" customHeight="1" x14ac:dyDescent="0.25">
      <c r="A820" s="675"/>
      <c r="B820" s="865" t="s">
        <v>331</v>
      </c>
      <c r="C820" s="865"/>
      <c r="D820" s="865"/>
      <c r="E820" s="865"/>
      <c r="F820" s="865" t="s">
        <v>332</v>
      </c>
      <c r="G820" s="865"/>
      <c r="H820" s="865"/>
      <c r="I820" s="865"/>
      <c r="J820" s="865" t="s">
        <v>129</v>
      </c>
      <c r="K820" s="865"/>
      <c r="L820" s="865"/>
      <c r="M820" s="865"/>
      <c r="N820" s="865"/>
      <c r="O820" s="865"/>
      <c r="P820" s="865"/>
    </row>
    <row r="821" spans="1:16" ht="108.75" customHeight="1" x14ac:dyDescent="0.25">
      <c r="A821" s="675"/>
      <c r="B821" s="865" t="s">
        <v>1809</v>
      </c>
      <c r="C821" s="865"/>
      <c r="D821" s="865"/>
      <c r="E821" s="865"/>
      <c r="F821" s="865" t="s">
        <v>1810</v>
      </c>
      <c r="G821" s="865"/>
      <c r="H821" s="865"/>
      <c r="I821" s="865"/>
      <c r="J821" s="865" t="s">
        <v>129</v>
      </c>
      <c r="K821" s="865"/>
      <c r="L821" s="865"/>
      <c r="M821" s="865"/>
      <c r="N821" s="865"/>
      <c r="O821" s="865"/>
      <c r="P821" s="865"/>
    </row>
    <row r="822" spans="1:16" ht="149.65" customHeight="1" x14ac:dyDescent="0.25">
      <c r="A822" s="675"/>
      <c r="B822" s="865" t="s">
        <v>329</v>
      </c>
      <c r="C822" s="865"/>
      <c r="D822" s="865"/>
      <c r="E822" s="865"/>
      <c r="F822" s="865" t="s">
        <v>340</v>
      </c>
      <c r="G822" s="865"/>
      <c r="H822" s="865"/>
      <c r="I822" s="865"/>
      <c r="J822" s="865" t="s">
        <v>129</v>
      </c>
      <c r="K822" s="865"/>
      <c r="L822" s="865"/>
      <c r="M822" s="865"/>
      <c r="N822" s="865"/>
      <c r="O822" s="865"/>
      <c r="P822" s="865"/>
    </row>
    <row r="823" spans="1:16" x14ac:dyDescent="0.25">
      <c r="A823" s="676"/>
      <c r="B823" s="864" t="s">
        <v>330</v>
      </c>
      <c r="C823" s="864"/>
      <c r="D823" s="864"/>
      <c r="E823" s="864"/>
      <c r="F823" s="864" t="s">
        <v>129</v>
      </c>
      <c r="G823" s="864"/>
      <c r="H823" s="864"/>
      <c r="I823" s="864"/>
      <c r="J823" s="864" t="s">
        <v>129</v>
      </c>
      <c r="K823" s="864"/>
      <c r="L823" s="864"/>
      <c r="M823" s="864"/>
      <c r="N823" s="864"/>
      <c r="O823" s="864"/>
      <c r="P823" s="864"/>
    </row>
    <row r="824" spans="1:16" x14ac:dyDescent="0.25">
      <c r="A824" s="675"/>
      <c r="B824" s="865" t="s">
        <v>1028</v>
      </c>
      <c r="C824" s="865"/>
      <c r="D824" s="865"/>
      <c r="E824" s="865"/>
      <c r="F824" s="865" t="s">
        <v>2185</v>
      </c>
      <c r="G824" s="865"/>
      <c r="H824" s="865"/>
      <c r="I824" s="865"/>
      <c r="J824" s="865" t="s">
        <v>129</v>
      </c>
      <c r="K824" s="865"/>
      <c r="L824" s="865"/>
      <c r="M824" s="865"/>
      <c r="N824" s="865"/>
      <c r="O824" s="865"/>
      <c r="P824" s="865"/>
    </row>
    <row r="825" spans="1:16" x14ac:dyDescent="0.25">
      <c r="A825" s="675"/>
      <c r="B825" s="865" t="s">
        <v>1156</v>
      </c>
      <c r="C825" s="865"/>
      <c r="D825" s="865"/>
      <c r="E825" s="865"/>
      <c r="F825" s="865" t="s">
        <v>2184</v>
      </c>
      <c r="G825" s="865"/>
      <c r="H825" s="865"/>
      <c r="I825" s="865"/>
      <c r="J825" s="865" t="s">
        <v>129</v>
      </c>
      <c r="K825" s="865"/>
      <c r="L825" s="865"/>
      <c r="M825" s="865"/>
      <c r="N825" s="865"/>
      <c r="O825" s="865"/>
      <c r="P825" s="865"/>
    </row>
    <row r="826" spans="1:16" ht="54.4" customHeight="1" x14ac:dyDescent="0.25">
      <c r="A826" s="675"/>
      <c r="B826" s="865" t="s">
        <v>1169</v>
      </c>
      <c r="C826" s="865"/>
      <c r="D826" s="865"/>
      <c r="E826" s="865"/>
      <c r="F826" s="865" t="s">
        <v>2183</v>
      </c>
      <c r="G826" s="865"/>
      <c r="H826" s="865"/>
      <c r="I826" s="865"/>
      <c r="J826" s="865" t="s">
        <v>129</v>
      </c>
      <c r="K826" s="865"/>
      <c r="L826" s="865"/>
      <c r="M826" s="865"/>
      <c r="N826" s="865"/>
      <c r="O826" s="865"/>
      <c r="P826" s="865"/>
    </row>
    <row r="827" spans="1:16" ht="27.2" customHeight="1" x14ac:dyDescent="0.25">
      <c r="A827" s="675"/>
      <c r="B827" s="865" t="s">
        <v>1160</v>
      </c>
      <c r="C827" s="865"/>
      <c r="D827" s="865"/>
      <c r="E827" s="865"/>
      <c r="F827" s="865" t="s">
        <v>2182</v>
      </c>
      <c r="G827" s="865"/>
      <c r="H827" s="865"/>
      <c r="I827" s="865"/>
      <c r="J827" s="865" t="s">
        <v>129</v>
      </c>
      <c r="K827" s="865"/>
      <c r="L827" s="865"/>
      <c r="M827" s="865"/>
      <c r="N827" s="865"/>
      <c r="O827" s="865"/>
      <c r="P827" s="865"/>
    </row>
    <row r="828" spans="1:16" x14ac:dyDescent="0.25">
      <c r="A828" s="675"/>
      <c r="B828" s="865" t="s">
        <v>1474</v>
      </c>
      <c r="C828" s="865"/>
      <c r="D828" s="865"/>
      <c r="E828" s="865"/>
      <c r="F828" s="865" t="s">
        <v>2181</v>
      </c>
      <c r="G828" s="865"/>
      <c r="H828" s="865"/>
      <c r="I828" s="865"/>
      <c r="J828" s="865" t="s">
        <v>129</v>
      </c>
      <c r="K828" s="865"/>
      <c r="L828" s="865"/>
      <c r="M828" s="865"/>
      <c r="N828" s="865"/>
      <c r="O828" s="865"/>
      <c r="P828" s="865"/>
    </row>
    <row r="829" spans="1:16" ht="54.4" customHeight="1" x14ac:dyDescent="0.25">
      <c r="A829" s="673" t="s">
        <v>757</v>
      </c>
      <c r="B829" s="780" t="s">
        <v>1355</v>
      </c>
      <c r="C829" s="780"/>
      <c r="D829" s="780"/>
      <c r="E829" s="780"/>
      <c r="F829" s="780"/>
      <c r="G829" s="780"/>
      <c r="H829" s="780"/>
      <c r="I829" s="780"/>
      <c r="J829" s="780" t="s">
        <v>129</v>
      </c>
      <c r="K829" s="780"/>
      <c r="L829" s="780"/>
      <c r="M829" s="791">
        <f>ROUND(SUM($M$336:$M$817),0)</f>
        <v>9138603</v>
      </c>
      <c r="N829" s="780"/>
      <c r="O829" s="780"/>
      <c r="P829" s="780"/>
    </row>
    <row r="830" spans="1:16" ht="54.4" customHeight="1" x14ac:dyDescent="0.25">
      <c r="A830" s="673" t="s">
        <v>2115</v>
      </c>
      <c r="B830" s="780" t="s">
        <v>1356</v>
      </c>
      <c r="C830" s="780"/>
      <c r="D830" s="780"/>
      <c r="E830" s="780"/>
      <c r="F830" s="780"/>
      <c r="G830" s="780"/>
      <c r="H830" s="780"/>
      <c r="I830" s="780"/>
      <c r="J830" s="780" t="s">
        <v>129</v>
      </c>
      <c r="K830" s="780"/>
      <c r="L830" s="780"/>
      <c r="M830" s="791">
        <f>ROUND(($M$829),0)</f>
        <v>9138603</v>
      </c>
      <c r="N830" s="780"/>
      <c r="O830" s="780"/>
      <c r="P830" s="780"/>
    </row>
    <row r="831" spans="1:16" ht="54.4" customHeight="1" x14ac:dyDescent="0.25">
      <c r="A831" s="673" t="s">
        <v>138</v>
      </c>
      <c r="B831" s="780" t="s">
        <v>339</v>
      </c>
      <c r="C831" s="780"/>
      <c r="D831" s="780"/>
      <c r="E831" s="780"/>
      <c r="F831" s="780" t="s">
        <v>974</v>
      </c>
      <c r="G831" s="780"/>
      <c r="H831" s="780"/>
      <c r="I831" s="780"/>
      <c r="J831" s="780"/>
      <c r="K831" s="780"/>
      <c r="L831" s="780"/>
      <c r="M831" s="780"/>
      <c r="N831" s="780"/>
      <c r="O831" s="780"/>
      <c r="P831" s="780"/>
    </row>
    <row r="832" spans="1:16" ht="163.15" customHeight="1" x14ac:dyDescent="0.25">
      <c r="A832" s="674" t="s">
        <v>17</v>
      </c>
      <c r="B832" s="781" t="s">
        <v>1357</v>
      </c>
      <c r="C832" s="782"/>
      <c r="D832" s="782"/>
      <c r="E832" s="782"/>
      <c r="F832" s="782" t="s">
        <v>1358</v>
      </c>
      <c r="G832" s="782"/>
      <c r="H832" s="782"/>
      <c r="I832" s="782"/>
      <c r="J832" s="782" t="s">
        <v>1549</v>
      </c>
      <c r="K832" s="782"/>
      <c r="L832" s="782"/>
      <c r="M832" s="866">
        <f>ROUND((165500 + 378 * 1400) * 1 * 1.27 * 0.6 * 1.3, 0)</f>
        <v>688170</v>
      </c>
      <c r="N832" s="782"/>
      <c r="O832" s="782" t="s">
        <v>1938</v>
      </c>
      <c r="P832" s="782"/>
    </row>
    <row r="833" spans="1:16" x14ac:dyDescent="0.25">
      <c r="A833" s="676"/>
      <c r="B833" s="864" t="s">
        <v>306</v>
      </c>
      <c r="C833" s="864"/>
      <c r="D833" s="864"/>
      <c r="E833" s="864"/>
      <c r="F833" s="864" t="s">
        <v>129</v>
      </c>
      <c r="G833" s="864"/>
      <c r="H833" s="864"/>
      <c r="I833" s="864"/>
      <c r="J833" s="864" t="s">
        <v>129</v>
      </c>
      <c r="K833" s="864"/>
      <c r="L833" s="864"/>
      <c r="M833" s="864"/>
      <c r="N833" s="864"/>
      <c r="O833" s="864"/>
      <c r="P833" s="864"/>
    </row>
    <row r="834" spans="1:16" x14ac:dyDescent="0.25">
      <c r="A834" s="675"/>
      <c r="B834" s="865" t="s">
        <v>507</v>
      </c>
      <c r="C834" s="865"/>
      <c r="D834" s="865"/>
      <c r="E834" s="865"/>
      <c r="F834" s="865" t="s">
        <v>508</v>
      </c>
      <c r="G834" s="865"/>
      <c r="H834" s="865"/>
      <c r="I834" s="865"/>
      <c r="J834" s="865" t="s">
        <v>129</v>
      </c>
      <c r="K834" s="865"/>
      <c r="L834" s="865"/>
      <c r="M834" s="865"/>
      <c r="N834" s="865"/>
      <c r="O834" s="865"/>
      <c r="P834" s="865"/>
    </row>
    <row r="835" spans="1:16" ht="40.9" customHeight="1" x14ac:dyDescent="0.25">
      <c r="A835" s="675"/>
      <c r="B835" s="865" t="s">
        <v>327</v>
      </c>
      <c r="C835" s="865"/>
      <c r="D835" s="865"/>
      <c r="E835" s="865"/>
      <c r="F835" s="865" t="s">
        <v>328</v>
      </c>
      <c r="G835" s="865"/>
      <c r="H835" s="865"/>
      <c r="I835" s="865"/>
      <c r="J835" s="865" t="s">
        <v>129</v>
      </c>
      <c r="K835" s="865"/>
      <c r="L835" s="865"/>
      <c r="M835" s="865"/>
      <c r="N835" s="865"/>
      <c r="O835" s="865"/>
      <c r="P835" s="865"/>
    </row>
    <row r="836" spans="1:16" ht="149.65" customHeight="1" x14ac:dyDescent="0.25">
      <c r="A836" s="675"/>
      <c r="B836" s="865" t="s">
        <v>329</v>
      </c>
      <c r="C836" s="865"/>
      <c r="D836" s="865"/>
      <c r="E836" s="865"/>
      <c r="F836" s="865" t="s">
        <v>510</v>
      </c>
      <c r="G836" s="865"/>
      <c r="H836" s="865"/>
      <c r="I836" s="865"/>
      <c r="J836" s="865" t="s">
        <v>129</v>
      </c>
      <c r="K836" s="865"/>
      <c r="L836" s="865"/>
      <c r="M836" s="865"/>
      <c r="N836" s="865"/>
      <c r="O836" s="865"/>
      <c r="P836" s="865"/>
    </row>
    <row r="837" spans="1:16" x14ac:dyDescent="0.25">
      <c r="A837" s="676"/>
      <c r="B837" s="864" t="s">
        <v>330</v>
      </c>
      <c r="C837" s="864"/>
      <c r="D837" s="864"/>
      <c r="E837" s="864"/>
      <c r="F837" s="864" t="s">
        <v>129</v>
      </c>
      <c r="G837" s="864"/>
      <c r="H837" s="864"/>
      <c r="I837" s="864"/>
      <c r="J837" s="864" t="s">
        <v>129</v>
      </c>
      <c r="K837" s="864"/>
      <c r="L837" s="864"/>
      <c r="M837" s="864"/>
      <c r="N837" s="864"/>
      <c r="O837" s="864"/>
      <c r="P837" s="864"/>
    </row>
    <row r="838" spans="1:16" x14ac:dyDescent="0.25">
      <c r="A838" s="675"/>
      <c r="B838" s="865" t="s">
        <v>1471</v>
      </c>
      <c r="C838" s="865"/>
      <c r="D838" s="865"/>
      <c r="E838" s="865"/>
      <c r="F838" s="865" t="s">
        <v>1550</v>
      </c>
      <c r="G838" s="865"/>
      <c r="H838" s="865"/>
      <c r="I838" s="865"/>
      <c r="J838" s="865" t="s">
        <v>129</v>
      </c>
      <c r="K838" s="865"/>
      <c r="L838" s="865"/>
      <c r="M838" s="865"/>
      <c r="N838" s="865"/>
      <c r="O838" s="865"/>
      <c r="P838" s="865"/>
    </row>
    <row r="839" spans="1:16" x14ac:dyDescent="0.25">
      <c r="A839" s="675"/>
      <c r="B839" s="865" t="s">
        <v>1472</v>
      </c>
      <c r="C839" s="865"/>
      <c r="D839" s="865"/>
      <c r="E839" s="865"/>
      <c r="F839" s="865" t="s">
        <v>1551</v>
      </c>
      <c r="G839" s="865"/>
      <c r="H839" s="865"/>
      <c r="I839" s="865"/>
      <c r="J839" s="865" t="s">
        <v>129</v>
      </c>
      <c r="K839" s="865"/>
      <c r="L839" s="865"/>
      <c r="M839" s="865"/>
      <c r="N839" s="865"/>
      <c r="O839" s="865"/>
      <c r="P839" s="865"/>
    </row>
    <row r="840" spans="1:16" x14ac:dyDescent="0.25">
      <c r="A840" s="675"/>
      <c r="B840" s="865" t="s">
        <v>1473</v>
      </c>
      <c r="C840" s="865"/>
      <c r="D840" s="865"/>
      <c r="E840" s="865"/>
      <c r="F840" s="865" t="s">
        <v>1552</v>
      </c>
      <c r="G840" s="865"/>
      <c r="H840" s="865"/>
      <c r="I840" s="865"/>
      <c r="J840" s="865" t="s">
        <v>129</v>
      </c>
      <c r="K840" s="865"/>
      <c r="L840" s="865"/>
      <c r="M840" s="865"/>
      <c r="N840" s="865"/>
      <c r="O840" s="865"/>
      <c r="P840" s="865"/>
    </row>
    <row r="841" spans="1:16" ht="163.15" customHeight="1" x14ac:dyDescent="0.25">
      <c r="A841" s="674" t="s">
        <v>93</v>
      </c>
      <c r="B841" s="781" t="s">
        <v>1367</v>
      </c>
      <c r="C841" s="782"/>
      <c r="D841" s="782"/>
      <c r="E841" s="782"/>
      <c r="F841" s="782" t="s">
        <v>1368</v>
      </c>
      <c r="G841" s="782"/>
      <c r="H841" s="782"/>
      <c r="I841" s="782"/>
      <c r="J841" s="782" t="s">
        <v>2720</v>
      </c>
      <c r="K841" s="782"/>
      <c r="L841" s="782"/>
      <c r="M841" s="866">
        <f>ROUND((93300 + 172 * 5600) * 1 * 1.68 * 0.6 * 0.9 * 3.4 * 1.28895, 0)</f>
        <v>4200370</v>
      </c>
      <c r="N841" s="782"/>
      <c r="O841" s="782" t="s">
        <v>2114</v>
      </c>
      <c r="P841" s="782"/>
    </row>
    <row r="842" spans="1:16" x14ac:dyDescent="0.25">
      <c r="A842" s="676"/>
      <c r="B842" s="864" t="s">
        <v>306</v>
      </c>
      <c r="C842" s="864"/>
      <c r="D842" s="864"/>
      <c r="E842" s="864"/>
      <c r="F842" s="864" t="s">
        <v>129</v>
      </c>
      <c r="G842" s="864"/>
      <c r="H842" s="864"/>
      <c r="I842" s="864"/>
      <c r="J842" s="864" t="s">
        <v>129</v>
      </c>
      <c r="K842" s="864"/>
      <c r="L842" s="864"/>
      <c r="M842" s="864"/>
      <c r="N842" s="864"/>
      <c r="O842" s="864"/>
      <c r="P842" s="864"/>
    </row>
    <row r="843" spans="1:16" x14ac:dyDescent="0.25">
      <c r="A843" s="675"/>
      <c r="B843" s="865" t="s">
        <v>507</v>
      </c>
      <c r="C843" s="865"/>
      <c r="D843" s="865"/>
      <c r="E843" s="865"/>
      <c r="F843" s="865" t="s">
        <v>508</v>
      </c>
      <c r="G843" s="865"/>
      <c r="H843" s="865"/>
      <c r="I843" s="865"/>
      <c r="J843" s="865" t="s">
        <v>129</v>
      </c>
      <c r="K843" s="865"/>
      <c r="L843" s="865"/>
      <c r="M843" s="865"/>
      <c r="N843" s="865"/>
      <c r="O843" s="865"/>
      <c r="P843" s="865"/>
    </row>
    <row r="844" spans="1:16" ht="40.9" customHeight="1" x14ac:dyDescent="0.25">
      <c r="A844" s="675"/>
      <c r="B844" s="865" t="s">
        <v>331</v>
      </c>
      <c r="C844" s="865"/>
      <c r="D844" s="865"/>
      <c r="E844" s="865"/>
      <c r="F844" s="865" t="s">
        <v>332</v>
      </c>
      <c r="G844" s="865"/>
      <c r="H844" s="865"/>
      <c r="I844" s="865"/>
      <c r="J844" s="865" t="s">
        <v>129</v>
      </c>
      <c r="K844" s="865"/>
      <c r="L844" s="865"/>
      <c r="M844" s="865"/>
      <c r="N844" s="865"/>
      <c r="O844" s="865"/>
      <c r="P844" s="865"/>
    </row>
    <row r="845" spans="1:16" ht="108.75" customHeight="1" x14ac:dyDescent="0.25">
      <c r="A845" s="675"/>
      <c r="B845" s="865" t="s">
        <v>1809</v>
      </c>
      <c r="C845" s="865"/>
      <c r="D845" s="865"/>
      <c r="E845" s="865"/>
      <c r="F845" s="865" t="s">
        <v>1810</v>
      </c>
      <c r="G845" s="865"/>
      <c r="H845" s="865"/>
      <c r="I845" s="865"/>
      <c r="J845" s="865" t="s">
        <v>129</v>
      </c>
      <c r="K845" s="865"/>
      <c r="L845" s="865"/>
      <c r="M845" s="865"/>
      <c r="N845" s="865"/>
      <c r="O845" s="865"/>
      <c r="P845" s="865"/>
    </row>
    <row r="846" spans="1:16" ht="122.45" customHeight="1" x14ac:dyDescent="0.25">
      <c r="A846" s="675"/>
      <c r="B846" s="865" t="s">
        <v>1939</v>
      </c>
      <c r="C846" s="865"/>
      <c r="D846" s="865"/>
      <c r="E846" s="865"/>
      <c r="F846" s="865" t="s">
        <v>2467</v>
      </c>
      <c r="G846" s="865"/>
      <c r="H846" s="865"/>
      <c r="I846" s="865"/>
      <c r="J846" s="865" t="s">
        <v>129</v>
      </c>
      <c r="K846" s="865"/>
      <c r="L846" s="865"/>
      <c r="M846" s="865"/>
      <c r="N846" s="865"/>
      <c r="O846" s="865"/>
      <c r="P846" s="865"/>
    </row>
    <row r="847" spans="1:16" ht="149.65" customHeight="1" x14ac:dyDescent="0.25">
      <c r="A847" s="675"/>
      <c r="B847" s="865" t="s">
        <v>329</v>
      </c>
      <c r="C847" s="865"/>
      <c r="D847" s="865"/>
      <c r="E847" s="865"/>
      <c r="F847" s="865" t="s">
        <v>2466</v>
      </c>
      <c r="G847" s="865"/>
      <c r="H847" s="865"/>
      <c r="I847" s="865"/>
      <c r="J847" s="865" t="s">
        <v>129</v>
      </c>
      <c r="K847" s="865"/>
      <c r="L847" s="865"/>
      <c r="M847" s="865"/>
      <c r="N847" s="865"/>
      <c r="O847" s="865"/>
      <c r="P847" s="865"/>
    </row>
    <row r="848" spans="1:16" x14ac:dyDescent="0.25">
      <c r="A848" s="676"/>
      <c r="B848" s="864" t="s">
        <v>330</v>
      </c>
      <c r="C848" s="864"/>
      <c r="D848" s="864"/>
      <c r="E848" s="864"/>
      <c r="F848" s="864" t="s">
        <v>129</v>
      </c>
      <c r="G848" s="864"/>
      <c r="H848" s="864"/>
      <c r="I848" s="864"/>
      <c r="J848" s="864" t="s">
        <v>129</v>
      </c>
      <c r="K848" s="864"/>
      <c r="L848" s="864"/>
      <c r="M848" s="864"/>
      <c r="N848" s="864"/>
      <c r="O848" s="864"/>
      <c r="P848" s="864"/>
    </row>
    <row r="849" spans="1:16" x14ac:dyDescent="0.25">
      <c r="A849" s="675"/>
      <c r="B849" s="865" t="s">
        <v>1028</v>
      </c>
      <c r="C849" s="865"/>
      <c r="D849" s="865"/>
      <c r="E849" s="865"/>
      <c r="F849" s="865" t="s">
        <v>2719</v>
      </c>
      <c r="G849" s="865"/>
      <c r="H849" s="865"/>
      <c r="I849" s="865"/>
      <c r="J849" s="865" t="s">
        <v>129</v>
      </c>
      <c r="K849" s="865"/>
      <c r="L849" s="865"/>
      <c r="M849" s="865"/>
      <c r="N849" s="865"/>
      <c r="O849" s="865"/>
      <c r="P849" s="865"/>
    </row>
    <row r="850" spans="1:16" x14ac:dyDescent="0.25">
      <c r="A850" s="675"/>
      <c r="B850" s="865" t="s">
        <v>1156</v>
      </c>
      <c r="C850" s="865"/>
      <c r="D850" s="865"/>
      <c r="E850" s="865"/>
      <c r="F850" s="865" t="s">
        <v>2718</v>
      </c>
      <c r="G850" s="865"/>
      <c r="H850" s="865"/>
      <c r="I850" s="865"/>
      <c r="J850" s="865" t="s">
        <v>129</v>
      </c>
      <c r="K850" s="865"/>
      <c r="L850" s="865"/>
      <c r="M850" s="865"/>
      <c r="N850" s="865"/>
      <c r="O850" s="865"/>
      <c r="P850" s="865"/>
    </row>
    <row r="851" spans="1:16" ht="54.4" customHeight="1" x14ac:dyDescent="0.25">
      <c r="A851" s="675"/>
      <c r="B851" s="865" t="s">
        <v>1169</v>
      </c>
      <c r="C851" s="865"/>
      <c r="D851" s="865"/>
      <c r="E851" s="865"/>
      <c r="F851" s="865" t="s">
        <v>2717</v>
      </c>
      <c r="G851" s="865"/>
      <c r="H851" s="865"/>
      <c r="I851" s="865"/>
      <c r="J851" s="865" t="s">
        <v>129</v>
      </c>
      <c r="K851" s="865"/>
      <c r="L851" s="865"/>
      <c r="M851" s="865"/>
      <c r="N851" s="865"/>
      <c r="O851" s="865"/>
      <c r="P851" s="865"/>
    </row>
    <row r="852" spans="1:16" ht="27.2" customHeight="1" x14ac:dyDescent="0.25">
      <c r="A852" s="675"/>
      <c r="B852" s="865" t="s">
        <v>1160</v>
      </c>
      <c r="C852" s="865"/>
      <c r="D852" s="865"/>
      <c r="E852" s="865"/>
      <c r="F852" s="865" t="s">
        <v>2716</v>
      </c>
      <c r="G852" s="865"/>
      <c r="H852" s="865"/>
      <c r="I852" s="865"/>
      <c r="J852" s="865" t="s">
        <v>129</v>
      </c>
      <c r="K852" s="865"/>
      <c r="L852" s="865"/>
      <c r="M852" s="865"/>
      <c r="N852" s="865"/>
      <c r="O852" s="865"/>
      <c r="P852" s="865"/>
    </row>
    <row r="853" spans="1:16" x14ac:dyDescent="0.25">
      <c r="A853" s="675"/>
      <c r="B853" s="865" t="s">
        <v>1474</v>
      </c>
      <c r="C853" s="865"/>
      <c r="D853" s="865"/>
      <c r="E853" s="865"/>
      <c r="F853" s="865" t="s">
        <v>2715</v>
      </c>
      <c r="G853" s="865"/>
      <c r="H853" s="865"/>
      <c r="I853" s="865"/>
      <c r="J853" s="865" t="s">
        <v>129</v>
      </c>
      <c r="K853" s="865"/>
      <c r="L853" s="865"/>
      <c r="M853" s="865"/>
      <c r="N853" s="865"/>
      <c r="O853" s="865"/>
      <c r="P853" s="865"/>
    </row>
    <row r="854" spans="1:16" ht="204" customHeight="1" x14ac:dyDescent="0.25">
      <c r="A854" s="674" t="s">
        <v>94</v>
      </c>
      <c r="B854" s="781" t="s">
        <v>1369</v>
      </c>
      <c r="C854" s="782"/>
      <c r="D854" s="782"/>
      <c r="E854" s="782"/>
      <c r="F854" s="782" t="s">
        <v>1370</v>
      </c>
      <c r="G854" s="782"/>
      <c r="H854" s="782"/>
      <c r="I854" s="782"/>
      <c r="J854" s="782" t="s">
        <v>2714</v>
      </c>
      <c r="K854" s="782"/>
      <c r="L854" s="782"/>
      <c r="M854" s="866">
        <f>ROUND(1094000 * 1 * 1.68 * 0.6 * 0.9 * 1.27789, 0)</f>
        <v>1268276</v>
      </c>
      <c r="N854" s="782"/>
      <c r="O854" s="782" t="s">
        <v>2113</v>
      </c>
      <c r="P854" s="782"/>
    </row>
    <row r="855" spans="1:16" x14ac:dyDescent="0.25">
      <c r="A855" s="676"/>
      <c r="B855" s="864" t="s">
        <v>306</v>
      </c>
      <c r="C855" s="864"/>
      <c r="D855" s="864"/>
      <c r="E855" s="864"/>
      <c r="F855" s="864" t="s">
        <v>129</v>
      </c>
      <c r="G855" s="864"/>
      <c r="H855" s="864"/>
      <c r="I855" s="864"/>
      <c r="J855" s="864" t="s">
        <v>129</v>
      </c>
      <c r="K855" s="864"/>
      <c r="L855" s="864"/>
      <c r="M855" s="864"/>
      <c r="N855" s="864"/>
      <c r="O855" s="864"/>
      <c r="P855" s="864"/>
    </row>
    <row r="856" spans="1:16" x14ac:dyDescent="0.25">
      <c r="A856" s="675"/>
      <c r="B856" s="865" t="s">
        <v>507</v>
      </c>
      <c r="C856" s="865"/>
      <c r="D856" s="865"/>
      <c r="E856" s="865"/>
      <c r="F856" s="865" t="s">
        <v>508</v>
      </c>
      <c r="G856" s="865"/>
      <c r="H856" s="865"/>
      <c r="I856" s="865"/>
      <c r="J856" s="865" t="s">
        <v>129</v>
      </c>
      <c r="K856" s="865"/>
      <c r="L856" s="865"/>
      <c r="M856" s="865"/>
      <c r="N856" s="865"/>
      <c r="O856" s="865"/>
      <c r="P856" s="865"/>
    </row>
    <row r="857" spans="1:16" ht="40.9" customHeight="1" x14ac:dyDescent="0.25">
      <c r="A857" s="675"/>
      <c r="B857" s="865" t="s">
        <v>331</v>
      </c>
      <c r="C857" s="865"/>
      <c r="D857" s="865"/>
      <c r="E857" s="865"/>
      <c r="F857" s="865" t="s">
        <v>332</v>
      </c>
      <c r="G857" s="865"/>
      <c r="H857" s="865"/>
      <c r="I857" s="865"/>
      <c r="J857" s="865" t="s">
        <v>129</v>
      </c>
      <c r="K857" s="865"/>
      <c r="L857" s="865"/>
      <c r="M857" s="865"/>
      <c r="N857" s="865"/>
      <c r="O857" s="865"/>
      <c r="P857" s="865"/>
    </row>
    <row r="858" spans="1:16" ht="108.75" customHeight="1" x14ac:dyDescent="0.25">
      <c r="A858" s="675"/>
      <c r="B858" s="865" t="s">
        <v>1809</v>
      </c>
      <c r="C858" s="865"/>
      <c r="D858" s="865"/>
      <c r="E858" s="865"/>
      <c r="F858" s="865" t="s">
        <v>1810</v>
      </c>
      <c r="G858" s="865"/>
      <c r="H858" s="865"/>
      <c r="I858" s="865"/>
      <c r="J858" s="865" t="s">
        <v>129</v>
      </c>
      <c r="K858" s="865"/>
      <c r="L858" s="865"/>
      <c r="M858" s="865"/>
      <c r="N858" s="865"/>
      <c r="O858" s="865"/>
      <c r="P858" s="865"/>
    </row>
    <row r="859" spans="1:16" ht="149.65" customHeight="1" x14ac:dyDescent="0.25">
      <c r="A859" s="675"/>
      <c r="B859" s="865" t="s">
        <v>329</v>
      </c>
      <c r="C859" s="865"/>
      <c r="D859" s="865"/>
      <c r="E859" s="865"/>
      <c r="F859" s="865" t="s">
        <v>341</v>
      </c>
      <c r="G859" s="865"/>
      <c r="H859" s="865"/>
      <c r="I859" s="865"/>
      <c r="J859" s="865" t="s">
        <v>129</v>
      </c>
      <c r="K859" s="865"/>
      <c r="L859" s="865"/>
      <c r="M859" s="865"/>
      <c r="N859" s="865"/>
      <c r="O859" s="865"/>
      <c r="P859" s="865"/>
    </row>
    <row r="860" spans="1:16" x14ac:dyDescent="0.25">
      <c r="A860" s="676"/>
      <c r="B860" s="864" t="s">
        <v>330</v>
      </c>
      <c r="C860" s="864"/>
      <c r="D860" s="864"/>
      <c r="E860" s="864"/>
      <c r="F860" s="864" t="s">
        <v>129</v>
      </c>
      <c r="G860" s="864"/>
      <c r="H860" s="864"/>
      <c r="I860" s="864"/>
      <c r="J860" s="864" t="s">
        <v>129</v>
      </c>
      <c r="K860" s="864"/>
      <c r="L860" s="864"/>
      <c r="M860" s="864"/>
      <c r="N860" s="864"/>
      <c r="O860" s="864"/>
      <c r="P860" s="864"/>
    </row>
    <row r="861" spans="1:16" x14ac:dyDescent="0.25">
      <c r="A861" s="675"/>
      <c r="B861" s="865" t="s">
        <v>1028</v>
      </c>
      <c r="C861" s="865"/>
      <c r="D861" s="865"/>
      <c r="E861" s="865"/>
      <c r="F861" s="865" t="s">
        <v>2713</v>
      </c>
      <c r="G861" s="865"/>
      <c r="H861" s="865"/>
      <c r="I861" s="865"/>
      <c r="J861" s="865" t="s">
        <v>129</v>
      </c>
      <c r="K861" s="865"/>
      <c r="L861" s="865"/>
      <c r="M861" s="865"/>
      <c r="N861" s="865"/>
      <c r="O861" s="865"/>
      <c r="P861" s="865"/>
    </row>
    <row r="862" spans="1:16" ht="27.2" customHeight="1" x14ac:dyDescent="0.25">
      <c r="A862" s="675"/>
      <c r="B862" s="865" t="s">
        <v>1082</v>
      </c>
      <c r="C862" s="865"/>
      <c r="D862" s="865"/>
      <c r="E862" s="865"/>
      <c r="F862" s="865" t="s">
        <v>2712</v>
      </c>
      <c r="G862" s="865"/>
      <c r="H862" s="865"/>
      <c r="I862" s="865"/>
      <c r="J862" s="865" t="s">
        <v>129</v>
      </c>
      <c r="K862" s="865"/>
      <c r="L862" s="865"/>
      <c r="M862" s="865"/>
      <c r="N862" s="865"/>
      <c r="O862" s="865"/>
      <c r="P862" s="865"/>
    </row>
    <row r="863" spans="1:16" x14ac:dyDescent="0.25">
      <c r="A863" s="675"/>
      <c r="B863" s="865" t="s">
        <v>1083</v>
      </c>
      <c r="C863" s="865"/>
      <c r="D863" s="865"/>
      <c r="E863" s="865"/>
      <c r="F863" s="865" t="s">
        <v>2711</v>
      </c>
      <c r="G863" s="865"/>
      <c r="H863" s="865"/>
      <c r="I863" s="865"/>
      <c r="J863" s="865" t="s">
        <v>129</v>
      </c>
      <c r="K863" s="865"/>
      <c r="L863" s="865"/>
      <c r="M863" s="865"/>
      <c r="N863" s="865"/>
      <c r="O863" s="865"/>
      <c r="P863" s="865"/>
    </row>
    <row r="864" spans="1:16" ht="27.2" customHeight="1" x14ac:dyDescent="0.25">
      <c r="A864" s="675"/>
      <c r="B864" s="865" t="s">
        <v>1084</v>
      </c>
      <c r="C864" s="865"/>
      <c r="D864" s="865"/>
      <c r="E864" s="865"/>
      <c r="F864" s="865" t="s">
        <v>2710</v>
      </c>
      <c r="G864" s="865"/>
      <c r="H864" s="865"/>
      <c r="I864" s="865"/>
      <c r="J864" s="865" t="s">
        <v>129</v>
      </c>
      <c r="K864" s="865"/>
      <c r="L864" s="865"/>
      <c r="M864" s="865"/>
      <c r="N864" s="865"/>
      <c r="O864" s="865"/>
      <c r="P864" s="865"/>
    </row>
    <row r="865" spans="1:16" ht="81.599999999999994" customHeight="1" x14ac:dyDescent="0.25">
      <c r="A865" s="675"/>
      <c r="B865" s="865" t="s">
        <v>1085</v>
      </c>
      <c r="C865" s="865"/>
      <c r="D865" s="865"/>
      <c r="E865" s="865"/>
      <c r="F865" s="865" t="s">
        <v>2709</v>
      </c>
      <c r="G865" s="865"/>
      <c r="H865" s="865"/>
      <c r="I865" s="865"/>
      <c r="J865" s="865" t="s">
        <v>129</v>
      </c>
      <c r="K865" s="865"/>
      <c r="L865" s="865"/>
      <c r="M865" s="865"/>
      <c r="N865" s="865"/>
      <c r="O865" s="865"/>
      <c r="P865" s="865"/>
    </row>
    <row r="866" spans="1:16" ht="27.2" customHeight="1" x14ac:dyDescent="0.25">
      <c r="A866" s="675"/>
      <c r="B866" s="865" t="s">
        <v>1033</v>
      </c>
      <c r="C866" s="865"/>
      <c r="D866" s="865"/>
      <c r="E866" s="865"/>
      <c r="F866" s="865" t="s">
        <v>2708</v>
      </c>
      <c r="G866" s="865"/>
      <c r="H866" s="865"/>
      <c r="I866" s="865"/>
      <c r="J866" s="865" t="s">
        <v>129</v>
      </c>
      <c r="K866" s="865"/>
      <c r="L866" s="865"/>
      <c r="M866" s="865"/>
      <c r="N866" s="865"/>
      <c r="O866" s="865"/>
      <c r="P866" s="865"/>
    </row>
    <row r="867" spans="1:16" ht="27.2" customHeight="1" x14ac:dyDescent="0.25">
      <c r="A867" s="675"/>
      <c r="B867" s="865" t="s">
        <v>1087</v>
      </c>
      <c r="C867" s="865"/>
      <c r="D867" s="865"/>
      <c r="E867" s="865"/>
      <c r="F867" s="865" t="s">
        <v>2707</v>
      </c>
      <c r="G867" s="865"/>
      <c r="H867" s="865"/>
      <c r="I867" s="865"/>
      <c r="J867" s="865" t="s">
        <v>129</v>
      </c>
      <c r="K867" s="865"/>
      <c r="L867" s="865"/>
      <c r="M867" s="865"/>
      <c r="N867" s="865"/>
      <c r="O867" s="865"/>
      <c r="P867" s="865"/>
    </row>
    <row r="868" spans="1:16" ht="27.2" customHeight="1" x14ac:dyDescent="0.25">
      <c r="A868" s="675"/>
      <c r="B868" s="865" t="s">
        <v>1088</v>
      </c>
      <c r="C868" s="865"/>
      <c r="D868" s="865"/>
      <c r="E868" s="865"/>
      <c r="F868" s="865" t="s">
        <v>2707</v>
      </c>
      <c r="G868" s="865"/>
      <c r="H868" s="865"/>
      <c r="I868" s="865"/>
      <c r="J868" s="865" t="s">
        <v>129</v>
      </c>
      <c r="K868" s="865"/>
      <c r="L868" s="865"/>
      <c r="M868" s="865"/>
      <c r="N868" s="865"/>
      <c r="O868" s="865"/>
      <c r="P868" s="865"/>
    </row>
    <row r="869" spans="1:16" ht="27.2" customHeight="1" x14ac:dyDescent="0.25">
      <c r="A869" s="675"/>
      <c r="B869" s="865" t="s">
        <v>1038</v>
      </c>
      <c r="C869" s="865"/>
      <c r="D869" s="865"/>
      <c r="E869" s="865"/>
      <c r="F869" s="865" t="s">
        <v>2706</v>
      </c>
      <c r="G869" s="865"/>
      <c r="H869" s="865"/>
      <c r="I869" s="865"/>
      <c r="J869" s="865" t="s">
        <v>129</v>
      </c>
      <c r="K869" s="865"/>
      <c r="L869" s="865"/>
      <c r="M869" s="865"/>
      <c r="N869" s="865"/>
      <c r="O869" s="865"/>
      <c r="P869" s="865"/>
    </row>
    <row r="870" spans="1:16" x14ac:dyDescent="0.25">
      <c r="A870" s="675"/>
      <c r="B870" s="865" t="s">
        <v>1170</v>
      </c>
      <c r="C870" s="865"/>
      <c r="D870" s="865"/>
      <c r="E870" s="865"/>
      <c r="F870" s="865" t="s">
        <v>2705</v>
      </c>
      <c r="G870" s="865"/>
      <c r="H870" s="865"/>
      <c r="I870" s="865"/>
      <c r="J870" s="865" t="s">
        <v>129</v>
      </c>
      <c r="K870" s="865"/>
      <c r="L870" s="865"/>
      <c r="M870" s="865"/>
      <c r="N870" s="865"/>
      <c r="O870" s="865"/>
      <c r="P870" s="865"/>
    </row>
    <row r="871" spans="1:16" ht="204" customHeight="1" x14ac:dyDescent="0.25">
      <c r="A871" s="674" t="s">
        <v>95</v>
      </c>
      <c r="B871" s="781" t="s">
        <v>1369</v>
      </c>
      <c r="C871" s="782"/>
      <c r="D871" s="782"/>
      <c r="E871" s="782"/>
      <c r="F871" s="782" t="s">
        <v>1370</v>
      </c>
      <c r="G871" s="782"/>
      <c r="H871" s="782"/>
      <c r="I871" s="782"/>
      <c r="J871" s="782" t="s">
        <v>2704</v>
      </c>
      <c r="K871" s="782"/>
      <c r="L871" s="782"/>
      <c r="M871" s="866">
        <f>ROUND(1094000 * 1 * 1.68 * 0.6 * 0.9 * 0.35 * 1.27789, 0)</f>
        <v>443897</v>
      </c>
      <c r="N871" s="782"/>
      <c r="O871" s="782" t="s">
        <v>2112</v>
      </c>
      <c r="P871" s="782"/>
    </row>
    <row r="872" spans="1:16" x14ac:dyDescent="0.25">
      <c r="A872" s="676"/>
      <c r="B872" s="864" t="s">
        <v>306</v>
      </c>
      <c r="C872" s="864"/>
      <c r="D872" s="864"/>
      <c r="E872" s="864"/>
      <c r="F872" s="864" t="s">
        <v>129</v>
      </c>
      <c r="G872" s="864"/>
      <c r="H872" s="864"/>
      <c r="I872" s="864"/>
      <c r="J872" s="864" t="s">
        <v>129</v>
      </c>
      <c r="K872" s="864"/>
      <c r="L872" s="864"/>
      <c r="M872" s="864"/>
      <c r="N872" s="864"/>
      <c r="O872" s="864"/>
      <c r="P872" s="864"/>
    </row>
    <row r="873" spans="1:16" x14ac:dyDescent="0.25">
      <c r="A873" s="675"/>
      <c r="B873" s="865" t="s">
        <v>507</v>
      </c>
      <c r="C873" s="865"/>
      <c r="D873" s="865"/>
      <c r="E873" s="865"/>
      <c r="F873" s="865" t="s">
        <v>508</v>
      </c>
      <c r="G873" s="865"/>
      <c r="H873" s="865"/>
      <c r="I873" s="865"/>
      <c r="J873" s="865" t="s">
        <v>129</v>
      </c>
      <c r="K873" s="865"/>
      <c r="L873" s="865"/>
      <c r="M873" s="865"/>
      <c r="N873" s="865"/>
      <c r="O873" s="865"/>
      <c r="P873" s="865"/>
    </row>
    <row r="874" spans="1:16" ht="40.9" customHeight="1" x14ac:dyDescent="0.25">
      <c r="A874" s="675"/>
      <c r="B874" s="865" t="s">
        <v>331</v>
      </c>
      <c r="C874" s="865"/>
      <c r="D874" s="865"/>
      <c r="E874" s="865"/>
      <c r="F874" s="865" t="s">
        <v>332</v>
      </c>
      <c r="G874" s="865"/>
      <c r="H874" s="865"/>
      <c r="I874" s="865"/>
      <c r="J874" s="865" t="s">
        <v>129</v>
      </c>
      <c r="K874" s="865"/>
      <c r="L874" s="865"/>
      <c r="M874" s="865"/>
      <c r="N874" s="865"/>
      <c r="O874" s="865"/>
      <c r="P874" s="865"/>
    </row>
    <row r="875" spans="1:16" ht="108.75" customHeight="1" x14ac:dyDescent="0.25">
      <c r="A875" s="675"/>
      <c r="B875" s="865" t="s">
        <v>1809</v>
      </c>
      <c r="C875" s="865"/>
      <c r="D875" s="865"/>
      <c r="E875" s="865"/>
      <c r="F875" s="865" t="s">
        <v>1810</v>
      </c>
      <c r="G875" s="865"/>
      <c r="H875" s="865"/>
      <c r="I875" s="865"/>
      <c r="J875" s="865" t="s">
        <v>129</v>
      </c>
      <c r="K875" s="865"/>
      <c r="L875" s="865"/>
      <c r="M875" s="865"/>
      <c r="N875" s="865"/>
      <c r="O875" s="865"/>
      <c r="P875" s="865"/>
    </row>
    <row r="876" spans="1:16" ht="135.94999999999999" customHeight="1" x14ac:dyDescent="0.25">
      <c r="A876" s="675"/>
      <c r="B876" s="865" t="s">
        <v>1371</v>
      </c>
      <c r="C876" s="865"/>
      <c r="D876" s="865"/>
      <c r="E876" s="865"/>
      <c r="F876" s="865" t="s">
        <v>2446</v>
      </c>
      <c r="G876" s="865"/>
      <c r="H876" s="865"/>
      <c r="I876" s="865"/>
      <c r="J876" s="865" t="s">
        <v>129</v>
      </c>
      <c r="K876" s="865"/>
      <c r="L876" s="865"/>
      <c r="M876" s="865"/>
      <c r="N876" s="865"/>
      <c r="O876" s="865"/>
      <c r="P876" s="865"/>
    </row>
    <row r="877" spans="1:16" ht="149.65" customHeight="1" x14ac:dyDescent="0.25">
      <c r="A877" s="675"/>
      <c r="B877" s="865" t="s">
        <v>329</v>
      </c>
      <c r="C877" s="865"/>
      <c r="D877" s="865"/>
      <c r="E877" s="865"/>
      <c r="F877" s="865" t="s">
        <v>2445</v>
      </c>
      <c r="G877" s="865"/>
      <c r="H877" s="865"/>
      <c r="I877" s="865"/>
      <c r="J877" s="865" t="s">
        <v>129</v>
      </c>
      <c r="K877" s="865"/>
      <c r="L877" s="865"/>
      <c r="M877" s="865"/>
      <c r="N877" s="865"/>
      <c r="O877" s="865"/>
      <c r="P877" s="865"/>
    </row>
    <row r="878" spans="1:16" x14ac:dyDescent="0.25">
      <c r="A878" s="676"/>
      <c r="B878" s="864" t="s">
        <v>330</v>
      </c>
      <c r="C878" s="864"/>
      <c r="D878" s="864"/>
      <c r="E878" s="864"/>
      <c r="F878" s="864" t="s">
        <v>129</v>
      </c>
      <c r="G878" s="864"/>
      <c r="H878" s="864"/>
      <c r="I878" s="864"/>
      <c r="J878" s="864" t="s">
        <v>129</v>
      </c>
      <c r="K878" s="864"/>
      <c r="L878" s="864"/>
      <c r="M878" s="864"/>
      <c r="N878" s="864"/>
      <c r="O878" s="864"/>
      <c r="P878" s="864"/>
    </row>
    <row r="879" spans="1:16" x14ac:dyDescent="0.25">
      <c r="A879" s="675"/>
      <c r="B879" s="865" t="s">
        <v>1028</v>
      </c>
      <c r="C879" s="865"/>
      <c r="D879" s="865"/>
      <c r="E879" s="865"/>
      <c r="F879" s="865" t="s">
        <v>2703</v>
      </c>
      <c r="G879" s="865"/>
      <c r="H879" s="865"/>
      <c r="I879" s="865"/>
      <c r="J879" s="865" t="s">
        <v>129</v>
      </c>
      <c r="K879" s="865"/>
      <c r="L879" s="865"/>
      <c r="M879" s="865"/>
      <c r="N879" s="865"/>
      <c r="O879" s="865"/>
      <c r="P879" s="865"/>
    </row>
    <row r="880" spans="1:16" ht="27.2" customHeight="1" x14ac:dyDescent="0.25">
      <c r="A880" s="675"/>
      <c r="B880" s="865" t="s">
        <v>1082</v>
      </c>
      <c r="C880" s="865"/>
      <c r="D880" s="865"/>
      <c r="E880" s="865"/>
      <c r="F880" s="865" t="s">
        <v>2702</v>
      </c>
      <c r="G880" s="865"/>
      <c r="H880" s="865"/>
      <c r="I880" s="865"/>
      <c r="J880" s="865" t="s">
        <v>129</v>
      </c>
      <c r="K880" s="865"/>
      <c r="L880" s="865"/>
      <c r="M880" s="865"/>
      <c r="N880" s="865"/>
      <c r="O880" s="865"/>
      <c r="P880" s="865"/>
    </row>
    <row r="881" spans="1:16" x14ac:dyDescent="0.25">
      <c r="A881" s="675"/>
      <c r="B881" s="865" t="s">
        <v>1083</v>
      </c>
      <c r="C881" s="865"/>
      <c r="D881" s="865"/>
      <c r="E881" s="865"/>
      <c r="F881" s="865" t="s">
        <v>2701</v>
      </c>
      <c r="G881" s="865"/>
      <c r="H881" s="865"/>
      <c r="I881" s="865"/>
      <c r="J881" s="865" t="s">
        <v>129</v>
      </c>
      <c r="K881" s="865"/>
      <c r="L881" s="865"/>
      <c r="M881" s="865"/>
      <c r="N881" s="865"/>
      <c r="O881" s="865"/>
      <c r="P881" s="865"/>
    </row>
    <row r="882" spans="1:16" ht="27.2" customHeight="1" x14ac:dyDescent="0.25">
      <c r="A882" s="675"/>
      <c r="B882" s="865" t="s">
        <v>1084</v>
      </c>
      <c r="C882" s="865"/>
      <c r="D882" s="865"/>
      <c r="E882" s="865"/>
      <c r="F882" s="865" t="s">
        <v>2700</v>
      </c>
      <c r="G882" s="865"/>
      <c r="H882" s="865"/>
      <c r="I882" s="865"/>
      <c r="J882" s="865" t="s">
        <v>129</v>
      </c>
      <c r="K882" s="865"/>
      <c r="L882" s="865"/>
      <c r="M882" s="865"/>
      <c r="N882" s="865"/>
      <c r="O882" s="865"/>
      <c r="P882" s="865"/>
    </row>
    <row r="883" spans="1:16" ht="81.599999999999994" customHeight="1" x14ac:dyDescent="0.25">
      <c r="A883" s="675"/>
      <c r="B883" s="865" t="s">
        <v>1085</v>
      </c>
      <c r="C883" s="865"/>
      <c r="D883" s="865"/>
      <c r="E883" s="865"/>
      <c r="F883" s="865" t="s">
        <v>2699</v>
      </c>
      <c r="G883" s="865"/>
      <c r="H883" s="865"/>
      <c r="I883" s="865"/>
      <c r="J883" s="865" t="s">
        <v>129</v>
      </c>
      <c r="K883" s="865"/>
      <c r="L883" s="865"/>
      <c r="M883" s="865"/>
      <c r="N883" s="865"/>
      <c r="O883" s="865"/>
      <c r="P883" s="865"/>
    </row>
    <row r="884" spans="1:16" ht="27.2" customHeight="1" x14ac:dyDescent="0.25">
      <c r="A884" s="675"/>
      <c r="B884" s="865" t="s">
        <v>1033</v>
      </c>
      <c r="C884" s="865"/>
      <c r="D884" s="865"/>
      <c r="E884" s="865"/>
      <c r="F884" s="865" t="s">
        <v>2698</v>
      </c>
      <c r="G884" s="865"/>
      <c r="H884" s="865"/>
      <c r="I884" s="865"/>
      <c r="J884" s="865" t="s">
        <v>129</v>
      </c>
      <c r="K884" s="865"/>
      <c r="L884" s="865"/>
      <c r="M884" s="865"/>
      <c r="N884" s="865"/>
      <c r="O884" s="865"/>
      <c r="P884" s="865"/>
    </row>
    <row r="885" spans="1:16" ht="27.2" customHeight="1" x14ac:dyDescent="0.25">
      <c r="A885" s="675"/>
      <c r="B885" s="865" t="s">
        <v>1087</v>
      </c>
      <c r="C885" s="865"/>
      <c r="D885" s="865"/>
      <c r="E885" s="865"/>
      <c r="F885" s="865" t="s">
        <v>2697</v>
      </c>
      <c r="G885" s="865"/>
      <c r="H885" s="865"/>
      <c r="I885" s="865"/>
      <c r="J885" s="865" t="s">
        <v>129</v>
      </c>
      <c r="K885" s="865"/>
      <c r="L885" s="865"/>
      <c r="M885" s="865"/>
      <c r="N885" s="865"/>
      <c r="O885" s="865"/>
      <c r="P885" s="865"/>
    </row>
    <row r="886" spans="1:16" ht="27.2" customHeight="1" x14ac:dyDescent="0.25">
      <c r="A886" s="675"/>
      <c r="B886" s="865" t="s">
        <v>1088</v>
      </c>
      <c r="C886" s="865"/>
      <c r="D886" s="865"/>
      <c r="E886" s="865"/>
      <c r="F886" s="865" t="s">
        <v>2697</v>
      </c>
      <c r="G886" s="865"/>
      <c r="H886" s="865"/>
      <c r="I886" s="865"/>
      <c r="J886" s="865" t="s">
        <v>129</v>
      </c>
      <c r="K886" s="865"/>
      <c r="L886" s="865"/>
      <c r="M886" s="865"/>
      <c r="N886" s="865"/>
      <c r="O886" s="865"/>
      <c r="P886" s="865"/>
    </row>
    <row r="887" spans="1:16" ht="27.2" customHeight="1" x14ac:dyDescent="0.25">
      <c r="A887" s="675"/>
      <c r="B887" s="865" t="s">
        <v>1038</v>
      </c>
      <c r="C887" s="865"/>
      <c r="D887" s="865"/>
      <c r="E887" s="865"/>
      <c r="F887" s="865" t="s">
        <v>2696</v>
      </c>
      <c r="G887" s="865"/>
      <c r="H887" s="865"/>
      <c r="I887" s="865"/>
      <c r="J887" s="865" t="s">
        <v>129</v>
      </c>
      <c r="K887" s="865"/>
      <c r="L887" s="865"/>
      <c r="M887" s="865"/>
      <c r="N887" s="865"/>
      <c r="O887" s="865"/>
      <c r="P887" s="865"/>
    </row>
    <row r="888" spans="1:16" x14ac:dyDescent="0.25">
      <c r="A888" s="675"/>
      <c r="B888" s="865" t="s">
        <v>1170</v>
      </c>
      <c r="C888" s="865"/>
      <c r="D888" s="865"/>
      <c r="E888" s="865"/>
      <c r="F888" s="865" t="s">
        <v>2695</v>
      </c>
      <c r="G888" s="865"/>
      <c r="H888" s="865"/>
      <c r="I888" s="865"/>
      <c r="J888" s="865" t="s">
        <v>129</v>
      </c>
      <c r="K888" s="865"/>
      <c r="L888" s="865"/>
      <c r="M888" s="865"/>
      <c r="N888" s="865"/>
      <c r="O888" s="865"/>
      <c r="P888" s="865"/>
    </row>
    <row r="889" spans="1:16" ht="54.4" customHeight="1" x14ac:dyDescent="0.25">
      <c r="A889" s="673" t="s">
        <v>162</v>
      </c>
      <c r="B889" s="780" t="s">
        <v>1372</v>
      </c>
      <c r="C889" s="780"/>
      <c r="D889" s="780"/>
      <c r="E889" s="780"/>
      <c r="F889" s="780"/>
      <c r="G889" s="780"/>
      <c r="H889" s="780"/>
      <c r="I889" s="780"/>
      <c r="J889" s="780" t="s">
        <v>129</v>
      </c>
      <c r="K889" s="780"/>
      <c r="L889" s="780"/>
      <c r="M889" s="791">
        <f>ROUND(SUM($M$832:$M$871),0)</f>
        <v>6600713</v>
      </c>
      <c r="N889" s="780"/>
      <c r="O889" s="780"/>
      <c r="P889" s="780"/>
    </row>
    <row r="890" spans="1:16" ht="54.4" customHeight="1" x14ac:dyDescent="0.25">
      <c r="A890" s="673" t="s">
        <v>163</v>
      </c>
      <c r="B890" s="780" t="s">
        <v>1373</v>
      </c>
      <c r="C890" s="780"/>
      <c r="D890" s="780"/>
      <c r="E890" s="780"/>
      <c r="F890" s="780"/>
      <c r="G890" s="780"/>
      <c r="H890" s="780"/>
      <c r="I890" s="780"/>
      <c r="J890" s="780" t="s">
        <v>129</v>
      </c>
      <c r="K890" s="780"/>
      <c r="L890" s="780"/>
      <c r="M890" s="791">
        <f>ROUND(($M$889),0)</f>
        <v>6600713</v>
      </c>
      <c r="N890" s="780"/>
      <c r="O890" s="780"/>
      <c r="P890" s="780"/>
    </row>
    <row r="891" spans="1:16" x14ac:dyDescent="0.25">
      <c r="A891" s="673" t="s">
        <v>12</v>
      </c>
      <c r="B891" s="780" t="s">
        <v>362</v>
      </c>
      <c r="C891" s="780"/>
      <c r="D891" s="780"/>
      <c r="E891" s="780"/>
      <c r="F891" s="780"/>
      <c r="G891" s="780"/>
      <c r="H891" s="780"/>
      <c r="I891" s="780"/>
      <c r="J891" s="780" t="s">
        <v>129</v>
      </c>
      <c r="K891" s="780"/>
      <c r="L891" s="780"/>
      <c r="M891" s="791">
        <f>ROUND($M$334+$M$830+$M$890,0)</f>
        <v>23469932</v>
      </c>
      <c r="N891" s="780"/>
      <c r="O891" s="780"/>
      <c r="P891" s="780"/>
    </row>
    <row r="892" spans="1:16" x14ac:dyDescent="0.25">
      <c r="A892" s="673" t="s">
        <v>13</v>
      </c>
      <c r="B892" s="780" t="s">
        <v>363</v>
      </c>
      <c r="C892" s="780"/>
      <c r="D892" s="780"/>
      <c r="E892" s="780"/>
      <c r="F892" s="780"/>
      <c r="G892" s="780"/>
      <c r="H892" s="780"/>
      <c r="I892" s="780"/>
      <c r="J892" s="780" t="s">
        <v>129</v>
      </c>
      <c r="K892" s="780"/>
      <c r="L892" s="780"/>
      <c r="M892" s="791">
        <f>ROUND(($M$891),0)</f>
        <v>23469932</v>
      </c>
      <c r="N892" s="780"/>
      <c r="O892" s="780"/>
      <c r="P892" s="780"/>
    </row>
    <row r="894" spans="1:16" ht="30" customHeight="1" x14ac:dyDescent="0.25">
      <c r="A894" s="767" t="s">
        <v>364</v>
      </c>
      <c r="B894" s="767"/>
      <c r="C894" s="767"/>
      <c r="D894" s="767"/>
      <c r="E894" s="767"/>
      <c r="F894" s="793">
        <f>$M$892</f>
        <v>23469932</v>
      </c>
      <c r="G894" s="793"/>
      <c r="H894" s="793"/>
      <c r="I894" s="793"/>
      <c r="J894" s="793"/>
      <c r="K894" s="793"/>
      <c r="L894" s="793"/>
      <c r="M894" s="793"/>
      <c r="N894" s="793"/>
      <c r="O894" s="793"/>
      <c r="P894" s="793"/>
    </row>
    <row r="896" spans="1:16" x14ac:dyDescent="0.25">
      <c r="A896" s="767" t="s">
        <v>501</v>
      </c>
      <c r="B896" s="767"/>
      <c r="C896" s="767"/>
      <c r="D896" s="767"/>
      <c r="E896" s="767"/>
      <c r="F896" s="867"/>
      <c r="G896" s="867"/>
      <c r="H896" s="867"/>
      <c r="I896" s="867"/>
      <c r="J896" s="867"/>
      <c r="K896" s="867"/>
      <c r="L896" s="867"/>
      <c r="M896" s="867"/>
      <c r="N896" s="867"/>
      <c r="O896" s="867"/>
      <c r="P896" s="867"/>
    </row>
    <row r="897" spans="1:16" x14ac:dyDescent="0.25">
      <c r="F897" s="766" t="s">
        <v>502</v>
      </c>
      <c r="G897" s="766"/>
      <c r="H897" s="766"/>
      <c r="I897" s="766"/>
      <c r="J897" s="766"/>
      <c r="K897" s="766"/>
      <c r="L897" s="766"/>
      <c r="M897" s="766"/>
      <c r="N897" s="766"/>
      <c r="O897" s="766"/>
      <c r="P897" s="766"/>
    </row>
    <row r="899" spans="1:16" x14ac:dyDescent="0.25">
      <c r="A899" s="767" t="s">
        <v>503</v>
      </c>
      <c r="B899" s="767"/>
      <c r="C899" s="767"/>
      <c r="D899" s="767"/>
      <c r="E899" s="767"/>
      <c r="F899" s="867"/>
      <c r="G899" s="867"/>
      <c r="H899" s="867"/>
      <c r="I899" s="867"/>
      <c r="J899" s="867"/>
      <c r="K899" s="867"/>
      <c r="L899" s="867"/>
      <c r="M899" s="867"/>
      <c r="N899" s="867"/>
      <c r="O899" s="867"/>
      <c r="P899" s="867"/>
    </row>
    <row r="900" spans="1:16" x14ac:dyDescent="0.25">
      <c r="F900" s="766" t="s">
        <v>502</v>
      </c>
      <c r="G900" s="766"/>
      <c r="H900" s="766"/>
      <c r="I900" s="766"/>
      <c r="J900" s="766"/>
      <c r="K900" s="766"/>
      <c r="L900" s="766"/>
      <c r="M900" s="766"/>
      <c r="N900" s="766"/>
      <c r="O900" s="766"/>
      <c r="P900" s="766"/>
    </row>
    <row r="902" spans="1:16" x14ac:dyDescent="0.25">
      <c r="A902" s="767" t="s">
        <v>504</v>
      </c>
      <c r="B902" s="767"/>
      <c r="C902" s="767"/>
      <c r="D902" s="767"/>
      <c r="E902" s="767"/>
      <c r="F902" s="867"/>
      <c r="G902" s="867"/>
      <c r="H902" s="867"/>
      <c r="I902" s="867"/>
      <c r="J902" s="671" t="s">
        <v>505</v>
      </c>
      <c r="K902" s="867"/>
      <c r="L902" s="867"/>
      <c r="M902" s="867"/>
      <c r="N902" s="867"/>
      <c r="O902" s="867"/>
      <c r="P902" s="867"/>
    </row>
    <row r="903" spans="1:16" x14ac:dyDescent="0.25">
      <c r="F903" s="766" t="s">
        <v>506</v>
      </c>
      <c r="G903" s="766"/>
      <c r="H903" s="766"/>
      <c r="I903" s="766"/>
      <c r="K903" s="766" t="s">
        <v>502</v>
      </c>
      <c r="L903" s="766"/>
      <c r="M903" s="766"/>
      <c r="N903" s="766"/>
      <c r="O903" s="766"/>
      <c r="P903" s="766"/>
    </row>
    <row r="905" spans="1:16" x14ac:dyDescent="0.25">
      <c r="A905" s="767" t="s">
        <v>145</v>
      </c>
      <c r="B905" s="767"/>
      <c r="C905" s="767"/>
      <c r="D905" s="767"/>
      <c r="E905" s="767"/>
      <c r="F905" s="867"/>
      <c r="G905" s="867"/>
      <c r="H905" s="867"/>
      <c r="I905" s="867"/>
      <c r="J905" s="867"/>
      <c r="K905" s="867"/>
      <c r="L905" s="867"/>
      <c r="M905" s="867"/>
      <c r="N905" s="867"/>
      <c r="O905" s="867"/>
      <c r="P905" s="867"/>
    </row>
    <row r="906" spans="1:16" x14ac:dyDescent="0.25">
      <c r="F906" s="766" t="s">
        <v>502</v>
      </c>
      <c r="G906" s="766"/>
      <c r="H906" s="766"/>
      <c r="I906" s="766"/>
      <c r="J906" s="766"/>
      <c r="K906" s="766"/>
      <c r="L906" s="766"/>
      <c r="M906" s="766"/>
      <c r="N906" s="766"/>
      <c r="O906" s="766"/>
      <c r="P906" s="766"/>
    </row>
  </sheetData>
  <mergeCells count="4410">
    <mergeCell ref="J892:L892"/>
    <mergeCell ref="M892:N892"/>
    <mergeCell ref="O892:P892"/>
    <mergeCell ref="A894:E894"/>
    <mergeCell ref="F894:P894"/>
    <mergeCell ref="A896:E896"/>
    <mergeCell ref="F896:P896"/>
    <mergeCell ref="B890:E890"/>
    <mergeCell ref="F890:I890"/>
    <mergeCell ref="J890:L890"/>
    <mergeCell ref="M890:N890"/>
    <mergeCell ref="O890:P890"/>
    <mergeCell ref="A905:E905"/>
    <mergeCell ref="F905:P905"/>
    <mergeCell ref="F906:P906"/>
    <mergeCell ref="B891:E891"/>
    <mergeCell ref="F891:I891"/>
    <mergeCell ref="J891:L891"/>
    <mergeCell ref="M891:N891"/>
    <mergeCell ref="O891:P891"/>
    <mergeCell ref="B892:E892"/>
    <mergeCell ref="F892:I892"/>
    <mergeCell ref="F900:P900"/>
    <mergeCell ref="A902:E902"/>
    <mergeCell ref="F902:I902"/>
    <mergeCell ref="F903:I903"/>
    <mergeCell ref="K902:P902"/>
    <mergeCell ref="K903:P903"/>
    <mergeCell ref="F897:P897"/>
    <mergeCell ref="A899:E899"/>
    <mergeCell ref="F899:P899"/>
    <mergeCell ref="J888:L888"/>
    <mergeCell ref="M888:N888"/>
    <mergeCell ref="O888:P888"/>
    <mergeCell ref="B889:E889"/>
    <mergeCell ref="F889:I889"/>
    <mergeCell ref="J889:L889"/>
    <mergeCell ref="M889:N889"/>
    <mergeCell ref="O889:P889"/>
    <mergeCell ref="B886:E886"/>
    <mergeCell ref="F886:I886"/>
    <mergeCell ref="J886:L886"/>
    <mergeCell ref="M886:N886"/>
    <mergeCell ref="O886:P886"/>
    <mergeCell ref="B887:E887"/>
    <mergeCell ref="F887:I887"/>
    <mergeCell ref="J887:L887"/>
    <mergeCell ref="M887:N887"/>
    <mergeCell ref="O887:P887"/>
    <mergeCell ref="B888:E888"/>
    <mergeCell ref="F888:I888"/>
    <mergeCell ref="B884:E884"/>
    <mergeCell ref="F884:I884"/>
    <mergeCell ref="J884:L884"/>
    <mergeCell ref="M884:N884"/>
    <mergeCell ref="O884:P884"/>
    <mergeCell ref="B885:E885"/>
    <mergeCell ref="F885:I885"/>
    <mergeCell ref="J885:L885"/>
    <mergeCell ref="M885:N885"/>
    <mergeCell ref="O885:P885"/>
    <mergeCell ref="B882:E882"/>
    <mergeCell ref="F882:I882"/>
    <mergeCell ref="J882:L882"/>
    <mergeCell ref="M882:N882"/>
    <mergeCell ref="O882:P882"/>
    <mergeCell ref="B883:E883"/>
    <mergeCell ref="F883:I883"/>
    <mergeCell ref="J883:L883"/>
    <mergeCell ref="M883:N883"/>
    <mergeCell ref="O883:P883"/>
    <mergeCell ref="B880:E880"/>
    <mergeCell ref="F880:I880"/>
    <mergeCell ref="J880:L880"/>
    <mergeCell ref="M880:N880"/>
    <mergeCell ref="O880:P880"/>
    <mergeCell ref="B881:E881"/>
    <mergeCell ref="F881:I881"/>
    <mergeCell ref="J881:L881"/>
    <mergeCell ref="M881:N881"/>
    <mergeCell ref="O881:P881"/>
    <mergeCell ref="B878:E878"/>
    <mergeCell ref="F878:I878"/>
    <mergeCell ref="J878:L878"/>
    <mergeCell ref="M878:N878"/>
    <mergeCell ref="O878:P878"/>
    <mergeCell ref="B879:E879"/>
    <mergeCell ref="F879:I879"/>
    <mergeCell ref="J879:L879"/>
    <mergeCell ref="M879:N879"/>
    <mergeCell ref="O879:P879"/>
    <mergeCell ref="B876:E876"/>
    <mergeCell ref="F876:I876"/>
    <mergeCell ref="J876:L876"/>
    <mergeCell ref="M876:N876"/>
    <mergeCell ref="O876:P876"/>
    <mergeCell ref="B877:E877"/>
    <mergeCell ref="F877:I877"/>
    <mergeCell ref="J877:L877"/>
    <mergeCell ref="M877:N877"/>
    <mergeCell ref="O877:P877"/>
    <mergeCell ref="B874:E874"/>
    <mergeCell ref="F874:I874"/>
    <mergeCell ref="J874:L874"/>
    <mergeCell ref="M874:N874"/>
    <mergeCell ref="O874:P874"/>
    <mergeCell ref="B875:E875"/>
    <mergeCell ref="F875:I875"/>
    <mergeCell ref="J875:L875"/>
    <mergeCell ref="M875:N875"/>
    <mergeCell ref="O875:P875"/>
    <mergeCell ref="B872:E872"/>
    <mergeCell ref="F872:I872"/>
    <mergeCell ref="J872:L872"/>
    <mergeCell ref="M872:N872"/>
    <mergeCell ref="O872:P872"/>
    <mergeCell ref="B873:E873"/>
    <mergeCell ref="F873:I873"/>
    <mergeCell ref="J873:L873"/>
    <mergeCell ref="M873:N873"/>
    <mergeCell ref="O873:P873"/>
    <mergeCell ref="B870:E870"/>
    <mergeCell ref="F870:I870"/>
    <mergeCell ref="J870:L870"/>
    <mergeCell ref="M870:N870"/>
    <mergeCell ref="O870:P870"/>
    <mergeCell ref="B871:E871"/>
    <mergeCell ref="F871:I871"/>
    <mergeCell ref="J871:L871"/>
    <mergeCell ref="M871:N871"/>
    <mergeCell ref="O871:P871"/>
    <mergeCell ref="B868:E868"/>
    <mergeCell ref="F868:I868"/>
    <mergeCell ref="J868:L868"/>
    <mergeCell ref="M868:N868"/>
    <mergeCell ref="O868:P868"/>
    <mergeCell ref="B869:E869"/>
    <mergeCell ref="F869:I869"/>
    <mergeCell ref="J869:L869"/>
    <mergeCell ref="M869:N869"/>
    <mergeCell ref="O869:P869"/>
    <mergeCell ref="B866:E866"/>
    <mergeCell ref="F866:I866"/>
    <mergeCell ref="J866:L866"/>
    <mergeCell ref="M866:N866"/>
    <mergeCell ref="O866:P866"/>
    <mergeCell ref="B867:E867"/>
    <mergeCell ref="F867:I867"/>
    <mergeCell ref="J867:L867"/>
    <mergeCell ref="M867:N867"/>
    <mergeCell ref="O867:P867"/>
    <mergeCell ref="B864:E864"/>
    <mergeCell ref="F864:I864"/>
    <mergeCell ref="J864:L864"/>
    <mergeCell ref="M864:N864"/>
    <mergeCell ref="O864:P864"/>
    <mergeCell ref="B865:E865"/>
    <mergeCell ref="F865:I865"/>
    <mergeCell ref="J865:L865"/>
    <mergeCell ref="M865:N865"/>
    <mergeCell ref="O865:P865"/>
    <mergeCell ref="B862:E862"/>
    <mergeCell ref="F862:I862"/>
    <mergeCell ref="J862:L862"/>
    <mergeCell ref="M862:N862"/>
    <mergeCell ref="O862:P862"/>
    <mergeCell ref="B863:E863"/>
    <mergeCell ref="F863:I863"/>
    <mergeCell ref="J863:L863"/>
    <mergeCell ref="M863:N863"/>
    <mergeCell ref="O863:P863"/>
    <mergeCell ref="B860:E860"/>
    <mergeCell ref="F860:I860"/>
    <mergeCell ref="J860:L860"/>
    <mergeCell ref="M860:N860"/>
    <mergeCell ref="O860:P860"/>
    <mergeCell ref="B861:E861"/>
    <mergeCell ref="F861:I861"/>
    <mergeCell ref="J861:L861"/>
    <mergeCell ref="M861:N861"/>
    <mergeCell ref="O861:P861"/>
    <mergeCell ref="B858:E858"/>
    <mergeCell ref="F858:I858"/>
    <mergeCell ref="J858:L858"/>
    <mergeCell ref="M858:N858"/>
    <mergeCell ref="O858:P858"/>
    <mergeCell ref="B859:E859"/>
    <mergeCell ref="F859:I859"/>
    <mergeCell ref="J859:L859"/>
    <mergeCell ref="M859:N859"/>
    <mergeCell ref="O859:P859"/>
    <mergeCell ref="B856:E856"/>
    <mergeCell ref="F856:I856"/>
    <mergeCell ref="J856:L856"/>
    <mergeCell ref="M856:N856"/>
    <mergeCell ref="O856:P856"/>
    <mergeCell ref="B857:E857"/>
    <mergeCell ref="F857:I857"/>
    <mergeCell ref="J857:L857"/>
    <mergeCell ref="M857:N857"/>
    <mergeCell ref="O857:P857"/>
    <mergeCell ref="B854:E854"/>
    <mergeCell ref="F854:I854"/>
    <mergeCell ref="J854:L854"/>
    <mergeCell ref="M854:N854"/>
    <mergeCell ref="O854:P854"/>
    <mergeCell ref="B855:E855"/>
    <mergeCell ref="F855:I855"/>
    <mergeCell ref="J855:L855"/>
    <mergeCell ref="M855:N855"/>
    <mergeCell ref="O855:P855"/>
    <mergeCell ref="B852:E852"/>
    <mergeCell ref="F852:I852"/>
    <mergeCell ref="J852:L852"/>
    <mergeCell ref="M852:N852"/>
    <mergeCell ref="O852:P852"/>
    <mergeCell ref="B853:E853"/>
    <mergeCell ref="F853:I853"/>
    <mergeCell ref="J853:L853"/>
    <mergeCell ref="M853:N853"/>
    <mergeCell ref="O853:P853"/>
    <mergeCell ref="B850:E850"/>
    <mergeCell ref="F850:I850"/>
    <mergeCell ref="J850:L850"/>
    <mergeCell ref="M850:N850"/>
    <mergeCell ref="O850:P850"/>
    <mergeCell ref="B851:E851"/>
    <mergeCell ref="F851:I851"/>
    <mergeCell ref="J851:L851"/>
    <mergeCell ref="M851:N851"/>
    <mergeCell ref="O851:P851"/>
    <mergeCell ref="B848:E848"/>
    <mergeCell ref="F848:I848"/>
    <mergeCell ref="J848:L848"/>
    <mergeCell ref="M848:N848"/>
    <mergeCell ref="O848:P848"/>
    <mergeCell ref="B849:E849"/>
    <mergeCell ref="F849:I849"/>
    <mergeCell ref="J849:L849"/>
    <mergeCell ref="M849:N849"/>
    <mergeCell ref="O849:P849"/>
    <mergeCell ref="B846:E846"/>
    <mergeCell ref="F846:I846"/>
    <mergeCell ref="J846:L846"/>
    <mergeCell ref="M846:N846"/>
    <mergeCell ref="O846:P846"/>
    <mergeCell ref="B847:E847"/>
    <mergeCell ref="F847:I847"/>
    <mergeCell ref="J847:L847"/>
    <mergeCell ref="M847:N847"/>
    <mergeCell ref="O847:P847"/>
    <mergeCell ref="B844:E844"/>
    <mergeCell ref="F844:I844"/>
    <mergeCell ref="J844:L844"/>
    <mergeCell ref="M844:N844"/>
    <mergeCell ref="O844:P844"/>
    <mergeCell ref="B845:E845"/>
    <mergeCell ref="F845:I845"/>
    <mergeCell ref="J845:L845"/>
    <mergeCell ref="M845:N845"/>
    <mergeCell ref="O845:P845"/>
    <mergeCell ref="B842:E842"/>
    <mergeCell ref="F842:I842"/>
    <mergeCell ref="J842:L842"/>
    <mergeCell ref="M842:N842"/>
    <mergeCell ref="O842:P842"/>
    <mergeCell ref="B843:E843"/>
    <mergeCell ref="F843:I843"/>
    <mergeCell ref="J843:L843"/>
    <mergeCell ref="M843:N843"/>
    <mergeCell ref="O843:P843"/>
    <mergeCell ref="B840:E840"/>
    <mergeCell ref="F840:I840"/>
    <mergeCell ref="J840:L840"/>
    <mergeCell ref="M840:N840"/>
    <mergeCell ref="O840:P840"/>
    <mergeCell ref="B841:E841"/>
    <mergeCell ref="F841:I841"/>
    <mergeCell ref="J841:L841"/>
    <mergeCell ref="M841:N841"/>
    <mergeCell ref="O841:P841"/>
    <mergeCell ref="B838:E838"/>
    <mergeCell ref="F838:I838"/>
    <mergeCell ref="J838:L838"/>
    <mergeCell ref="M838:N838"/>
    <mergeCell ref="O838:P838"/>
    <mergeCell ref="B839:E839"/>
    <mergeCell ref="F839:I839"/>
    <mergeCell ref="J839:L839"/>
    <mergeCell ref="M839:N839"/>
    <mergeCell ref="O839:P839"/>
    <mergeCell ref="B836:E836"/>
    <mergeCell ref="F836:I836"/>
    <mergeCell ref="J836:L836"/>
    <mergeCell ref="M836:N836"/>
    <mergeCell ref="O836:P836"/>
    <mergeCell ref="B837:E837"/>
    <mergeCell ref="F837:I837"/>
    <mergeCell ref="J837:L837"/>
    <mergeCell ref="M837:N837"/>
    <mergeCell ref="O837:P837"/>
    <mergeCell ref="B834:E834"/>
    <mergeCell ref="F834:I834"/>
    <mergeCell ref="J834:L834"/>
    <mergeCell ref="M834:N834"/>
    <mergeCell ref="O834:P834"/>
    <mergeCell ref="B835:E835"/>
    <mergeCell ref="F835:I835"/>
    <mergeCell ref="J835:L835"/>
    <mergeCell ref="M835:N835"/>
    <mergeCell ref="O835:P835"/>
    <mergeCell ref="B832:E832"/>
    <mergeCell ref="F832:I832"/>
    <mergeCell ref="J832:L832"/>
    <mergeCell ref="M832:N832"/>
    <mergeCell ref="O832:P832"/>
    <mergeCell ref="B833:E833"/>
    <mergeCell ref="F833:I833"/>
    <mergeCell ref="J833:L833"/>
    <mergeCell ref="M833:N833"/>
    <mergeCell ref="O833:P833"/>
    <mergeCell ref="B830:E830"/>
    <mergeCell ref="F830:I830"/>
    <mergeCell ref="J830:L830"/>
    <mergeCell ref="M830:N830"/>
    <mergeCell ref="O830:P830"/>
    <mergeCell ref="B831:E831"/>
    <mergeCell ref="F831:I831"/>
    <mergeCell ref="J831:L831"/>
    <mergeCell ref="M831:N831"/>
    <mergeCell ref="O831:P831"/>
    <mergeCell ref="B828:E828"/>
    <mergeCell ref="F828:I828"/>
    <mergeCell ref="J828:L828"/>
    <mergeCell ref="M828:N828"/>
    <mergeCell ref="O828:P828"/>
    <mergeCell ref="B829:E829"/>
    <mergeCell ref="F829:I829"/>
    <mergeCell ref="J829:L829"/>
    <mergeCell ref="M829:N829"/>
    <mergeCell ref="O829:P829"/>
    <mergeCell ref="B826:E826"/>
    <mergeCell ref="F826:I826"/>
    <mergeCell ref="J826:L826"/>
    <mergeCell ref="M826:N826"/>
    <mergeCell ref="O826:P826"/>
    <mergeCell ref="B827:E827"/>
    <mergeCell ref="F827:I827"/>
    <mergeCell ref="J827:L827"/>
    <mergeCell ref="M827:N827"/>
    <mergeCell ref="O827:P827"/>
    <mergeCell ref="B824:E824"/>
    <mergeCell ref="F824:I824"/>
    <mergeCell ref="J824:L824"/>
    <mergeCell ref="M824:N824"/>
    <mergeCell ref="O824:P824"/>
    <mergeCell ref="B825:E825"/>
    <mergeCell ref="F825:I825"/>
    <mergeCell ref="J825:L825"/>
    <mergeCell ref="M825:N825"/>
    <mergeCell ref="O825:P825"/>
    <mergeCell ref="B822:E822"/>
    <mergeCell ref="F822:I822"/>
    <mergeCell ref="J822:L822"/>
    <mergeCell ref="M822:N822"/>
    <mergeCell ref="O822:P822"/>
    <mergeCell ref="B823:E823"/>
    <mergeCell ref="F823:I823"/>
    <mergeCell ref="J823:L823"/>
    <mergeCell ref="M823:N823"/>
    <mergeCell ref="O823:P823"/>
    <mergeCell ref="B820:E820"/>
    <mergeCell ref="F820:I820"/>
    <mergeCell ref="J820:L820"/>
    <mergeCell ref="M820:N820"/>
    <mergeCell ref="O820:P820"/>
    <mergeCell ref="B821:E821"/>
    <mergeCell ref="F821:I821"/>
    <mergeCell ref="J821:L821"/>
    <mergeCell ref="M821:N821"/>
    <mergeCell ref="O821:P821"/>
    <mergeCell ref="B818:E818"/>
    <mergeCell ref="F818:I818"/>
    <mergeCell ref="J818:L818"/>
    <mergeCell ref="M818:N818"/>
    <mergeCell ref="O818:P818"/>
    <mergeCell ref="B819:E819"/>
    <mergeCell ref="F819:I819"/>
    <mergeCell ref="J819:L819"/>
    <mergeCell ref="M819:N819"/>
    <mergeCell ref="O819:P819"/>
    <mergeCell ref="B816:E816"/>
    <mergeCell ref="F816:I816"/>
    <mergeCell ref="J816:L816"/>
    <mergeCell ref="M816:N816"/>
    <mergeCell ref="O816:P816"/>
    <mergeCell ref="B817:E817"/>
    <mergeCell ref="F817:I817"/>
    <mergeCell ref="J817:L817"/>
    <mergeCell ref="M817:N817"/>
    <mergeCell ref="O817:P817"/>
    <mergeCell ref="B814:E814"/>
    <mergeCell ref="F814:I814"/>
    <mergeCell ref="J814:L814"/>
    <mergeCell ref="M814:N814"/>
    <mergeCell ref="O814:P814"/>
    <mergeCell ref="B815:E815"/>
    <mergeCell ref="F815:I815"/>
    <mergeCell ref="J815:L815"/>
    <mergeCell ref="M815:N815"/>
    <mergeCell ref="O815:P815"/>
    <mergeCell ref="B812:E812"/>
    <mergeCell ref="F812:I812"/>
    <mergeCell ref="J812:L812"/>
    <mergeCell ref="M812:N812"/>
    <mergeCell ref="O812:P812"/>
    <mergeCell ref="B813:E813"/>
    <mergeCell ref="F813:I813"/>
    <mergeCell ref="J813:L813"/>
    <mergeCell ref="M813:N813"/>
    <mergeCell ref="O813:P813"/>
    <mergeCell ref="B810:E810"/>
    <mergeCell ref="F810:I810"/>
    <mergeCell ref="J810:L810"/>
    <mergeCell ref="M810:N810"/>
    <mergeCell ref="O810:P810"/>
    <mergeCell ref="B811:E811"/>
    <mergeCell ref="F811:I811"/>
    <mergeCell ref="J811:L811"/>
    <mergeCell ref="M811:N811"/>
    <mergeCell ref="O811:P811"/>
    <mergeCell ref="B808:E808"/>
    <mergeCell ref="F808:I808"/>
    <mergeCell ref="J808:L808"/>
    <mergeCell ref="M808:N808"/>
    <mergeCell ref="O808:P808"/>
    <mergeCell ref="B809:E809"/>
    <mergeCell ref="F809:I809"/>
    <mergeCell ref="J809:L809"/>
    <mergeCell ref="M809:N809"/>
    <mergeCell ref="O809:P809"/>
    <mergeCell ref="B806:E806"/>
    <mergeCell ref="F806:I806"/>
    <mergeCell ref="J806:L806"/>
    <mergeCell ref="M806:N806"/>
    <mergeCell ref="O806:P806"/>
    <mergeCell ref="B807:E807"/>
    <mergeCell ref="F807:I807"/>
    <mergeCell ref="J807:L807"/>
    <mergeCell ref="M807:N807"/>
    <mergeCell ref="O807:P807"/>
    <mergeCell ref="B804:E804"/>
    <mergeCell ref="F804:I804"/>
    <mergeCell ref="J804:L804"/>
    <mergeCell ref="M804:N804"/>
    <mergeCell ref="O804:P804"/>
    <mergeCell ref="B805:E805"/>
    <mergeCell ref="F805:I805"/>
    <mergeCell ref="J805:L805"/>
    <mergeCell ref="M805:N805"/>
    <mergeCell ref="O805:P805"/>
    <mergeCell ref="B802:E802"/>
    <mergeCell ref="F802:I802"/>
    <mergeCell ref="J802:L802"/>
    <mergeCell ref="M802:N802"/>
    <mergeCell ref="O802:P802"/>
    <mergeCell ref="B803:E803"/>
    <mergeCell ref="F803:I803"/>
    <mergeCell ref="J803:L803"/>
    <mergeCell ref="M803:N803"/>
    <mergeCell ref="O803:P803"/>
    <mergeCell ref="B800:E800"/>
    <mergeCell ref="F800:I800"/>
    <mergeCell ref="J800:L800"/>
    <mergeCell ref="M800:N800"/>
    <mergeCell ref="O800:P800"/>
    <mergeCell ref="B801:E801"/>
    <mergeCell ref="F801:I801"/>
    <mergeCell ref="J801:L801"/>
    <mergeCell ref="M801:N801"/>
    <mergeCell ref="O801:P801"/>
    <mergeCell ref="B798:E798"/>
    <mergeCell ref="F798:I798"/>
    <mergeCell ref="J798:L798"/>
    <mergeCell ref="M798:N798"/>
    <mergeCell ref="O798:P798"/>
    <mergeCell ref="B799:E799"/>
    <mergeCell ref="F799:I799"/>
    <mergeCell ref="J799:L799"/>
    <mergeCell ref="M799:N799"/>
    <mergeCell ref="O799:P799"/>
    <mergeCell ref="B796:E796"/>
    <mergeCell ref="F796:I796"/>
    <mergeCell ref="J796:L796"/>
    <mergeCell ref="M796:N796"/>
    <mergeCell ref="O796:P796"/>
    <mergeCell ref="B797:E797"/>
    <mergeCell ref="F797:I797"/>
    <mergeCell ref="J797:L797"/>
    <mergeCell ref="M797:N797"/>
    <mergeCell ref="O797:P797"/>
    <mergeCell ref="B794:E794"/>
    <mergeCell ref="F794:I794"/>
    <mergeCell ref="J794:L794"/>
    <mergeCell ref="M794:N794"/>
    <mergeCell ref="O794:P794"/>
    <mergeCell ref="B795:E795"/>
    <mergeCell ref="F795:I795"/>
    <mergeCell ref="J795:L795"/>
    <mergeCell ref="M795:N795"/>
    <mergeCell ref="O795:P795"/>
    <mergeCell ref="B792:E792"/>
    <mergeCell ref="F792:I792"/>
    <mergeCell ref="J792:L792"/>
    <mergeCell ref="M792:N792"/>
    <mergeCell ref="O792:P792"/>
    <mergeCell ref="B793:E793"/>
    <mergeCell ref="F793:I793"/>
    <mergeCell ref="J793:L793"/>
    <mergeCell ref="M793:N793"/>
    <mergeCell ref="O793:P793"/>
    <mergeCell ref="B790:E790"/>
    <mergeCell ref="F790:I790"/>
    <mergeCell ref="J790:L790"/>
    <mergeCell ref="M790:N790"/>
    <mergeCell ref="O790:P790"/>
    <mergeCell ref="B791:E791"/>
    <mergeCell ref="F791:I791"/>
    <mergeCell ref="J791:L791"/>
    <mergeCell ref="M791:N791"/>
    <mergeCell ref="O791:P791"/>
    <mergeCell ref="B788:E788"/>
    <mergeCell ref="F788:I788"/>
    <mergeCell ref="J788:L788"/>
    <mergeCell ref="M788:N788"/>
    <mergeCell ref="O788:P788"/>
    <mergeCell ref="B789:E789"/>
    <mergeCell ref="F789:I789"/>
    <mergeCell ref="J789:L789"/>
    <mergeCell ref="M789:N789"/>
    <mergeCell ref="O789:P789"/>
    <mergeCell ref="B786:E786"/>
    <mergeCell ref="F786:I786"/>
    <mergeCell ref="J786:L786"/>
    <mergeCell ref="M786:N786"/>
    <mergeCell ref="O786:P786"/>
    <mergeCell ref="B787:E787"/>
    <mergeCell ref="F787:I787"/>
    <mergeCell ref="J787:L787"/>
    <mergeCell ref="M787:N787"/>
    <mergeCell ref="O787:P787"/>
    <mergeCell ref="B784:E784"/>
    <mergeCell ref="F784:I784"/>
    <mergeCell ref="J784:L784"/>
    <mergeCell ref="M784:N784"/>
    <mergeCell ref="O784:P784"/>
    <mergeCell ref="B785:E785"/>
    <mergeCell ref="F785:I785"/>
    <mergeCell ref="J785:L785"/>
    <mergeCell ref="M785:N785"/>
    <mergeCell ref="O785:P785"/>
    <mergeCell ref="B782:E782"/>
    <mergeCell ref="F782:I782"/>
    <mergeCell ref="J782:L782"/>
    <mergeCell ref="M782:N782"/>
    <mergeCell ref="O782:P782"/>
    <mergeCell ref="B783:E783"/>
    <mergeCell ref="F783:I783"/>
    <mergeCell ref="J783:L783"/>
    <mergeCell ref="M783:N783"/>
    <mergeCell ref="O783:P783"/>
    <mergeCell ref="B780:E780"/>
    <mergeCell ref="F780:I780"/>
    <mergeCell ref="J780:L780"/>
    <mergeCell ref="M780:N780"/>
    <mergeCell ref="O780:P780"/>
    <mergeCell ref="B781:E781"/>
    <mergeCell ref="F781:I781"/>
    <mergeCell ref="J781:L781"/>
    <mergeCell ref="M781:N781"/>
    <mergeCell ref="O781:P781"/>
    <mergeCell ref="B778:E778"/>
    <mergeCell ref="F778:I778"/>
    <mergeCell ref="J778:L778"/>
    <mergeCell ref="M778:N778"/>
    <mergeCell ref="O778:P778"/>
    <mergeCell ref="B779:E779"/>
    <mergeCell ref="F779:I779"/>
    <mergeCell ref="J779:L779"/>
    <mergeCell ref="M779:N779"/>
    <mergeCell ref="O779:P779"/>
    <mergeCell ref="B776:E776"/>
    <mergeCell ref="F776:I776"/>
    <mergeCell ref="J776:L776"/>
    <mergeCell ref="M776:N776"/>
    <mergeCell ref="O776:P776"/>
    <mergeCell ref="B777:E777"/>
    <mergeCell ref="F777:I777"/>
    <mergeCell ref="J777:L777"/>
    <mergeCell ref="M777:N777"/>
    <mergeCell ref="O777:P777"/>
    <mergeCell ref="B774:E774"/>
    <mergeCell ref="F774:I774"/>
    <mergeCell ref="J774:L774"/>
    <mergeCell ref="M774:N774"/>
    <mergeCell ref="O774:P774"/>
    <mergeCell ref="B775:E775"/>
    <mergeCell ref="F775:I775"/>
    <mergeCell ref="J775:L775"/>
    <mergeCell ref="M775:N775"/>
    <mergeCell ref="O775:P775"/>
    <mergeCell ref="B772:E772"/>
    <mergeCell ref="F772:I772"/>
    <mergeCell ref="J772:L772"/>
    <mergeCell ref="M772:N772"/>
    <mergeCell ref="O772:P772"/>
    <mergeCell ref="B773:E773"/>
    <mergeCell ref="F773:I773"/>
    <mergeCell ref="J773:L773"/>
    <mergeCell ref="M773:N773"/>
    <mergeCell ref="O773:P773"/>
    <mergeCell ref="B770:E770"/>
    <mergeCell ref="F770:I770"/>
    <mergeCell ref="J770:L770"/>
    <mergeCell ref="M770:N770"/>
    <mergeCell ref="O770:P770"/>
    <mergeCell ref="B771:E771"/>
    <mergeCell ref="F771:I771"/>
    <mergeCell ref="J771:L771"/>
    <mergeCell ref="M771:N771"/>
    <mergeCell ref="O771:P771"/>
    <mergeCell ref="B768:E768"/>
    <mergeCell ref="F768:I768"/>
    <mergeCell ref="J768:L768"/>
    <mergeCell ref="M768:N768"/>
    <mergeCell ref="O768:P768"/>
    <mergeCell ref="B769:E769"/>
    <mergeCell ref="F769:I769"/>
    <mergeCell ref="J769:L769"/>
    <mergeCell ref="M769:N769"/>
    <mergeCell ref="O769:P769"/>
    <mergeCell ref="B766:E766"/>
    <mergeCell ref="F766:I766"/>
    <mergeCell ref="J766:L766"/>
    <mergeCell ref="M766:N766"/>
    <mergeCell ref="O766:P766"/>
    <mergeCell ref="B767:E767"/>
    <mergeCell ref="F767:I767"/>
    <mergeCell ref="J767:L767"/>
    <mergeCell ref="M767:N767"/>
    <mergeCell ref="O767:P767"/>
    <mergeCell ref="B764:E764"/>
    <mergeCell ref="F764:I764"/>
    <mergeCell ref="J764:L764"/>
    <mergeCell ref="M764:N764"/>
    <mergeCell ref="O764:P764"/>
    <mergeCell ref="B765:E765"/>
    <mergeCell ref="F765:I765"/>
    <mergeCell ref="J765:L765"/>
    <mergeCell ref="M765:N765"/>
    <mergeCell ref="O765:P765"/>
    <mergeCell ref="B762:E762"/>
    <mergeCell ref="F762:I762"/>
    <mergeCell ref="J762:L762"/>
    <mergeCell ref="M762:N762"/>
    <mergeCell ref="O762:P762"/>
    <mergeCell ref="B763:E763"/>
    <mergeCell ref="F763:I763"/>
    <mergeCell ref="J763:L763"/>
    <mergeCell ref="M763:N763"/>
    <mergeCell ref="O763:P763"/>
    <mergeCell ref="B760:E760"/>
    <mergeCell ref="F760:I760"/>
    <mergeCell ref="J760:L760"/>
    <mergeCell ref="M760:N760"/>
    <mergeCell ref="O760:P760"/>
    <mergeCell ref="B761:E761"/>
    <mergeCell ref="F761:I761"/>
    <mergeCell ref="J761:L761"/>
    <mergeCell ref="M761:N761"/>
    <mergeCell ref="O761:P761"/>
    <mergeCell ref="J753:L753"/>
    <mergeCell ref="M753:N753"/>
    <mergeCell ref="O753:P753"/>
    <mergeCell ref="B758:E758"/>
    <mergeCell ref="F758:I758"/>
    <mergeCell ref="J758:L758"/>
    <mergeCell ref="M758:N758"/>
    <mergeCell ref="O758:P758"/>
    <mergeCell ref="J754:L754"/>
    <mergeCell ref="M754:N754"/>
    <mergeCell ref="O754:P754"/>
    <mergeCell ref="B759:E759"/>
    <mergeCell ref="F759:I759"/>
    <mergeCell ref="J759:L759"/>
    <mergeCell ref="M759:N759"/>
    <mergeCell ref="O759:P759"/>
    <mergeCell ref="B756:E756"/>
    <mergeCell ref="F756:I756"/>
    <mergeCell ref="J756:L756"/>
    <mergeCell ref="M756:N756"/>
    <mergeCell ref="O756:P756"/>
    <mergeCell ref="B757:E757"/>
    <mergeCell ref="F757:I757"/>
    <mergeCell ref="J757:L757"/>
    <mergeCell ref="M757:N757"/>
    <mergeCell ref="O757:P757"/>
    <mergeCell ref="B742:E742"/>
    <mergeCell ref="F742:I742"/>
    <mergeCell ref="J742:L742"/>
    <mergeCell ref="M742:N742"/>
    <mergeCell ref="O742:P742"/>
    <mergeCell ref="B748:E748"/>
    <mergeCell ref="F748:I748"/>
    <mergeCell ref="J748:L748"/>
    <mergeCell ref="M748:N748"/>
    <mergeCell ref="O748:P748"/>
    <mergeCell ref="B749:E749"/>
    <mergeCell ref="F749:I749"/>
    <mergeCell ref="J749:L749"/>
    <mergeCell ref="M749:N749"/>
    <mergeCell ref="O749:P749"/>
    <mergeCell ref="B754:E754"/>
    <mergeCell ref="F754:I754"/>
    <mergeCell ref="B755:E755"/>
    <mergeCell ref="F755:I755"/>
    <mergeCell ref="J755:L755"/>
    <mergeCell ref="M755:N755"/>
    <mergeCell ref="O755:P755"/>
    <mergeCell ref="B752:E752"/>
    <mergeCell ref="F752:I752"/>
    <mergeCell ref="J752:L752"/>
    <mergeCell ref="M752:N752"/>
    <mergeCell ref="O752:P752"/>
    <mergeCell ref="B753:E753"/>
    <mergeCell ref="F753:I753"/>
    <mergeCell ref="A745:P745"/>
    <mergeCell ref="B746:E746"/>
    <mergeCell ref="F746:I746"/>
    <mergeCell ref="J746:L746"/>
    <mergeCell ref="M746:N746"/>
    <mergeCell ref="O746:P746"/>
    <mergeCell ref="B751:E751"/>
    <mergeCell ref="F751:I751"/>
    <mergeCell ref="J751:L751"/>
    <mergeCell ref="M751:N751"/>
    <mergeCell ref="O751:P751"/>
    <mergeCell ref="B743:E743"/>
    <mergeCell ref="F743:I743"/>
    <mergeCell ref="J743:L743"/>
    <mergeCell ref="M743:N743"/>
    <mergeCell ref="O743:P743"/>
    <mergeCell ref="B744:E744"/>
    <mergeCell ref="F744:I744"/>
    <mergeCell ref="J744:L744"/>
    <mergeCell ref="M744:N744"/>
    <mergeCell ref="O744:P744"/>
    <mergeCell ref="B750:E750"/>
    <mergeCell ref="F750:I750"/>
    <mergeCell ref="J750:L750"/>
    <mergeCell ref="M750:N750"/>
    <mergeCell ref="O750:P750"/>
    <mergeCell ref="B740:E740"/>
    <mergeCell ref="F740:I740"/>
    <mergeCell ref="J740:L740"/>
    <mergeCell ref="M740:N740"/>
    <mergeCell ref="O740:P740"/>
    <mergeCell ref="B741:E741"/>
    <mergeCell ref="F741:I741"/>
    <mergeCell ref="J741:L741"/>
    <mergeCell ref="M741:N741"/>
    <mergeCell ref="O741:P741"/>
    <mergeCell ref="B747:E747"/>
    <mergeCell ref="F747:I747"/>
    <mergeCell ref="J747:L747"/>
    <mergeCell ref="M747:N747"/>
    <mergeCell ref="O747:P747"/>
    <mergeCell ref="B738:E738"/>
    <mergeCell ref="F738:I738"/>
    <mergeCell ref="J738:L738"/>
    <mergeCell ref="M738:N738"/>
    <mergeCell ref="O738:P738"/>
    <mergeCell ref="B739:E739"/>
    <mergeCell ref="F739:I739"/>
    <mergeCell ref="J739:L739"/>
    <mergeCell ref="M739:N739"/>
    <mergeCell ref="O739:P739"/>
    <mergeCell ref="B736:E736"/>
    <mergeCell ref="F736:I736"/>
    <mergeCell ref="J736:L736"/>
    <mergeCell ref="M736:N736"/>
    <mergeCell ref="O736:P736"/>
    <mergeCell ref="B737:E737"/>
    <mergeCell ref="F737:I737"/>
    <mergeCell ref="J737:L737"/>
    <mergeCell ref="M737:N737"/>
    <mergeCell ref="O737:P737"/>
    <mergeCell ref="B734:E734"/>
    <mergeCell ref="F734:I734"/>
    <mergeCell ref="J734:L734"/>
    <mergeCell ref="M734:N734"/>
    <mergeCell ref="O734:P734"/>
    <mergeCell ref="B735:E735"/>
    <mergeCell ref="F735:I735"/>
    <mergeCell ref="J735:L735"/>
    <mergeCell ref="M735:N735"/>
    <mergeCell ref="O735:P735"/>
    <mergeCell ref="B732:E732"/>
    <mergeCell ref="F732:I732"/>
    <mergeCell ref="J732:L732"/>
    <mergeCell ref="M732:N732"/>
    <mergeCell ref="O732:P732"/>
    <mergeCell ref="B733:E733"/>
    <mergeCell ref="F733:I733"/>
    <mergeCell ref="J733:L733"/>
    <mergeCell ref="M733:N733"/>
    <mergeCell ref="O733:P733"/>
    <mergeCell ref="B730:E730"/>
    <mergeCell ref="F730:I730"/>
    <mergeCell ref="J730:L730"/>
    <mergeCell ref="M730:N730"/>
    <mergeCell ref="O730:P730"/>
    <mergeCell ref="B731:E731"/>
    <mergeCell ref="F731:I731"/>
    <mergeCell ref="J731:L731"/>
    <mergeCell ref="M731:N731"/>
    <mergeCell ref="O731:P731"/>
    <mergeCell ref="B728:E728"/>
    <mergeCell ref="F728:I728"/>
    <mergeCell ref="J728:L728"/>
    <mergeCell ref="M728:N728"/>
    <mergeCell ref="O728:P728"/>
    <mergeCell ref="B729:E729"/>
    <mergeCell ref="F729:I729"/>
    <mergeCell ref="J729:L729"/>
    <mergeCell ref="M729:N729"/>
    <mergeCell ref="O729:P729"/>
    <mergeCell ref="B726:E726"/>
    <mergeCell ref="F726:I726"/>
    <mergeCell ref="J726:L726"/>
    <mergeCell ref="M726:N726"/>
    <mergeCell ref="O726:P726"/>
    <mergeCell ref="B727:E727"/>
    <mergeCell ref="F727:I727"/>
    <mergeCell ref="J727:L727"/>
    <mergeCell ref="M727:N727"/>
    <mergeCell ref="O727:P727"/>
    <mergeCell ref="B724:E724"/>
    <mergeCell ref="F724:I724"/>
    <mergeCell ref="J724:L724"/>
    <mergeCell ref="M724:N724"/>
    <mergeCell ref="O724:P724"/>
    <mergeCell ref="B725:E725"/>
    <mergeCell ref="F725:I725"/>
    <mergeCell ref="J725:L725"/>
    <mergeCell ref="M725:N725"/>
    <mergeCell ref="O725:P725"/>
    <mergeCell ref="B722:E722"/>
    <mergeCell ref="F722:I722"/>
    <mergeCell ref="J722:L722"/>
    <mergeCell ref="M722:N722"/>
    <mergeCell ref="O722:P722"/>
    <mergeCell ref="B723:E723"/>
    <mergeCell ref="F723:I723"/>
    <mergeCell ref="J723:L723"/>
    <mergeCell ref="M723:N723"/>
    <mergeCell ref="O723:P723"/>
    <mergeCell ref="B720:E720"/>
    <mergeCell ref="F720:I720"/>
    <mergeCell ref="J720:L720"/>
    <mergeCell ref="M720:N720"/>
    <mergeCell ref="O720:P720"/>
    <mergeCell ref="B721:E721"/>
    <mergeCell ref="F721:I721"/>
    <mergeCell ref="J721:L721"/>
    <mergeCell ref="M721:N721"/>
    <mergeCell ref="O721:P721"/>
    <mergeCell ref="B718:E718"/>
    <mergeCell ref="F718:I718"/>
    <mergeCell ref="J718:L718"/>
    <mergeCell ref="M718:N718"/>
    <mergeCell ref="O718:P718"/>
    <mergeCell ref="B719:E719"/>
    <mergeCell ref="F719:I719"/>
    <mergeCell ref="J719:L719"/>
    <mergeCell ref="M719:N719"/>
    <mergeCell ref="O719:P719"/>
    <mergeCell ref="B716:E716"/>
    <mergeCell ref="F716:I716"/>
    <mergeCell ref="J716:L716"/>
    <mergeCell ref="M716:N716"/>
    <mergeCell ref="O716:P716"/>
    <mergeCell ref="B717:E717"/>
    <mergeCell ref="F717:I717"/>
    <mergeCell ref="J717:L717"/>
    <mergeCell ref="M717:N717"/>
    <mergeCell ref="O717:P717"/>
    <mergeCell ref="B714:E714"/>
    <mergeCell ref="F714:I714"/>
    <mergeCell ref="J714:L714"/>
    <mergeCell ref="M714:N714"/>
    <mergeCell ref="O714:P714"/>
    <mergeCell ref="B715:E715"/>
    <mergeCell ref="F715:I715"/>
    <mergeCell ref="J715:L715"/>
    <mergeCell ref="M715:N715"/>
    <mergeCell ref="O715:P715"/>
    <mergeCell ref="B712:E712"/>
    <mergeCell ref="F712:I712"/>
    <mergeCell ref="J712:L712"/>
    <mergeCell ref="M712:N712"/>
    <mergeCell ref="O712:P712"/>
    <mergeCell ref="B713:E713"/>
    <mergeCell ref="F713:I713"/>
    <mergeCell ref="J713:L713"/>
    <mergeCell ref="M713:N713"/>
    <mergeCell ref="O713:P713"/>
    <mergeCell ref="B710:E710"/>
    <mergeCell ref="F710:I710"/>
    <mergeCell ref="J710:L710"/>
    <mergeCell ref="M710:N710"/>
    <mergeCell ref="O710:P710"/>
    <mergeCell ref="B711:E711"/>
    <mergeCell ref="F711:I711"/>
    <mergeCell ref="J711:L711"/>
    <mergeCell ref="M711:N711"/>
    <mergeCell ref="O711:P711"/>
    <mergeCell ref="B708:E708"/>
    <mergeCell ref="F708:I708"/>
    <mergeCell ref="J708:L708"/>
    <mergeCell ref="M708:N708"/>
    <mergeCell ref="O708:P708"/>
    <mergeCell ref="B709:E709"/>
    <mergeCell ref="F709:I709"/>
    <mergeCell ref="J709:L709"/>
    <mergeCell ref="M709:N709"/>
    <mergeCell ref="O709:P709"/>
    <mergeCell ref="B706:E706"/>
    <mergeCell ref="F706:I706"/>
    <mergeCell ref="J706:L706"/>
    <mergeCell ref="M706:N706"/>
    <mergeCell ref="O706:P706"/>
    <mergeCell ref="B707:E707"/>
    <mergeCell ref="F707:I707"/>
    <mergeCell ref="J707:L707"/>
    <mergeCell ref="M707:N707"/>
    <mergeCell ref="O707:P707"/>
    <mergeCell ref="B704:E704"/>
    <mergeCell ref="F704:I704"/>
    <mergeCell ref="J704:L704"/>
    <mergeCell ref="M704:N704"/>
    <mergeCell ref="O704:P704"/>
    <mergeCell ref="B705:E705"/>
    <mergeCell ref="F705:I705"/>
    <mergeCell ref="J705:L705"/>
    <mergeCell ref="M705:N705"/>
    <mergeCell ref="O705:P705"/>
    <mergeCell ref="B702:E702"/>
    <mergeCell ref="F702:I702"/>
    <mergeCell ref="J702:L702"/>
    <mergeCell ref="M702:N702"/>
    <mergeCell ref="O702:P702"/>
    <mergeCell ref="B703:E703"/>
    <mergeCell ref="F703:I703"/>
    <mergeCell ref="J703:L703"/>
    <mergeCell ref="M703:N703"/>
    <mergeCell ref="O703:P703"/>
    <mergeCell ref="B700:E700"/>
    <mergeCell ref="F700:I700"/>
    <mergeCell ref="J700:L700"/>
    <mergeCell ref="M700:N700"/>
    <mergeCell ref="O700:P700"/>
    <mergeCell ref="B701:E701"/>
    <mergeCell ref="F701:I701"/>
    <mergeCell ref="J701:L701"/>
    <mergeCell ref="M701:N701"/>
    <mergeCell ref="O701:P701"/>
    <mergeCell ref="B698:E698"/>
    <mergeCell ref="F698:I698"/>
    <mergeCell ref="J698:L698"/>
    <mergeCell ref="M698:N698"/>
    <mergeCell ref="O698:P698"/>
    <mergeCell ref="B699:E699"/>
    <mergeCell ref="F699:I699"/>
    <mergeCell ref="J699:L699"/>
    <mergeCell ref="M699:N699"/>
    <mergeCell ref="O699:P699"/>
    <mergeCell ref="B696:E696"/>
    <mergeCell ref="F696:I696"/>
    <mergeCell ref="J696:L696"/>
    <mergeCell ref="M696:N696"/>
    <mergeCell ref="O696:P696"/>
    <mergeCell ref="B697:E697"/>
    <mergeCell ref="F697:I697"/>
    <mergeCell ref="J697:L697"/>
    <mergeCell ref="M697:N697"/>
    <mergeCell ref="O697:P697"/>
    <mergeCell ref="B694:E694"/>
    <mergeCell ref="F694:I694"/>
    <mergeCell ref="J694:L694"/>
    <mergeCell ref="M694:N694"/>
    <mergeCell ref="O694:P694"/>
    <mergeCell ref="B695:E695"/>
    <mergeCell ref="F695:I695"/>
    <mergeCell ref="J695:L695"/>
    <mergeCell ref="M695:N695"/>
    <mergeCell ref="O695:P695"/>
    <mergeCell ref="B692:E692"/>
    <mergeCell ref="F692:I692"/>
    <mergeCell ref="J692:L692"/>
    <mergeCell ref="M692:N692"/>
    <mergeCell ref="O692:P692"/>
    <mergeCell ref="B693:E693"/>
    <mergeCell ref="F693:I693"/>
    <mergeCell ref="J693:L693"/>
    <mergeCell ref="M693:N693"/>
    <mergeCell ref="O693:P693"/>
    <mergeCell ref="B690:E690"/>
    <mergeCell ref="F690:I690"/>
    <mergeCell ref="J690:L690"/>
    <mergeCell ref="M690:N690"/>
    <mergeCell ref="O690:P690"/>
    <mergeCell ref="B691:E691"/>
    <mergeCell ref="F691:I691"/>
    <mergeCell ref="J691:L691"/>
    <mergeCell ref="M691:N691"/>
    <mergeCell ref="O691:P691"/>
    <mergeCell ref="B688:E688"/>
    <mergeCell ref="F688:I688"/>
    <mergeCell ref="J688:L688"/>
    <mergeCell ref="M688:N688"/>
    <mergeCell ref="O688:P688"/>
    <mergeCell ref="B689:E689"/>
    <mergeCell ref="F689:I689"/>
    <mergeCell ref="J689:L689"/>
    <mergeCell ref="M689:N689"/>
    <mergeCell ref="O689:P689"/>
    <mergeCell ref="B686:E686"/>
    <mergeCell ref="F686:I686"/>
    <mergeCell ref="J686:L686"/>
    <mergeCell ref="M686:N686"/>
    <mergeCell ref="O686:P686"/>
    <mergeCell ref="B687:E687"/>
    <mergeCell ref="F687:I687"/>
    <mergeCell ref="J687:L687"/>
    <mergeCell ref="M687:N687"/>
    <mergeCell ref="O687:P687"/>
    <mergeCell ref="B684:E684"/>
    <mergeCell ref="F684:I684"/>
    <mergeCell ref="J684:L684"/>
    <mergeCell ref="M684:N684"/>
    <mergeCell ref="O684:P684"/>
    <mergeCell ref="B685:E685"/>
    <mergeCell ref="F685:I685"/>
    <mergeCell ref="J685:L685"/>
    <mergeCell ref="M685:N685"/>
    <mergeCell ref="O685:P685"/>
    <mergeCell ref="B682:E682"/>
    <mergeCell ref="F682:I682"/>
    <mergeCell ref="J682:L682"/>
    <mergeCell ref="M682:N682"/>
    <mergeCell ref="O682:P682"/>
    <mergeCell ref="B683:E683"/>
    <mergeCell ref="F683:I683"/>
    <mergeCell ref="J683:L683"/>
    <mergeCell ref="M683:N683"/>
    <mergeCell ref="O683:P683"/>
    <mergeCell ref="B680:E680"/>
    <mergeCell ref="F680:I680"/>
    <mergeCell ref="J680:L680"/>
    <mergeCell ref="M680:N680"/>
    <mergeCell ref="O680:P680"/>
    <mergeCell ref="B681:E681"/>
    <mergeCell ref="F681:I681"/>
    <mergeCell ref="J681:L681"/>
    <mergeCell ref="M681:N681"/>
    <mergeCell ref="O681:P681"/>
    <mergeCell ref="B678:E678"/>
    <mergeCell ref="F678:I678"/>
    <mergeCell ref="J678:L678"/>
    <mergeCell ref="M678:N678"/>
    <mergeCell ref="O678:P678"/>
    <mergeCell ref="B679:E679"/>
    <mergeCell ref="F679:I679"/>
    <mergeCell ref="J679:L679"/>
    <mergeCell ref="M679:N679"/>
    <mergeCell ref="O679:P679"/>
    <mergeCell ref="B676:E676"/>
    <mergeCell ref="F676:I676"/>
    <mergeCell ref="J676:L676"/>
    <mergeCell ref="M676:N676"/>
    <mergeCell ref="O676:P676"/>
    <mergeCell ref="B677:E677"/>
    <mergeCell ref="F677:I677"/>
    <mergeCell ref="J677:L677"/>
    <mergeCell ref="M677:N677"/>
    <mergeCell ref="O677:P677"/>
    <mergeCell ref="B674:E674"/>
    <mergeCell ref="F674:I674"/>
    <mergeCell ref="J674:L674"/>
    <mergeCell ref="M674:N674"/>
    <mergeCell ref="O674:P674"/>
    <mergeCell ref="B675:E675"/>
    <mergeCell ref="F675:I675"/>
    <mergeCell ref="J675:L675"/>
    <mergeCell ref="M675:N675"/>
    <mergeCell ref="O675:P675"/>
    <mergeCell ref="B672:E672"/>
    <mergeCell ref="F672:I672"/>
    <mergeCell ref="J672:L672"/>
    <mergeCell ref="M672:N672"/>
    <mergeCell ref="O672:P672"/>
    <mergeCell ref="B673:E673"/>
    <mergeCell ref="F673:I673"/>
    <mergeCell ref="J673:L673"/>
    <mergeCell ref="M673:N673"/>
    <mergeCell ref="O673:P673"/>
    <mergeCell ref="B670:E670"/>
    <mergeCell ref="F670:I670"/>
    <mergeCell ref="J670:L670"/>
    <mergeCell ref="M670:N670"/>
    <mergeCell ref="O670:P670"/>
    <mergeCell ref="B671:E671"/>
    <mergeCell ref="F671:I671"/>
    <mergeCell ref="J671:L671"/>
    <mergeCell ref="M671:N671"/>
    <mergeCell ref="O671:P671"/>
    <mergeCell ref="B668:E668"/>
    <mergeCell ref="F668:I668"/>
    <mergeCell ref="J668:L668"/>
    <mergeCell ref="M668:N668"/>
    <mergeCell ref="O668:P668"/>
    <mergeCell ref="B669:E669"/>
    <mergeCell ref="F669:I669"/>
    <mergeCell ref="J669:L669"/>
    <mergeCell ref="M669:N669"/>
    <mergeCell ref="O669:P669"/>
    <mergeCell ref="B666:E666"/>
    <mergeCell ref="F666:I666"/>
    <mergeCell ref="J666:L666"/>
    <mergeCell ref="M666:N666"/>
    <mergeCell ref="O666:P666"/>
    <mergeCell ref="B667:E667"/>
    <mergeCell ref="F667:I667"/>
    <mergeCell ref="J667:L667"/>
    <mergeCell ref="M667:N667"/>
    <mergeCell ref="O667:P667"/>
    <mergeCell ref="B664:E664"/>
    <mergeCell ref="F664:I664"/>
    <mergeCell ref="J664:L664"/>
    <mergeCell ref="M664:N664"/>
    <mergeCell ref="O664:P664"/>
    <mergeCell ref="B665:E665"/>
    <mergeCell ref="F665:I665"/>
    <mergeCell ref="J665:L665"/>
    <mergeCell ref="M665:N665"/>
    <mergeCell ref="O665:P665"/>
    <mergeCell ref="B662:E662"/>
    <mergeCell ref="F662:I662"/>
    <mergeCell ref="J662:L662"/>
    <mergeCell ref="M662:N662"/>
    <mergeCell ref="O662:P662"/>
    <mergeCell ref="B663:E663"/>
    <mergeCell ref="F663:I663"/>
    <mergeCell ref="J663:L663"/>
    <mergeCell ref="M663:N663"/>
    <mergeCell ref="O663:P663"/>
    <mergeCell ref="B660:E660"/>
    <mergeCell ref="F660:I660"/>
    <mergeCell ref="J660:L660"/>
    <mergeCell ref="M660:N660"/>
    <mergeCell ref="O660:P660"/>
    <mergeCell ref="B661:E661"/>
    <mergeCell ref="F661:I661"/>
    <mergeCell ref="J661:L661"/>
    <mergeCell ref="M661:N661"/>
    <mergeCell ref="O661:P661"/>
    <mergeCell ref="B658:E658"/>
    <mergeCell ref="F658:I658"/>
    <mergeCell ref="J658:L658"/>
    <mergeCell ref="M658:N658"/>
    <mergeCell ref="O658:P658"/>
    <mergeCell ref="B659:E659"/>
    <mergeCell ref="F659:I659"/>
    <mergeCell ref="J659:L659"/>
    <mergeCell ref="M659:N659"/>
    <mergeCell ref="O659:P659"/>
    <mergeCell ref="B656:E656"/>
    <mergeCell ref="F656:I656"/>
    <mergeCell ref="J656:L656"/>
    <mergeCell ref="M656:N656"/>
    <mergeCell ref="O656:P656"/>
    <mergeCell ref="B657:E657"/>
    <mergeCell ref="F657:I657"/>
    <mergeCell ref="J657:L657"/>
    <mergeCell ref="M657:N657"/>
    <mergeCell ref="O657:P657"/>
    <mergeCell ref="B654:E654"/>
    <mergeCell ref="F654:I654"/>
    <mergeCell ref="J654:L654"/>
    <mergeCell ref="M654:N654"/>
    <mergeCell ref="O654:P654"/>
    <mergeCell ref="B655:E655"/>
    <mergeCell ref="F655:I655"/>
    <mergeCell ref="J655:L655"/>
    <mergeCell ref="M655:N655"/>
    <mergeCell ref="O655:P655"/>
    <mergeCell ref="B652:E652"/>
    <mergeCell ref="F652:I652"/>
    <mergeCell ref="J652:L652"/>
    <mergeCell ref="M652:N652"/>
    <mergeCell ref="O652:P652"/>
    <mergeCell ref="B653:E653"/>
    <mergeCell ref="F653:I653"/>
    <mergeCell ref="J653:L653"/>
    <mergeCell ref="M653:N653"/>
    <mergeCell ref="O653:P653"/>
    <mergeCell ref="B650:E650"/>
    <mergeCell ref="F650:I650"/>
    <mergeCell ref="J650:L650"/>
    <mergeCell ref="M650:N650"/>
    <mergeCell ref="O650:P650"/>
    <mergeCell ref="B651:E651"/>
    <mergeCell ref="F651:I651"/>
    <mergeCell ref="J651:L651"/>
    <mergeCell ref="M651:N651"/>
    <mergeCell ref="O651:P651"/>
    <mergeCell ref="B648:E648"/>
    <mergeCell ref="F648:I648"/>
    <mergeCell ref="J648:L648"/>
    <mergeCell ref="M648:N648"/>
    <mergeCell ref="O648:P648"/>
    <mergeCell ref="B649:E649"/>
    <mergeCell ref="F649:I649"/>
    <mergeCell ref="J649:L649"/>
    <mergeCell ref="M649:N649"/>
    <mergeCell ref="O649:P649"/>
    <mergeCell ref="B646:E646"/>
    <mergeCell ref="F646:I646"/>
    <mergeCell ref="J646:L646"/>
    <mergeCell ref="M646:N646"/>
    <mergeCell ref="O646:P646"/>
    <mergeCell ref="B647:E647"/>
    <mergeCell ref="F647:I647"/>
    <mergeCell ref="J647:L647"/>
    <mergeCell ref="M647:N647"/>
    <mergeCell ref="O647:P647"/>
    <mergeCell ref="B644:E644"/>
    <mergeCell ref="F644:I644"/>
    <mergeCell ref="J644:L644"/>
    <mergeCell ref="M644:N644"/>
    <mergeCell ref="O644:P644"/>
    <mergeCell ref="B645:E645"/>
    <mergeCell ref="F645:I645"/>
    <mergeCell ref="J645:L645"/>
    <mergeCell ref="M645:N645"/>
    <mergeCell ref="O645:P645"/>
    <mergeCell ref="B642:E642"/>
    <mergeCell ref="F642:I642"/>
    <mergeCell ref="J642:L642"/>
    <mergeCell ref="M642:N642"/>
    <mergeCell ref="O642:P642"/>
    <mergeCell ref="B643:E643"/>
    <mergeCell ref="F643:I643"/>
    <mergeCell ref="J643:L643"/>
    <mergeCell ref="M643:N643"/>
    <mergeCell ref="O643:P643"/>
    <mergeCell ref="B640:E640"/>
    <mergeCell ref="F640:I640"/>
    <mergeCell ref="J640:L640"/>
    <mergeCell ref="M640:N640"/>
    <mergeCell ref="O640:P640"/>
    <mergeCell ref="B641:E641"/>
    <mergeCell ref="F641:I641"/>
    <mergeCell ref="J641:L641"/>
    <mergeCell ref="M641:N641"/>
    <mergeCell ref="O641:P641"/>
    <mergeCell ref="B638:E638"/>
    <mergeCell ref="F638:I638"/>
    <mergeCell ref="J638:L638"/>
    <mergeCell ref="M638:N638"/>
    <mergeCell ref="O638:P638"/>
    <mergeCell ref="B639:E639"/>
    <mergeCell ref="F639:I639"/>
    <mergeCell ref="J639:L639"/>
    <mergeCell ref="M639:N639"/>
    <mergeCell ref="O639:P639"/>
    <mergeCell ref="B636:E636"/>
    <mergeCell ref="F636:I636"/>
    <mergeCell ref="J636:L636"/>
    <mergeCell ref="M636:N636"/>
    <mergeCell ref="O636:P636"/>
    <mergeCell ref="B637:E637"/>
    <mergeCell ref="F637:I637"/>
    <mergeCell ref="J637:L637"/>
    <mergeCell ref="M637:N637"/>
    <mergeCell ref="O637:P637"/>
    <mergeCell ref="B634:E634"/>
    <mergeCell ref="F634:I634"/>
    <mergeCell ref="J634:L634"/>
    <mergeCell ref="M634:N634"/>
    <mergeCell ref="O634:P634"/>
    <mergeCell ref="B635:E635"/>
    <mergeCell ref="F635:I635"/>
    <mergeCell ref="J635:L635"/>
    <mergeCell ref="M635:N635"/>
    <mergeCell ref="O635:P635"/>
    <mergeCell ref="B632:E632"/>
    <mergeCell ref="F632:I632"/>
    <mergeCell ref="J632:L632"/>
    <mergeCell ref="M632:N632"/>
    <mergeCell ref="O632:P632"/>
    <mergeCell ref="B633:E633"/>
    <mergeCell ref="F633:I633"/>
    <mergeCell ref="J633:L633"/>
    <mergeCell ref="M633:N633"/>
    <mergeCell ref="O633:P633"/>
    <mergeCell ref="B630:E630"/>
    <mergeCell ref="F630:I630"/>
    <mergeCell ref="J630:L630"/>
    <mergeCell ref="M630:N630"/>
    <mergeCell ref="O630:P630"/>
    <mergeCell ref="B631:E631"/>
    <mergeCell ref="F631:I631"/>
    <mergeCell ref="J631:L631"/>
    <mergeCell ref="M631:N631"/>
    <mergeCell ref="O631:P631"/>
    <mergeCell ref="B628:E628"/>
    <mergeCell ref="F628:I628"/>
    <mergeCell ref="J628:L628"/>
    <mergeCell ref="M628:N628"/>
    <mergeCell ref="O628:P628"/>
    <mergeCell ref="B629:E629"/>
    <mergeCell ref="F629:I629"/>
    <mergeCell ref="J629:L629"/>
    <mergeCell ref="M629:N629"/>
    <mergeCell ref="O629:P629"/>
    <mergeCell ref="B626:E626"/>
    <mergeCell ref="F626:I626"/>
    <mergeCell ref="J626:L626"/>
    <mergeCell ref="M626:N626"/>
    <mergeCell ref="O626:P626"/>
    <mergeCell ref="B627:E627"/>
    <mergeCell ref="F627:I627"/>
    <mergeCell ref="J627:L627"/>
    <mergeCell ref="M627:N627"/>
    <mergeCell ref="O627:P627"/>
    <mergeCell ref="B624:E624"/>
    <mergeCell ref="F624:I624"/>
    <mergeCell ref="J624:L624"/>
    <mergeCell ref="M624:N624"/>
    <mergeCell ref="O624:P624"/>
    <mergeCell ref="B625:E625"/>
    <mergeCell ref="F625:I625"/>
    <mergeCell ref="J625:L625"/>
    <mergeCell ref="M625:N625"/>
    <mergeCell ref="O625:P625"/>
    <mergeCell ref="B622:E622"/>
    <mergeCell ref="F622:I622"/>
    <mergeCell ref="J622:L622"/>
    <mergeCell ref="M622:N622"/>
    <mergeCell ref="O622:P622"/>
    <mergeCell ref="B623:E623"/>
    <mergeCell ref="F623:I623"/>
    <mergeCell ref="J623:L623"/>
    <mergeCell ref="M623:N623"/>
    <mergeCell ref="O623:P623"/>
    <mergeCell ref="B620:E620"/>
    <mergeCell ref="F620:I620"/>
    <mergeCell ref="J620:L620"/>
    <mergeCell ref="M620:N620"/>
    <mergeCell ref="O620:P620"/>
    <mergeCell ref="B621:E621"/>
    <mergeCell ref="F621:I621"/>
    <mergeCell ref="J621:L621"/>
    <mergeCell ref="M621:N621"/>
    <mergeCell ref="O621:P621"/>
    <mergeCell ref="B618:E618"/>
    <mergeCell ref="F618:I618"/>
    <mergeCell ref="J618:L618"/>
    <mergeCell ref="M618:N618"/>
    <mergeCell ref="O618:P618"/>
    <mergeCell ref="B619:E619"/>
    <mergeCell ref="F619:I619"/>
    <mergeCell ref="J619:L619"/>
    <mergeCell ref="M619:N619"/>
    <mergeCell ref="O619:P619"/>
    <mergeCell ref="B616:E616"/>
    <mergeCell ref="F616:I616"/>
    <mergeCell ref="J616:L616"/>
    <mergeCell ref="M616:N616"/>
    <mergeCell ref="O616:P616"/>
    <mergeCell ref="B617:E617"/>
    <mergeCell ref="F617:I617"/>
    <mergeCell ref="J617:L617"/>
    <mergeCell ref="M617:N617"/>
    <mergeCell ref="O617:P617"/>
    <mergeCell ref="B614:E614"/>
    <mergeCell ref="F614:I614"/>
    <mergeCell ref="J614:L614"/>
    <mergeCell ref="M614:N614"/>
    <mergeCell ref="O614:P614"/>
    <mergeCell ref="B615:E615"/>
    <mergeCell ref="F615:I615"/>
    <mergeCell ref="J615:L615"/>
    <mergeCell ref="M615:N615"/>
    <mergeCell ref="O615:P615"/>
    <mergeCell ref="B612:E612"/>
    <mergeCell ref="F612:I612"/>
    <mergeCell ref="J612:L612"/>
    <mergeCell ref="M612:N612"/>
    <mergeCell ref="O612:P612"/>
    <mergeCell ref="B613:E613"/>
    <mergeCell ref="F613:I613"/>
    <mergeCell ref="J613:L613"/>
    <mergeCell ref="M613:N613"/>
    <mergeCell ref="O613:P613"/>
    <mergeCell ref="B610:E610"/>
    <mergeCell ref="F610:I610"/>
    <mergeCell ref="J610:L610"/>
    <mergeCell ref="M610:N610"/>
    <mergeCell ref="O610:P610"/>
    <mergeCell ref="B611:E611"/>
    <mergeCell ref="F611:I611"/>
    <mergeCell ref="J611:L611"/>
    <mergeCell ref="M611:N611"/>
    <mergeCell ref="O611:P611"/>
    <mergeCell ref="B608:E608"/>
    <mergeCell ref="F608:I608"/>
    <mergeCell ref="J608:L608"/>
    <mergeCell ref="M608:N608"/>
    <mergeCell ref="O608:P608"/>
    <mergeCell ref="B609:E609"/>
    <mergeCell ref="F609:I609"/>
    <mergeCell ref="J609:L609"/>
    <mergeCell ref="M609:N609"/>
    <mergeCell ref="O609:P609"/>
    <mergeCell ref="B606:E606"/>
    <mergeCell ref="F606:I606"/>
    <mergeCell ref="J606:L606"/>
    <mergeCell ref="M606:N606"/>
    <mergeCell ref="O606:P606"/>
    <mergeCell ref="B607:E607"/>
    <mergeCell ref="F607:I607"/>
    <mergeCell ref="J607:L607"/>
    <mergeCell ref="M607:N607"/>
    <mergeCell ref="O607:P607"/>
    <mergeCell ref="B604:E604"/>
    <mergeCell ref="F604:I604"/>
    <mergeCell ref="J604:L604"/>
    <mergeCell ref="M604:N604"/>
    <mergeCell ref="O604:P604"/>
    <mergeCell ref="B605:E605"/>
    <mergeCell ref="F605:I605"/>
    <mergeCell ref="J605:L605"/>
    <mergeCell ref="M605:N605"/>
    <mergeCell ref="O605:P605"/>
    <mergeCell ref="B602:E602"/>
    <mergeCell ref="F602:I602"/>
    <mergeCell ref="J602:L602"/>
    <mergeCell ref="M602:N602"/>
    <mergeCell ref="O602:P602"/>
    <mergeCell ref="B603:E603"/>
    <mergeCell ref="F603:I603"/>
    <mergeCell ref="J603:L603"/>
    <mergeCell ref="M603:N603"/>
    <mergeCell ref="O603:P603"/>
    <mergeCell ref="B600:E600"/>
    <mergeCell ref="F600:I600"/>
    <mergeCell ref="J600:L600"/>
    <mergeCell ref="M600:N600"/>
    <mergeCell ref="O600:P600"/>
    <mergeCell ref="B601:E601"/>
    <mergeCell ref="F601:I601"/>
    <mergeCell ref="J601:L601"/>
    <mergeCell ref="M601:N601"/>
    <mergeCell ref="O601:P601"/>
    <mergeCell ref="B598:E598"/>
    <mergeCell ref="F598:I598"/>
    <mergeCell ref="J598:L598"/>
    <mergeCell ref="M598:N598"/>
    <mergeCell ref="O598:P598"/>
    <mergeCell ref="B599:E599"/>
    <mergeCell ref="F599:I599"/>
    <mergeCell ref="J599:L599"/>
    <mergeCell ref="M599:N599"/>
    <mergeCell ref="O599:P599"/>
    <mergeCell ref="B596:E596"/>
    <mergeCell ref="F596:I596"/>
    <mergeCell ref="J596:L596"/>
    <mergeCell ref="M596:N596"/>
    <mergeCell ref="O596:P596"/>
    <mergeCell ref="B597:E597"/>
    <mergeCell ref="F597:I597"/>
    <mergeCell ref="J597:L597"/>
    <mergeCell ref="M597:N597"/>
    <mergeCell ref="O597:P597"/>
    <mergeCell ref="B594:E594"/>
    <mergeCell ref="F594:I594"/>
    <mergeCell ref="J594:L594"/>
    <mergeCell ref="M594:N594"/>
    <mergeCell ref="O594:P594"/>
    <mergeCell ref="B595:E595"/>
    <mergeCell ref="F595:I595"/>
    <mergeCell ref="J595:L595"/>
    <mergeCell ref="M595:N595"/>
    <mergeCell ref="O595:P595"/>
    <mergeCell ref="B592:E592"/>
    <mergeCell ref="F592:I592"/>
    <mergeCell ref="J592:L592"/>
    <mergeCell ref="M592:N592"/>
    <mergeCell ref="O592:P592"/>
    <mergeCell ref="B593:E593"/>
    <mergeCell ref="F593:I593"/>
    <mergeCell ref="J593:L593"/>
    <mergeCell ref="M593:N593"/>
    <mergeCell ref="O593:P593"/>
    <mergeCell ref="B590:E590"/>
    <mergeCell ref="F590:I590"/>
    <mergeCell ref="J590:L590"/>
    <mergeCell ref="M590:N590"/>
    <mergeCell ref="O590:P590"/>
    <mergeCell ref="B591:E591"/>
    <mergeCell ref="F591:I591"/>
    <mergeCell ref="J591:L591"/>
    <mergeCell ref="M591:N591"/>
    <mergeCell ref="O591:P591"/>
    <mergeCell ref="B588:E588"/>
    <mergeCell ref="F588:I588"/>
    <mergeCell ref="J588:L588"/>
    <mergeCell ref="M588:N588"/>
    <mergeCell ref="O588:P588"/>
    <mergeCell ref="B589:E589"/>
    <mergeCell ref="F589:I589"/>
    <mergeCell ref="J589:L589"/>
    <mergeCell ref="M589:N589"/>
    <mergeCell ref="O589:P589"/>
    <mergeCell ref="B586:E586"/>
    <mergeCell ref="F586:I586"/>
    <mergeCell ref="J586:L586"/>
    <mergeCell ref="M586:N586"/>
    <mergeCell ref="O586:P586"/>
    <mergeCell ref="B587:E587"/>
    <mergeCell ref="F587:I587"/>
    <mergeCell ref="J587:L587"/>
    <mergeCell ref="M587:N587"/>
    <mergeCell ref="O587:P587"/>
    <mergeCell ref="B584:E584"/>
    <mergeCell ref="F584:I584"/>
    <mergeCell ref="J584:L584"/>
    <mergeCell ref="M584:N584"/>
    <mergeCell ref="O584:P584"/>
    <mergeCell ref="B585:E585"/>
    <mergeCell ref="F585:I585"/>
    <mergeCell ref="J585:L585"/>
    <mergeCell ref="M585:N585"/>
    <mergeCell ref="O585:P585"/>
    <mergeCell ref="B582:E582"/>
    <mergeCell ref="F582:I582"/>
    <mergeCell ref="J582:L582"/>
    <mergeCell ref="M582:N582"/>
    <mergeCell ref="O582:P582"/>
    <mergeCell ref="B583:E583"/>
    <mergeCell ref="F583:I583"/>
    <mergeCell ref="J583:L583"/>
    <mergeCell ref="M583:N583"/>
    <mergeCell ref="O583:P583"/>
    <mergeCell ref="B580:E580"/>
    <mergeCell ref="F580:I580"/>
    <mergeCell ref="J580:L580"/>
    <mergeCell ref="M580:N580"/>
    <mergeCell ref="O580:P580"/>
    <mergeCell ref="B581:E581"/>
    <mergeCell ref="F581:I581"/>
    <mergeCell ref="J581:L581"/>
    <mergeCell ref="M581:N581"/>
    <mergeCell ref="O581:P581"/>
    <mergeCell ref="B578:E578"/>
    <mergeCell ref="F578:I578"/>
    <mergeCell ref="J578:L578"/>
    <mergeCell ref="M578:N578"/>
    <mergeCell ref="O578:P578"/>
    <mergeCell ref="B579:E579"/>
    <mergeCell ref="F579:I579"/>
    <mergeCell ref="J579:L579"/>
    <mergeCell ref="M579:N579"/>
    <mergeCell ref="O579:P579"/>
    <mergeCell ref="B576:E576"/>
    <mergeCell ref="F576:I576"/>
    <mergeCell ref="J576:L576"/>
    <mergeCell ref="M576:N576"/>
    <mergeCell ref="O576:P576"/>
    <mergeCell ref="B577:E577"/>
    <mergeCell ref="F577:I577"/>
    <mergeCell ref="J577:L577"/>
    <mergeCell ref="M577:N577"/>
    <mergeCell ref="O577:P577"/>
    <mergeCell ref="B574:E574"/>
    <mergeCell ref="F574:I574"/>
    <mergeCell ref="J574:L574"/>
    <mergeCell ref="M574:N574"/>
    <mergeCell ref="O574:P574"/>
    <mergeCell ref="B575:E575"/>
    <mergeCell ref="F575:I575"/>
    <mergeCell ref="J575:L575"/>
    <mergeCell ref="M575:N575"/>
    <mergeCell ref="O575:P575"/>
    <mergeCell ref="B572:E572"/>
    <mergeCell ref="F572:I572"/>
    <mergeCell ref="J572:L572"/>
    <mergeCell ref="M572:N572"/>
    <mergeCell ref="O572:P572"/>
    <mergeCell ref="B573:E573"/>
    <mergeCell ref="F573:I573"/>
    <mergeCell ref="J573:L573"/>
    <mergeCell ref="M573:N573"/>
    <mergeCell ref="O573:P573"/>
    <mergeCell ref="B570:E570"/>
    <mergeCell ref="F570:I570"/>
    <mergeCell ref="J570:L570"/>
    <mergeCell ref="M570:N570"/>
    <mergeCell ref="O570:P570"/>
    <mergeCell ref="B571:E571"/>
    <mergeCell ref="F571:I571"/>
    <mergeCell ref="J571:L571"/>
    <mergeCell ref="M571:N571"/>
    <mergeCell ref="O571:P571"/>
    <mergeCell ref="B568:E568"/>
    <mergeCell ref="F568:I568"/>
    <mergeCell ref="J568:L568"/>
    <mergeCell ref="M568:N568"/>
    <mergeCell ref="O568:P568"/>
    <mergeCell ref="B569:E569"/>
    <mergeCell ref="F569:I569"/>
    <mergeCell ref="J569:L569"/>
    <mergeCell ref="M569:N569"/>
    <mergeCell ref="O569:P569"/>
    <mergeCell ref="B566:E566"/>
    <mergeCell ref="F566:I566"/>
    <mergeCell ref="J566:L566"/>
    <mergeCell ref="M566:N566"/>
    <mergeCell ref="O566:P566"/>
    <mergeCell ref="B567:E567"/>
    <mergeCell ref="F567:I567"/>
    <mergeCell ref="J567:L567"/>
    <mergeCell ref="M567:N567"/>
    <mergeCell ref="O567:P567"/>
    <mergeCell ref="B564:E564"/>
    <mergeCell ref="F564:I564"/>
    <mergeCell ref="J564:L564"/>
    <mergeCell ref="M564:N564"/>
    <mergeCell ref="O564:P564"/>
    <mergeCell ref="B565:E565"/>
    <mergeCell ref="F565:I565"/>
    <mergeCell ref="J565:L565"/>
    <mergeCell ref="M565:N565"/>
    <mergeCell ref="O565:P565"/>
    <mergeCell ref="B562:E562"/>
    <mergeCell ref="F562:I562"/>
    <mergeCell ref="J562:L562"/>
    <mergeCell ref="M562:N562"/>
    <mergeCell ref="O562:P562"/>
    <mergeCell ref="B563:E563"/>
    <mergeCell ref="F563:I563"/>
    <mergeCell ref="J563:L563"/>
    <mergeCell ref="M563:N563"/>
    <mergeCell ref="O563:P563"/>
    <mergeCell ref="B560:E560"/>
    <mergeCell ref="F560:I560"/>
    <mergeCell ref="J560:L560"/>
    <mergeCell ref="M560:N560"/>
    <mergeCell ref="O560:P560"/>
    <mergeCell ref="B561:E561"/>
    <mergeCell ref="F561:I561"/>
    <mergeCell ref="J561:L561"/>
    <mergeCell ref="M561:N561"/>
    <mergeCell ref="O561:P561"/>
    <mergeCell ref="B558:E558"/>
    <mergeCell ref="F558:I558"/>
    <mergeCell ref="J558:L558"/>
    <mergeCell ref="M558:N558"/>
    <mergeCell ref="O558:P558"/>
    <mergeCell ref="B559:E559"/>
    <mergeCell ref="F559:I559"/>
    <mergeCell ref="J559:L559"/>
    <mergeCell ref="M559:N559"/>
    <mergeCell ref="O559:P559"/>
    <mergeCell ref="B556:E556"/>
    <mergeCell ref="F556:I556"/>
    <mergeCell ref="J556:L556"/>
    <mergeCell ref="M556:N556"/>
    <mergeCell ref="O556:P556"/>
    <mergeCell ref="B557:E557"/>
    <mergeCell ref="F557:I557"/>
    <mergeCell ref="J557:L557"/>
    <mergeCell ref="M557:N557"/>
    <mergeCell ref="O557:P557"/>
    <mergeCell ref="B554:E554"/>
    <mergeCell ref="F554:I554"/>
    <mergeCell ref="J554:L554"/>
    <mergeCell ref="M554:N554"/>
    <mergeCell ref="O554:P554"/>
    <mergeCell ref="B555:E555"/>
    <mergeCell ref="F555:I555"/>
    <mergeCell ref="J555:L555"/>
    <mergeCell ref="M555:N555"/>
    <mergeCell ref="O555:P555"/>
    <mergeCell ref="B552:E552"/>
    <mergeCell ref="F552:I552"/>
    <mergeCell ref="J552:L552"/>
    <mergeCell ref="M552:N552"/>
    <mergeCell ref="O552:P552"/>
    <mergeCell ref="B553:E553"/>
    <mergeCell ref="F553:I553"/>
    <mergeCell ref="J553:L553"/>
    <mergeCell ref="M553:N553"/>
    <mergeCell ref="O553:P553"/>
    <mergeCell ref="B550:E550"/>
    <mergeCell ref="F550:I550"/>
    <mergeCell ref="J550:L550"/>
    <mergeCell ref="M550:N550"/>
    <mergeCell ref="O550:P550"/>
    <mergeCell ref="B551:E551"/>
    <mergeCell ref="F551:I551"/>
    <mergeCell ref="J551:L551"/>
    <mergeCell ref="M551:N551"/>
    <mergeCell ref="O551:P551"/>
    <mergeCell ref="B548:E548"/>
    <mergeCell ref="F548:I548"/>
    <mergeCell ref="J548:L548"/>
    <mergeCell ref="M548:N548"/>
    <mergeCell ref="O548:P548"/>
    <mergeCell ref="B549:E549"/>
    <mergeCell ref="F549:I549"/>
    <mergeCell ref="J549:L549"/>
    <mergeCell ref="M549:N549"/>
    <mergeCell ref="O549:P549"/>
    <mergeCell ref="B546:E546"/>
    <mergeCell ref="F546:I546"/>
    <mergeCell ref="J546:L546"/>
    <mergeCell ref="M546:N546"/>
    <mergeCell ref="O546:P546"/>
    <mergeCell ref="B547:E547"/>
    <mergeCell ref="F547:I547"/>
    <mergeCell ref="J547:L547"/>
    <mergeCell ref="M547:N547"/>
    <mergeCell ref="O547:P547"/>
    <mergeCell ref="B544:E544"/>
    <mergeCell ref="F544:I544"/>
    <mergeCell ref="J544:L544"/>
    <mergeCell ref="M544:N544"/>
    <mergeCell ref="O544:P544"/>
    <mergeCell ref="B545:E545"/>
    <mergeCell ref="F545:I545"/>
    <mergeCell ref="J545:L545"/>
    <mergeCell ref="M545:N545"/>
    <mergeCell ref="O545:P545"/>
    <mergeCell ref="B542:E542"/>
    <mergeCell ref="F542:I542"/>
    <mergeCell ref="J542:L542"/>
    <mergeCell ref="M542:N542"/>
    <mergeCell ref="O542:P542"/>
    <mergeCell ref="B543:E543"/>
    <mergeCell ref="F543:I543"/>
    <mergeCell ref="J543:L543"/>
    <mergeCell ref="M543:N543"/>
    <mergeCell ref="O543:P543"/>
    <mergeCell ref="B540:E540"/>
    <mergeCell ref="F540:I540"/>
    <mergeCell ref="J540:L540"/>
    <mergeCell ref="M540:N540"/>
    <mergeCell ref="O540:P540"/>
    <mergeCell ref="B541:E541"/>
    <mergeCell ref="F541:I541"/>
    <mergeCell ref="J541:L541"/>
    <mergeCell ref="M541:N541"/>
    <mergeCell ref="O541:P541"/>
    <mergeCell ref="B538:E538"/>
    <mergeCell ref="F538:I538"/>
    <mergeCell ref="J538:L538"/>
    <mergeCell ref="M538:N538"/>
    <mergeCell ref="O538:P538"/>
    <mergeCell ref="B539:E539"/>
    <mergeCell ref="F539:I539"/>
    <mergeCell ref="J539:L539"/>
    <mergeCell ref="M539:N539"/>
    <mergeCell ref="O539:P539"/>
    <mergeCell ref="B536:E536"/>
    <mergeCell ref="F536:I536"/>
    <mergeCell ref="J536:L536"/>
    <mergeCell ref="M536:N536"/>
    <mergeCell ref="O536:P536"/>
    <mergeCell ref="B537:E537"/>
    <mergeCell ref="F537:I537"/>
    <mergeCell ref="J537:L537"/>
    <mergeCell ref="M537:N537"/>
    <mergeCell ref="O537:P537"/>
    <mergeCell ref="B534:E534"/>
    <mergeCell ref="F534:I534"/>
    <mergeCell ref="J534:L534"/>
    <mergeCell ref="M534:N534"/>
    <mergeCell ref="O534:P534"/>
    <mergeCell ref="B535:E535"/>
    <mergeCell ref="F535:I535"/>
    <mergeCell ref="J535:L535"/>
    <mergeCell ref="M535:N535"/>
    <mergeCell ref="O535:P535"/>
    <mergeCell ref="B532:E532"/>
    <mergeCell ref="F532:I532"/>
    <mergeCell ref="J532:L532"/>
    <mergeCell ref="M532:N532"/>
    <mergeCell ref="O532:P532"/>
    <mergeCell ref="B533:E533"/>
    <mergeCell ref="F533:I533"/>
    <mergeCell ref="J533:L533"/>
    <mergeCell ref="M533:N533"/>
    <mergeCell ref="O533:P533"/>
    <mergeCell ref="B530:E530"/>
    <mergeCell ref="F530:I530"/>
    <mergeCell ref="J530:L530"/>
    <mergeCell ref="M530:N530"/>
    <mergeCell ref="O530:P530"/>
    <mergeCell ref="B531:E531"/>
    <mergeCell ref="F531:I531"/>
    <mergeCell ref="J531:L531"/>
    <mergeCell ref="M531:N531"/>
    <mergeCell ref="O531:P531"/>
    <mergeCell ref="B528:E528"/>
    <mergeCell ref="F528:I528"/>
    <mergeCell ref="J528:L528"/>
    <mergeCell ref="M528:N528"/>
    <mergeCell ref="O528:P528"/>
    <mergeCell ref="B529:E529"/>
    <mergeCell ref="F529:I529"/>
    <mergeCell ref="J529:L529"/>
    <mergeCell ref="M529:N529"/>
    <mergeCell ref="O529:P529"/>
    <mergeCell ref="B526:E526"/>
    <mergeCell ref="F526:I526"/>
    <mergeCell ref="J526:L526"/>
    <mergeCell ref="M526:N526"/>
    <mergeCell ref="O526:P526"/>
    <mergeCell ref="B527:E527"/>
    <mergeCell ref="F527:I527"/>
    <mergeCell ref="J527:L527"/>
    <mergeCell ref="M527:N527"/>
    <mergeCell ref="O527:P527"/>
    <mergeCell ref="B524:E524"/>
    <mergeCell ref="F524:I524"/>
    <mergeCell ref="J524:L524"/>
    <mergeCell ref="M524:N524"/>
    <mergeCell ref="O524:P524"/>
    <mergeCell ref="B525:E525"/>
    <mergeCell ref="F525:I525"/>
    <mergeCell ref="J525:L525"/>
    <mergeCell ref="M525:N525"/>
    <mergeCell ref="O525:P525"/>
    <mergeCell ref="B522:E522"/>
    <mergeCell ref="F522:I522"/>
    <mergeCell ref="J522:L522"/>
    <mergeCell ref="M522:N522"/>
    <mergeCell ref="O522:P522"/>
    <mergeCell ref="B523:E523"/>
    <mergeCell ref="F523:I523"/>
    <mergeCell ref="J523:L523"/>
    <mergeCell ref="M523:N523"/>
    <mergeCell ref="O523:P523"/>
    <mergeCell ref="B520:E520"/>
    <mergeCell ref="F520:I520"/>
    <mergeCell ref="J520:L520"/>
    <mergeCell ref="M520:N520"/>
    <mergeCell ref="O520:P520"/>
    <mergeCell ref="B521:E521"/>
    <mergeCell ref="F521:I521"/>
    <mergeCell ref="J521:L521"/>
    <mergeCell ref="M521:N521"/>
    <mergeCell ref="O521:P521"/>
    <mergeCell ref="B518:E518"/>
    <mergeCell ref="F518:I518"/>
    <mergeCell ref="J518:L518"/>
    <mergeCell ref="M518:N518"/>
    <mergeCell ref="O518:P518"/>
    <mergeCell ref="B519:E519"/>
    <mergeCell ref="F519:I519"/>
    <mergeCell ref="J519:L519"/>
    <mergeCell ref="M519:N519"/>
    <mergeCell ref="O519:P519"/>
    <mergeCell ref="B516:E516"/>
    <mergeCell ref="F516:I516"/>
    <mergeCell ref="J516:L516"/>
    <mergeCell ref="M516:N516"/>
    <mergeCell ref="O516:P516"/>
    <mergeCell ref="B517:E517"/>
    <mergeCell ref="F517:I517"/>
    <mergeCell ref="J517:L517"/>
    <mergeCell ref="M517:N517"/>
    <mergeCell ref="O517:P517"/>
    <mergeCell ref="B514:E514"/>
    <mergeCell ref="F514:I514"/>
    <mergeCell ref="J514:L514"/>
    <mergeCell ref="M514:N514"/>
    <mergeCell ref="O514:P514"/>
    <mergeCell ref="B515:E515"/>
    <mergeCell ref="F515:I515"/>
    <mergeCell ref="J515:L515"/>
    <mergeCell ref="M515:N515"/>
    <mergeCell ref="O515:P515"/>
    <mergeCell ref="B512:E512"/>
    <mergeCell ref="F512:I512"/>
    <mergeCell ref="J512:L512"/>
    <mergeCell ref="M512:N512"/>
    <mergeCell ref="O512:P512"/>
    <mergeCell ref="B513:E513"/>
    <mergeCell ref="F513:I513"/>
    <mergeCell ref="J513:L513"/>
    <mergeCell ref="M513:N513"/>
    <mergeCell ref="O513:P513"/>
    <mergeCell ref="B510:E510"/>
    <mergeCell ref="F510:I510"/>
    <mergeCell ref="J510:L510"/>
    <mergeCell ref="M510:N510"/>
    <mergeCell ref="O510:P510"/>
    <mergeCell ref="B511:E511"/>
    <mergeCell ref="F511:I511"/>
    <mergeCell ref="J511:L511"/>
    <mergeCell ref="M511:N511"/>
    <mergeCell ref="O511:P511"/>
    <mergeCell ref="B508:E508"/>
    <mergeCell ref="F508:I508"/>
    <mergeCell ref="J508:L508"/>
    <mergeCell ref="M508:N508"/>
    <mergeCell ref="O508:P508"/>
    <mergeCell ref="B509:E509"/>
    <mergeCell ref="F509:I509"/>
    <mergeCell ref="J509:L509"/>
    <mergeCell ref="M509:N509"/>
    <mergeCell ref="O509:P509"/>
    <mergeCell ref="B506:E506"/>
    <mergeCell ref="F506:I506"/>
    <mergeCell ref="J506:L506"/>
    <mergeCell ref="M506:N506"/>
    <mergeCell ref="O506:P506"/>
    <mergeCell ref="B507:E507"/>
    <mergeCell ref="F507:I507"/>
    <mergeCell ref="J507:L507"/>
    <mergeCell ref="M507:N507"/>
    <mergeCell ref="O507:P507"/>
    <mergeCell ref="B504:E504"/>
    <mergeCell ref="F504:I504"/>
    <mergeCell ref="J504:L504"/>
    <mergeCell ref="M504:N504"/>
    <mergeCell ref="O504:P504"/>
    <mergeCell ref="B505:E505"/>
    <mergeCell ref="F505:I505"/>
    <mergeCell ref="J505:L505"/>
    <mergeCell ref="M505:N505"/>
    <mergeCell ref="O505:P505"/>
    <mergeCell ref="B502:E502"/>
    <mergeCell ref="F502:I502"/>
    <mergeCell ref="J502:L502"/>
    <mergeCell ref="M502:N502"/>
    <mergeCell ref="O502:P502"/>
    <mergeCell ref="B503:E503"/>
    <mergeCell ref="F503:I503"/>
    <mergeCell ref="J503:L503"/>
    <mergeCell ref="M503:N503"/>
    <mergeCell ref="O503:P503"/>
    <mergeCell ref="B500:E500"/>
    <mergeCell ref="F500:I500"/>
    <mergeCell ref="J500:L500"/>
    <mergeCell ref="M500:N500"/>
    <mergeCell ref="O500:P500"/>
    <mergeCell ref="B501:E501"/>
    <mergeCell ref="F501:I501"/>
    <mergeCell ref="J501:L501"/>
    <mergeCell ref="M501:N501"/>
    <mergeCell ref="O501:P501"/>
    <mergeCell ref="B498:E498"/>
    <mergeCell ref="F498:I498"/>
    <mergeCell ref="J498:L498"/>
    <mergeCell ref="M498:N498"/>
    <mergeCell ref="O498:P498"/>
    <mergeCell ref="B499:E499"/>
    <mergeCell ref="F499:I499"/>
    <mergeCell ref="J499:L499"/>
    <mergeCell ref="M499:N499"/>
    <mergeCell ref="O499:P499"/>
    <mergeCell ref="B496:E496"/>
    <mergeCell ref="F496:I496"/>
    <mergeCell ref="J496:L496"/>
    <mergeCell ref="M496:N496"/>
    <mergeCell ref="O496:P496"/>
    <mergeCell ref="B497:E497"/>
    <mergeCell ref="F497:I497"/>
    <mergeCell ref="J497:L497"/>
    <mergeCell ref="M497:N497"/>
    <mergeCell ref="O497:P497"/>
    <mergeCell ref="B494:E494"/>
    <mergeCell ref="F494:I494"/>
    <mergeCell ref="J494:L494"/>
    <mergeCell ref="M494:N494"/>
    <mergeCell ref="O494:P494"/>
    <mergeCell ref="B495:E495"/>
    <mergeCell ref="F495:I495"/>
    <mergeCell ref="J495:L495"/>
    <mergeCell ref="M495:N495"/>
    <mergeCell ref="O495:P495"/>
    <mergeCell ref="B492:E492"/>
    <mergeCell ref="F492:I492"/>
    <mergeCell ref="J492:L492"/>
    <mergeCell ref="M492:N492"/>
    <mergeCell ref="O492:P492"/>
    <mergeCell ref="B493:E493"/>
    <mergeCell ref="F493:I493"/>
    <mergeCell ref="J493:L493"/>
    <mergeCell ref="M493:N493"/>
    <mergeCell ref="O493:P493"/>
    <mergeCell ref="B490:E490"/>
    <mergeCell ref="F490:I490"/>
    <mergeCell ref="J490:L490"/>
    <mergeCell ref="M490:N490"/>
    <mergeCell ref="O490:P490"/>
    <mergeCell ref="B491:E491"/>
    <mergeCell ref="F491:I491"/>
    <mergeCell ref="J491:L491"/>
    <mergeCell ref="M491:N491"/>
    <mergeCell ref="O491:P491"/>
    <mergeCell ref="B488:E488"/>
    <mergeCell ref="F488:I488"/>
    <mergeCell ref="J488:L488"/>
    <mergeCell ref="M488:N488"/>
    <mergeCell ref="O488:P488"/>
    <mergeCell ref="B489:E489"/>
    <mergeCell ref="F489:I489"/>
    <mergeCell ref="J489:L489"/>
    <mergeCell ref="M489:N489"/>
    <mergeCell ref="O489:P489"/>
    <mergeCell ref="B486:E486"/>
    <mergeCell ref="F486:I486"/>
    <mergeCell ref="J486:L486"/>
    <mergeCell ref="M486:N486"/>
    <mergeCell ref="O486:P486"/>
    <mergeCell ref="B487:E487"/>
    <mergeCell ref="F487:I487"/>
    <mergeCell ref="J487:L487"/>
    <mergeCell ref="M487:N487"/>
    <mergeCell ref="O487:P487"/>
    <mergeCell ref="B484:E484"/>
    <mergeCell ref="F484:I484"/>
    <mergeCell ref="J484:L484"/>
    <mergeCell ref="M484:N484"/>
    <mergeCell ref="O484:P484"/>
    <mergeCell ref="B485:E485"/>
    <mergeCell ref="F485:I485"/>
    <mergeCell ref="J485:L485"/>
    <mergeCell ref="M485:N485"/>
    <mergeCell ref="O485:P485"/>
    <mergeCell ref="B482:E482"/>
    <mergeCell ref="F482:I482"/>
    <mergeCell ref="J482:L482"/>
    <mergeCell ref="M482:N482"/>
    <mergeCell ref="O482:P482"/>
    <mergeCell ref="B483:E483"/>
    <mergeCell ref="F483:I483"/>
    <mergeCell ref="J483:L483"/>
    <mergeCell ref="M483:N483"/>
    <mergeCell ref="O483:P483"/>
    <mergeCell ref="B480:E480"/>
    <mergeCell ref="F480:I480"/>
    <mergeCell ref="J480:L480"/>
    <mergeCell ref="M480:N480"/>
    <mergeCell ref="O480:P480"/>
    <mergeCell ref="B481:E481"/>
    <mergeCell ref="F481:I481"/>
    <mergeCell ref="J481:L481"/>
    <mergeCell ref="M481:N481"/>
    <mergeCell ref="O481:P481"/>
    <mergeCell ref="B478:E478"/>
    <mergeCell ref="F478:I478"/>
    <mergeCell ref="J478:L478"/>
    <mergeCell ref="M478:N478"/>
    <mergeCell ref="O478:P478"/>
    <mergeCell ref="B479:E479"/>
    <mergeCell ref="F479:I479"/>
    <mergeCell ref="J479:L479"/>
    <mergeCell ref="M479:N479"/>
    <mergeCell ref="O479:P479"/>
    <mergeCell ref="B476:E476"/>
    <mergeCell ref="F476:I476"/>
    <mergeCell ref="J476:L476"/>
    <mergeCell ref="M476:N476"/>
    <mergeCell ref="O476:P476"/>
    <mergeCell ref="B477:E477"/>
    <mergeCell ref="F477:I477"/>
    <mergeCell ref="J477:L477"/>
    <mergeCell ref="M477:N477"/>
    <mergeCell ref="O477:P477"/>
    <mergeCell ref="B474:E474"/>
    <mergeCell ref="F474:I474"/>
    <mergeCell ref="J474:L474"/>
    <mergeCell ref="M474:N474"/>
    <mergeCell ref="O474:P474"/>
    <mergeCell ref="B475:E475"/>
    <mergeCell ref="F475:I475"/>
    <mergeCell ref="J475:L475"/>
    <mergeCell ref="M475:N475"/>
    <mergeCell ref="O475:P475"/>
    <mergeCell ref="B472:E472"/>
    <mergeCell ref="F472:I472"/>
    <mergeCell ref="J472:L472"/>
    <mergeCell ref="M472:N472"/>
    <mergeCell ref="O472:P472"/>
    <mergeCell ref="B473:E473"/>
    <mergeCell ref="F473:I473"/>
    <mergeCell ref="J473:L473"/>
    <mergeCell ref="M473:N473"/>
    <mergeCell ref="O473:P473"/>
    <mergeCell ref="B470:E470"/>
    <mergeCell ref="F470:I470"/>
    <mergeCell ref="J470:L470"/>
    <mergeCell ref="M470:N470"/>
    <mergeCell ref="O470:P470"/>
    <mergeCell ref="B471:E471"/>
    <mergeCell ref="F471:I471"/>
    <mergeCell ref="J471:L471"/>
    <mergeCell ref="M471:N471"/>
    <mergeCell ref="O471:P471"/>
    <mergeCell ref="B468:E468"/>
    <mergeCell ref="F468:I468"/>
    <mergeCell ref="J468:L468"/>
    <mergeCell ref="M468:N468"/>
    <mergeCell ref="O468:P468"/>
    <mergeCell ref="B469:E469"/>
    <mergeCell ref="F469:I469"/>
    <mergeCell ref="J469:L469"/>
    <mergeCell ref="M469:N469"/>
    <mergeCell ref="O469:P469"/>
    <mergeCell ref="B466:E466"/>
    <mergeCell ref="F466:I466"/>
    <mergeCell ref="J466:L466"/>
    <mergeCell ref="M466:N466"/>
    <mergeCell ref="O466:P466"/>
    <mergeCell ref="B467:E467"/>
    <mergeCell ref="F467:I467"/>
    <mergeCell ref="J467:L467"/>
    <mergeCell ref="M467:N467"/>
    <mergeCell ref="O467:P467"/>
    <mergeCell ref="B464:E464"/>
    <mergeCell ref="F464:I464"/>
    <mergeCell ref="J464:L464"/>
    <mergeCell ref="M464:N464"/>
    <mergeCell ref="O464:P464"/>
    <mergeCell ref="B465:E465"/>
    <mergeCell ref="F465:I465"/>
    <mergeCell ref="J465:L465"/>
    <mergeCell ref="M465:N465"/>
    <mergeCell ref="O465:P465"/>
    <mergeCell ref="B462:E462"/>
    <mergeCell ref="F462:I462"/>
    <mergeCell ref="J462:L462"/>
    <mergeCell ref="M462:N462"/>
    <mergeCell ref="O462:P462"/>
    <mergeCell ref="B463:E463"/>
    <mergeCell ref="F463:I463"/>
    <mergeCell ref="J463:L463"/>
    <mergeCell ref="M463:N463"/>
    <mergeCell ref="O463:P463"/>
    <mergeCell ref="B460:E460"/>
    <mergeCell ref="F460:I460"/>
    <mergeCell ref="J460:L460"/>
    <mergeCell ref="M460:N460"/>
    <mergeCell ref="O460:P460"/>
    <mergeCell ref="B461:E461"/>
    <mergeCell ref="F461:I461"/>
    <mergeCell ref="J461:L461"/>
    <mergeCell ref="M461:N461"/>
    <mergeCell ref="O461:P461"/>
    <mergeCell ref="B458:E458"/>
    <mergeCell ref="F458:I458"/>
    <mergeCell ref="J458:L458"/>
    <mergeCell ref="M458:N458"/>
    <mergeCell ref="O458:P458"/>
    <mergeCell ref="B459:E459"/>
    <mergeCell ref="F459:I459"/>
    <mergeCell ref="J459:L459"/>
    <mergeCell ref="M459:N459"/>
    <mergeCell ref="O459:P459"/>
    <mergeCell ref="B456:E456"/>
    <mergeCell ref="F456:I456"/>
    <mergeCell ref="J456:L456"/>
    <mergeCell ref="M456:N456"/>
    <mergeCell ref="O456:P456"/>
    <mergeCell ref="B457:E457"/>
    <mergeCell ref="F457:I457"/>
    <mergeCell ref="J457:L457"/>
    <mergeCell ref="M457:N457"/>
    <mergeCell ref="O457:P457"/>
    <mergeCell ref="B454:E454"/>
    <mergeCell ref="F454:I454"/>
    <mergeCell ref="J454:L454"/>
    <mergeCell ref="M454:N454"/>
    <mergeCell ref="O454:P454"/>
    <mergeCell ref="B455:E455"/>
    <mergeCell ref="F455:I455"/>
    <mergeCell ref="J455:L455"/>
    <mergeCell ref="M455:N455"/>
    <mergeCell ref="O455:P455"/>
    <mergeCell ref="B452:E452"/>
    <mergeCell ref="F452:I452"/>
    <mergeCell ref="J452:L452"/>
    <mergeCell ref="M452:N452"/>
    <mergeCell ref="O452:P452"/>
    <mergeCell ref="B453:E453"/>
    <mergeCell ref="F453:I453"/>
    <mergeCell ref="J453:L453"/>
    <mergeCell ref="M453:N453"/>
    <mergeCell ref="O453:P453"/>
    <mergeCell ref="B450:E450"/>
    <mergeCell ref="F450:I450"/>
    <mergeCell ref="J450:L450"/>
    <mergeCell ref="M450:N450"/>
    <mergeCell ref="O450:P450"/>
    <mergeCell ref="B451:E451"/>
    <mergeCell ref="F451:I451"/>
    <mergeCell ref="J451:L451"/>
    <mergeCell ref="M451:N451"/>
    <mergeCell ref="O451:P451"/>
    <mergeCell ref="B448:E448"/>
    <mergeCell ref="F448:I448"/>
    <mergeCell ref="J448:L448"/>
    <mergeCell ref="M448:N448"/>
    <mergeCell ref="O448:P448"/>
    <mergeCell ref="B449:E449"/>
    <mergeCell ref="F449:I449"/>
    <mergeCell ref="J449:L449"/>
    <mergeCell ref="M449:N449"/>
    <mergeCell ref="O449:P449"/>
    <mergeCell ref="B446:E446"/>
    <mergeCell ref="F446:I446"/>
    <mergeCell ref="J446:L446"/>
    <mergeCell ref="M446:N446"/>
    <mergeCell ref="O446:P446"/>
    <mergeCell ref="B447:E447"/>
    <mergeCell ref="F447:I447"/>
    <mergeCell ref="J447:L447"/>
    <mergeCell ref="M447:N447"/>
    <mergeCell ref="O447:P447"/>
    <mergeCell ref="B444:E444"/>
    <mergeCell ref="F444:I444"/>
    <mergeCell ref="J444:L444"/>
    <mergeCell ref="M444:N444"/>
    <mergeCell ref="O444:P444"/>
    <mergeCell ref="B445:E445"/>
    <mergeCell ref="F445:I445"/>
    <mergeCell ref="J445:L445"/>
    <mergeCell ref="M445:N445"/>
    <mergeCell ref="O445:P445"/>
    <mergeCell ref="B442:E442"/>
    <mergeCell ref="F442:I442"/>
    <mergeCell ref="J442:L442"/>
    <mergeCell ref="M442:N442"/>
    <mergeCell ref="O442:P442"/>
    <mergeCell ref="B443:E443"/>
    <mergeCell ref="F443:I443"/>
    <mergeCell ref="J443:L443"/>
    <mergeCell ref="M443:N443"/>
    <mergeCell ref="O443:P443"/>
    <mergeCell ref="B440:E440"/>
    <mergeCell ref="F440:I440"/>
    <mergeCell ref="J440:L440"/>
    <mergeCell ref="M440:N440"/>
    <mergeCell ref="O440:P440"/>
    <mergeCell ref="B441:E441"/>
    <mergeCell ref="F441:I441"/>
    <mergeCell ref="J441:L441"/>
    <mergeCell ref="M441:N441"/>
    <mergeCell ref="O441:P441"/>
    <mergeCell ref="B438:E438"/>
    <mergeCell ref="F438:I438"/>
    <mergeCell ref="J438:L438"/>
    <mergeCell ref="M438:N438"/>
    <mergeCell ref="O438:P438"/>
    <mergeCell ref="B439:E439"/>
    <mergeCell ref="F439:I439"/>
    <mergeCell ref="J439:L439"/>
    <mergeCell ref="M439:N439"/>
    <mergeCell ref="O439:P439"/>
    <mergeCell ref="B436:E436"/>
    <mergeCell ref="F436:I436"/>
    <mergeCell ref="J436:L436"/>
    <mergeCell ref="M436:N436"/>
    <mergeCell ref="O436:P436"/>
    <mergeCell ref="B437:E437"/>
    <mergeCell ref="F437:I437"/>
    <mergeCell ref="J437:L437"/>
    <mergeCell ref="M437:N437"/>
    <mergeCell ref="O437:P437"/>
    <mergeCell ref="B434:E434"/>
    <mergeCell ref="F434:I434"/>
    <mergeCell ref="J434:L434"/>
    <mergeCell ref="M434:N434"/>
    <mergeCell ref="O434:P434"/>
    <mergeCell ref="B435:E435"/>
    <mergeCell ref="F435:I435"/>
    <mergeCell ref="J435:L435"/>
    <mergeCell ref="M435:N435"/>
    <mergeCell ref="O435:P435"/>
    <mergeCell ref="B432:E432"/>
    <mergeCell ref="F432:I432"/>
    <mergeCell ref="J432:L432"/>
    <mergeCell ref="M432:N432"/>
    <mergeCell ref="O432:P432"/>
    <mergeCell ref="B433:E433"/>
    <mergeCell ref="F433:I433"/>
    <mergeCell ref="J433:L433"/>
    <mergeCell ref="M433:N433"/>
    <mergeCell ref="O433:P433"/>
    <mergeCell ref="B430:E430"/>
    <mergeCell ref="F430:I430"/>
    <mergeCell ref="J430:L430"/>
    <mergeCell ref="M430:N430"/>
    <mergeCell ref="O430:P430"/>
    <mergeCell ref="B431:E431"/>
    <mergeCell ref="F431:I431"/>
    <mergeCell ref="J431:L431"/>
    <mergeCell ref="M431:N431"/>
    <mergeCell ref="O431:P431"/>
    <mergeCell ref="B428:E428"/>
    <mergeCell ref="F428:I428"/>
    <mergeCell ref="J428:L428"/>
    <mergeCell ref="M428:N428"/>
    <mergeCell ref="O428:P428"/>
    <mergeCell ref="B429:E429"/>
    <mergeCell ref="F429:I429"/>
    <mergeCell ref="J429:L429"/>
    <mergeCell ref="M429:N429"/>
    <mergeCell ref="O429:P429"/>
    <mergeCell ref="B426:E426"/>
    <mergeCell ref="F426:I426"/>
    <mergeCell ref="J426:L426"/>
    <mergeCell ref="M426:N426"/>
    <mergeCell ref="O426:P426"/>
    <mergeCell ref="B427:E427"/>
    <mergeCell ref="F427:I427"/>
    <mergeCell ref="J427:L427"/>
    <mergeCell ref="M427:N427"/>
    <mergeCell ref="O427:P427"/>
    <mergeCell ref="B424:E424"/>
    <mergeCell ref="F424:I424"/>
    <mergeCell ref="J424:L424"/>
    <mergeCell ref="M424:N424"/>
    <mergeCell ref="O424:P424"/>
    <mergeCell ref="B425:E425"/>
    <mergeCell ref="F425:I425"/>
    <mergeCell ref="J425:L425"/>
    <mergeCell ref="M425:N425"/>
    <mergeCell ref="O425:P425"/>
    <mergeCell ref="B422:E422"/>
    <mergeCell ref="F422:I422"/>
    <mergeCell ref="J422:L422"/>
    <mergeCell ref="M422:N422"/>
    <mergeCell ref="O422:P422"/>
    <mergeCell ref="B423:E423"/>
    <mergeCell ref="F423:I423"/>
    <mergeCell ref="J423:L423"/>
    <mergeCell ref="M423:N423"/>
    <mergeCell ref="O423:P423"/>
    <mergeCell ref="B420:E420"/>
    <mergeCell ref="F420:I420"/>
    <mergeCell ref="J420:L420"/>
    <mergeCell ref="M420:N420"/>
    <mergeCell ref="O420:P420"/>
    <mergeCell ref="B421:E421"/>
    <mergeCell ref="F421:I421"/>
    <mergeCell ref="J421:L421"/>
    <mergeCell ref="M421:N421"/>
    <mergeCell ref="O421:P421"/>
    <mergeCell ref="B418:E418"/>
    <mergeCell ref="F418:I418"/>
    <mergeCell ref="J418:L418"/>
    <mergeCell ref="M418:N418"/>
    <mergeCell ref="O418:P418"/>
    <mergeCell ref="B419:E419"/>
    <mergeCell ref="F419:I419"/>
    <mergeCell ref="J419:L419"/>
    <mergeCell ref="M419:N419"/>
    <mergeCell ref="O419:P419"/>
    <mergeCell ref="B416:E416"/>
    <mergeCell ref="F416:I416"/>
    <mergeCell ref="J416:L416"/>
    <mergeCell ref="M416:N416"/>
    <mergeCell ref="O416:P416"/>
    <mergeCell ref="B417:E417"/>
    <mergeCell ref="F417:I417"/>
    <mergeCell ref="J417:L417"/>
    <mergeCell ref="M417:N417"/>
    <mergeCell ref="O417:P417"/>
    <mergeCell ref="B414:E414"/>
    <mergeCell ref="F414:I414"/>
    <mergeCell ref="J414:L414"/>
    <mergeCell ref="M414:N414"/>
    <mergeCell ref="O414:P414"/>
    <mergeCell ref="B415:E415"/>
    <mergeCell ref="F415:I415"/>
    <mergeCell ref="J415:L415"/>
    <mergeCell ref="M415:N415"/>
    <mergeCell ref="O415:P415"/>
    <mergeCell ref="B412:E412"/>
    <mergeCell ref="F412:I412"/>
    <mergeCell ref="J412:L412"/>
    <mergeCell ref="M412:N412"/>
    <mergeCell ref="O412:P412"/>
    <mergeCell ref="B413:E413"/>
    <mergeCell ref="F413:I413"/>
    <mergeCell ref="J413:L413"/>
    <mergeCell ref="M413:N413"/>
    <mergeCell ref="O413:P413"/>
    <mergeCell ref="B410:E410"/>
    <mergeCell ref="F410:I410"/>
    <mergeCell ref="J410:L410"/>
    <mergeCell ref="M410:N410"/>
    <mergeCell ref="O410:P410"/>
    <mergeCell ref="B411:E411"/>
    <mergeCell ref="F411:I411"/>
    <mergeCell ref="J411:L411"/>
    <mergeCell ref="M411:N411"/>
    <mergeCell ref="O411:P411"/>
    <mergeCell ref="B408:E408"/>
    <mergeCell ref="F408:I408"/>
    <mergeCell ref="J408:L408"/>
    <mergeCell ref="M408:N408"/>
    <mergeCell ref="O408:P408"/>
    <mergeCell ref="B409:E409"/>
    <mergeCell ref="F409:I409"/>
    <mergeCell ref="J409:L409"/>
    <mergeCell ref="M409:N409"/>
    <mergeCell ref="O409:P409"/>
    <mergeCell ref="B406:E406"/>
    <mergeCell ref="F406:I406"/>
    <mergeCell ref="J406:L406"/>
    <mergeCell ref="M406:N406"/>
    <mergeCell ref="O406:P406"/>
    <mergeCell ref="B407:E407"/>
    <mergeCell ref="F407:I407"/>
    <mergeCell ref="J407:L407"/>
    <mergeCell ref="M407:N407"/>
    <mergeCell ref="O407:P407"/>
    <mergeCell ref="B404:E404"/>
    <mergeCell ref="F404:I404"/>
    <mergeCell ref="J404:L404"/>
    <mergeCell ref="M404:N404"/>
    <mergeCell ref="O404:P404"/>
    <mergeCell ref="B405:E405"/>
    <mergeCell ref="F405:I405"/>
    <mergeCell ref="J405:L405"/>
    <mergeCell ref="M405:N405"/>
    <mergeCell ref="O405:P405"/>
    <mergeCell ref="B402:E402"/>
    <mergeCell ref="F402:I402"/>
    <mergeCell ref="J402:L402"/>
    <mergeCell ref="M402:N402"/>
    <mergeCell ref="O402:P402"/>
    <mergeCell ref="B403:E403"/>
    <mergeCell ref="F403:I403"/>
    <mergeCell ref="J403:L403"/>
    <mergeCell ref="M403:N403"/>
    <mergeCell ref="O403:P403"/>
    <mergeCell ref="B400:E400"/>
    <mergeCell ref="F400:I400"/>
    <mergeCell ref="J400:L400"/>
    <mergeCell ref="M400:N400"/>
    <mergeCell ref="O400:P400"/>
    <mergeCell ref="B401:E401"/>
    <mergeCell ref="F401:I401"/>
    <mergeCell ref="J401:L401"/>
    <mergeCell ref="M401:N401"/>
    <mergeCell ref="O401:P401"/>
    <mergeCell ref="B398:E398"/>
    <mergeCell ref="F398:I398"/>
    <mergeCell ref="J398:L398"/>
    <mergeCell ref="M398:N398"/>
    <mergeCell ref="O398:P398"/>
    <mergeCell ref="B399:E399"/>
    <mergeCell ref="F399:I399"/>
    <mergeCell ref="J399:L399"/>
    <mergeCell ref="M399:N399"/>
    <mergeCell ref="O399:P399"/>
    <mergeCell ref="B396:E396"/>
    <mergeCell ref="F396:I396"/>
    <mergeCell ref="J396:L396"/>
    <mergeCell ref="M396:N396"/>
    <mergeCell ref="O396:P396"/>
    <mergeCell ref="B397:E397"/>
    <mergeCell ref="F397:I397"/>
    <mergeCell ref="J397:L397"/>
    <mergeCell ref="M397:N397"/>
    <mergeCell ref="O397:P397"/>
    <mergeCell ref="B394:E394"/>
    <mergeCell ref="F394:I394"/>
    <mergeCell ref="J394:L394"/>
    <mergeCell ref="M394:N394"/>
    <mergeCell ref="O394:P394"/>
    <mergeCell ref="B395:E395"/>
    <mergeCell ref="F395:I395"/>
    <mergeCell ref="J395:L395"/>
    <mergeCell ref="M395:N395"/>
    <mergeCell ref="O395:P395"/>
    <mergeCell ref="B392:E392"/>
    <mergeCell ref="F392:I392"/>
    <mergeCell ref="J392:L392"/>
    <mergeCell ref="M392:N392"/>
    <mergeCell ref="O392:P392"/>
    <mergeCell ref="B393:E393"/>
    <mergeCell ref="F393:I393"/>
    <mergeCell ref="J393:L393"/>
    <mergeCell ref="M393:N393"/>
    <mergeCell ref="O393:P393"/>
    <mergeCell ref="B390:E390"/>
    <mergeCell ref="F390:I390"/>
    <mergeCell ref="J390:L390"/>
    <mergeCell ref="M390:N390"/>
    <mergeCell ref="O390:P390"/>
    <mergeCell ref="B391:E391"/>
    <mergeCell ref="F391:I391"/>
    <mergeCell ref="J391:L391"/>
    <mergeCell ref="M391:N391"/>
    <mergeCell ref="O391:P391"/>
    <mergeCell ref="B388:E388"/>
    <mergeCell ref="F388:I388"/>
    <mergeCell ref="J388:L388"/>
    <mergeCell ref="M388:N388"/>
    <mergeCell ref="O388:P388"/>
    <mergeCell ref="B389:E389"/>
    <mergeCell ref="F389:I389"/>
    <mergeCell ref="J389:L389"/>
    <mergeCell ref="M389:N389"/>
    <mergeCell ref="O389:P389"/>
    <mergeCell ref="B386:E386"/>
    <mergeCell ref="F386:I386"/>
    <mergeCell ref="J386:L386"/>
    <mergeCell ref="M386:N386"/>
    <mergeCell ref="O386:P386"/>
    <mergeCell ref="B387:E387"/>
    <mergeCell ref="F387:I387"/>
    <mergeCell ref="J387:L387"/>
    <mergeCell ref="M387:N387"/>
    <mergeCell ref="O387:P387"/>
    <mergeCell ref="B384:E384"/>
    <mergeCell ref="F384:I384"/>
    <mergeCell ref="J384:L384"/>
    <mergeCell ref="M384:N384"/>
    <mergeCell ref="O384:P384"/>
    <mergeCell ref="B385:E385"/>
    <mergeCell ref="F385:I385"/>
    <mergeCell ref="J385:L385"/>
    <mergeCell ref="M385:N385"/>
    <mergeCell ref="O385:P385"/>
    <mergeCell ref="B382:E382"/>
    <mergeCell ref="F382:I382"/>
    <mergeCell ref="J382:L382"/>
    <mergeCell ref="M382:N382"/>
    <mergeCell ref="O382:P382"/>
    <mergeCell ref="B383:E383"/>
    <mergeCell ref="F383:I383"/>
    <mergeCell ref="J383:L383"/>
    <mergeCell ref="M383:N383"/>
    <mergeCell ref="O383:P383"/>
    <mergeCell ref="B380:E380"/>
    <mergeCell ref="F380:I380"/>
    <mergeCell ref="J380:L380"/>
    <mergeCell ref="M380:N380"/>
    <mergeCell ref="O380:P380"/>
    <mergeCell ref="B381:E381"/>
    <mergeCell ref="F381:I381"/>
    <mergeCell ref="J381:L381"/>
    <mergeCell ref="M381:N381"/>
    <mergeCell ref="O381:P381"/>
    <mergeCell ref="B378:E378"/>
    <mergeCell ref="F378:I378"/>
    <mergeCell ref="J378:L378"/>
    <mergeCell ref="M378:N378"/>
    <mergeCell ref="O378:P378"/>
    <mergeCell ref="B379:E379"/>
    <mergeCell ref="F379:I379"/>
    <mergeCell ref="J379:L379"/>
    <mergeCell ref="M379:N379"/>
    <mergeCell ref="O379:P379"/>
    <mergeCell ref="B376:E376"/>
    <mergeCell ref="F376:I376"/>
    <mergeCell ref="J376:L376"/>
    <mergeCell ref="M376:N376"/>
    <mergeCell ref="O376:P376"/>
    <mergeCell ref="B377:E377"/>
    <mergeCell ref="F377:I377"/>
    <mergeCell ref="J377:L377"/>
    <mergeCell ref="M377:N377"/>
    <mergeCell ref="O377:P377"/>
    <mergeCell ref="B374:E374"/>
    <mergeCell ref="F374:I374"/>
    <mergeCell ref="J374:L374"/>
    <mergeCell ref="M374:N374"/>
    <mergeCell ref="O374:P374"/>
    <mergeCell ref="B375:E375"/>
    <mergeCell ref="F375:I375"/>
    <mergeCell ref="J375:L375"/>
    <mergeCell ref="M375:N375"/>
    <mergeCell ref="O375:P375"/>
    <mergeCell ref="B372:E372"/>
    <mergeCell ref="F372:I372"/>
    <mergeCell ref="J372:L372"/>
    <mergeCell ref="M372:N372"/>
    <mergeCell ref="O372:P372"/>
    <mergeCell ref="B373:E373"/>
    <mergeCell ref="F373:I373"/>
    <mergeCell ref="J373:L373"/>
    <mergeCell ref="M373:N373"/>
    <mergeCell ref="O373:P373"/>
    <mergeCell ref="B370:E370"/>
    <mergeCell ref="F370:I370"/>
    <mergeCell ref="J370:L370"/>
    <mergeCell ref="M370:N370"/>
    <mergeCell ref="O370:P370"/>
    <mergeCell ref="B371:E371"/>
    <mergeCell ref="F371:I371"/>
    <mergeCell ref="J371:L371"/>
    <mergeCell ref="M371:N371"/>
    <mergeCell ref="O371:P371"/>
    <mergeCell ref="B368:E368"/>
    <mergeCell ref="F368:I368"/>
    <mergeCell ref="J368:L368"/>
    <mergeCell ref="M368:N368"/>
    <mergeCell ref="O368:P368"/>
    <mergeCell ref="B369:E369"/>
    <mergeCell ref="F369:I369"/>
    <mergeCell ref="J369:L369"/>
    <mergeCell ref="M369:N369"/>
    <mergeCell ref="O369:P369"/>
    <mergeCell ref="B366:E366"/>
    <mergeCell ref="F366:I366"/>
    <mergeCell ref="J366:L366"/>
    <mergeCell ref="M366:N366"/>
    <mergeCell ref="O366:P366"/>
    <mergeCell ref="B367:E367"/>
    <mergeCell ref="F367:I367"/>
    <mergeCell ref="J367:L367"/>
    <mergeCell ref="M367:N367"/>
    <mergeCell ref="O367:P367"/>
    <mergeCell ref="B364:E364"/>
    <mergeCell ref="F364:I364"/>
    <mergeCell ref="J364:L364"/>
    <mergeCell ref="M364:N364"/>
    <mergeCell ref="O364:P364"/>
    <mergeCell ref="B365:E365"/>
    <mergeCell ref="F365:I365"/>
    <mergeCell ref="J365:L365"/>
    <mergeCell ref="M365:N365"/>
    <mergeCell ref="O365:P365"/>
    <mergeCell ref="B362:E362"/>
    <mergeCell ref="F362:I362"/>
    <mergeCell ref="J362:L362"/>
    <mergeCell ref="M362:N362"/>
    <mergeCell ref="O362:P362"/>
    <mergeCell ref="B363:E363"/>
    <mergeCell ref="F363:I363"/>
    <mergeCell ref="J363:L363"/>
    <mergeCell ref="M363:N363"/>
    <mergeCell ref="O363:P363"/>
    <mergeCell ref="B360:E360"/>
    <mergeCell ref="F360:I360"/>
    <mergeCell ref="J360:L360"/>
    <mergeCell ref="M360:N360"/>
    <mergeCell ref="O360:P360"/>
    <mergeCell ref="B361:E361"/>
    <mergeCell ref="F361:I361"/>
    <mergeCell ref="J361:L361"/>
    <mergeCell ref="M361:N361"/>
    <mergeCell ref="O361:P361"/>
    <mergeCell ref="B358:E358"/>
    <mergeCell ref="F358:I358"/>
    <mergeCell ref="J358:L358"/>
    <mergeCell ref="M358:N358"/>
    <mergeCell ref="O358:P358"/>
    <mergeCell ref="B359:E359"/>
    <mergeCell ref="F359:I359"/>
    <mergeCell ref="J359:L359"/>
    <mergeCell ref="M359:N359"/>
    <mergeCell ref="O359:P359"/>
    <mergeCell ref="B356:E356"/>
    <mergeCell ref="F356:I356"/>
    <mergeCell ref="J356:L356"/>
    <mergeCell ref="M356:N356"/>
    <mergeCell ref="O356:P356"/>
    <mergeCell ref="B357:E357"/>
    <mergeCell ref="F357:I357"/>
    <mergeCell ref="J357:L357"/>
    <mergeCell ref="M357:N357"/>
    <mergeCell ref="O357:P357"/>
    <mergeCell ref="B354:E354"/>
    <mergeCell ref="F354:I354"/>
    <mergeCell ref="J354:L354"/>
    <mergeCell ref="M354:N354"/>
    <mergeCell ref="O354:P354"/>
    <mergeCell ref="B355:E355"/>
    <mergeCell ref="F355:I355"/>
    <mergeCell ref="J355:L355"/>
    <mergeCell ref="M355:N355"/>
    <mergeCell ref="O355:P355"/>
    <mergeCell ref="B352:E352"/>
    <mergeCell ref="F352:I352"/>
    <mergeCell ref="J352:L352"/>
    <mergeCell ref="M352:N352"/>
    <mergeCell ref="O352:P352"/>
    <mergeCell ref="B353:E353"/>
    <mergeCell ref="F353:I353"/>
    <mergeCell ref="J353:L353"/>
    <mergeCell ref="M353:N353"/>
    <mergeCell ref="O353:P353"/>
    <mergeCell ref="B350:E350"/>
    <mergeCell ref="F350:I350"/>
    <mergeCell ref="J350:L350"/>
    <mergeCell ref="M350:N350"/>
    <mergeCell ref="O350:P350"/>
    <mergeCell ref="B351:E351"/>
    <mergeCell ref="F351:I351"/>
    <mergeCell ref="J351:L351"/>
    <mergeCell ref="M351:N351"/>
    <mergeCell ref="O351:P351"/>
    <mergeCell ref="B348:E348"/>
    <mergeCell ref="F348:I348"/>
    <mergeCell ref="J348:L348"/>
    <mergeCell ref="M348:N348"/>
    <mergeCell ref="O348:P348"/>
    <mergeCell ref="B349:E349"/>
    <mergeCell ref="F349:I349"/>
    <mergeCell ref="J349:L349"/>
    <mergeCell ref="M349:N349"/>
    <mergeCell ref="O349:P349"/>
    <mergeCell ref="B346:E346"/>
    <mergeCell ref="F346:I346"/>
    <mergeCell ref="J346:L346"/>
    <mergeCell ref="M346:N346"/>
    <mergeCell ref="O346:P346"/>
    <mergeCell ref="B347:E347"/>
    <mergeCell ref="F347:I347"/>
    <mergeCell ref="J347:L347"/>
    <mergeCell ref="M347:N347"/>
    <mergeCell ref="O347:P347"/>
    <mergeCell ref="B344:E344"/>
    <mergeCell ref="F344:I344"/>
    <mergeCell ref="J344:L344"/>
    <mergeCell ref="M344:N344"/>
    <mergeCell ref="O344:P344"/>
    <mergeCell ref="B345:E345"/>
    <mergeCell ref="F345:I345"/>
    <mergeCell ref="J345:L345"/>
    <mergeCell ref="M345:N345"/>
    <mergeCell ref="O345:P345"/>
    <mergeCell ref="B342:E342"/>
    <mergeCell ref="F342:I342"/>
    <mergeCell ref="J342:L342"/>
    <mergeCell ref="M342:N342"/>
    <mergeCell ref="O342:P342"/>
    <mergeCell ref="B343:E343"/>
    <mergeCell ref="F343:I343"/>
    <mergeCell ref="J343:L343"/>
    <mergeCell ref="M343:N343"/>
    <mergeCell ref="O343:P343"/>
    <mergeCell ref="B340:E340"/>
    <mergeCell ref="F340:I340"/>
    <mergeCell ref="J340:L340"/>
    <mergeCell ref="M340:N340"/>
    <mergeCell ref="O340:P340"/>
    <mergeCell ref="B341:E341"/>
    <mergeCell ref="F341:I341"/>
    <mergeCell ref="J341:L341"/>
    <mergeCell ref="M341:N341"/>
    <mergeCell ref="O341:P341"/>
    <mergeCell ref="B338:E338"/>
    <mergeCell ref="F338:I338"/>
    <mergeCell ref="J338:L338"/>
    <mergeCell ref="M338:N338"/>
    <mergeCell ref="O338:P338"/>
    <mergeCell ref="B339:E339"/>
    <mergeCell ref="F339:I339"/>
    <mergeCell ref="J339:L339"/>
    <mergeCell ref="M339:N339"/>
    <mergeCell ref="O339:P339"/>
    <mergeCell ref="B336:E336"/>
    <mergeCell ref="F336:I336"/>
    <mergeCell ref="J336:L336"/>
    <mergeCell ref="M336:N336"/>
    <mergeCell ref="O336:P336"/>
    <mergeCell ref="B337:E337"/>
    <mergeCell ref="F337:I337"/>
    <mergeCell ref="J337:L337"/>
    <mergeCell ref="M337:N337"/>
    <mergeCell ref="O337:P337"/>
    <mergeCell ref="B334:E334"/>
    <mergeCell ref="F334:I334"/>
    <mergeCell ref="J334:L334"/>
    <mergeCell ref="M334:N334"/>
    <mergeCell ref="O334:P334"/>
    <mergeCell ref="B335:E335"/>
    <mergeCell ref="F335:I335"/>
    <mergeCell ref="J335:L335"/>
    <mergeCell ref="M335:N335"/>
    <mergeCell ref="O335:P335"/>
    <mergeCell ref="B332:E332"/>
    <mergeCell ref="F332:I332"/>
    <mergeCell ref="J332:L332"/>
    <mergeCell ref="M332:N332"/>
    <mergeCell ref="O332:P332"/>
    <mergeCell ref="B333:E333"/>
    <mergeCell ref="F333:I333"/>
    <mergeCell ref="J333:L333"/>
    <mergeCell ref="M333:N333"/>
    <mergeCell ref="O333:P333"/>
    <mergeCell ref="B330:E330"/>
    <mergeCell ref="F330:I330"/>
    <mergeCell ref="J330:L330"/>
    <mergeCell ref="M330:N330"/>
    <mergeCell ref="O330:P330"/>
    <mergeCell ref="B331:E331"/>
    <mergeCell ref="F331:I331"/>
    <mergeCell ref="J331:L331"/>
    <mergeCell ref="M331:N331"/>
    <mergeCell ref="O331:P331"/>
    <mergeCell ref="B328:E328"/>
    <mergeCell ref="F328:I328"/>
    <mergeCell ref="J328:L328"/>
    <mergeCell ref="M328:N328"/>
    <mergeCell ref="O328:P328"/>
    <mergeCell ref="B329:E329"/>
    <mergeCell ref="F329:I329"/>
    <mergeCell ref="J329:L329"/>
    <mergeCell ref="M329:N329"/>
    <mergeCell ref="O329:P329"/>
    <mergeCell ref="B326:E326"/>
    <mergeCell ref="F326:I326"/>
    <mergeCell ref="J326:L326"/>
    <mergeCell ref="M326:N326"/>
    <mergeCell ref="O326:P326"/>
    <mergeCell ref="B327:E327"/>
    <mergeCell ref="F327:I327"/>
    <mergeCell ref="J327:L327"/>
    <mergeCell ref="M327:N327"/>
    <mergeCell ref="O327:P327"/>
    <mergeCell ref="B324:E324"/>
    <mergeCell ref="F324:I324"/>
    <mergeCell ref="J324:L324"/>
    <mergeCell ref="M324:N324"/>
    <mergeCell ref="O324:P324"/>
    <mergeCell ref="B325:E325"/>
    <mergeCell ref="F325:I325"/>
    <mergeCell ref="J325:L325"/>
    <mergeCell ref="M325:N325"/>
    <mergeCell ref="O325:P325"/>
    <mergeCell ref="B322:E322"/>
    <mergeCell ref="F322:I322"/>
    <mergeCell ref="J322:L322"/>
    <mergeCell ref="M322:N322"/>
    <mergeCell ref="O322:P322"/>
    <mergeCell ref="B323:E323"/>
    <mergeCell ref="F323:I323"/>
    <mergeCell ref="J323:L323"/>
    <mergeCell ref="M323:N323"/>
    <mergeCell ref="O323:P323"/>
    <mergeCell ref="B320:E320"/>
    <mergeCell ref="F320:I320"/>
    <mergeCell ref="J320:L320"/>
    <mergeCell ref="M320:N320"/>
    <mergeCell ref="O320:P320"/>
    <mergeCell ref="B321:E321"/>
    <mergeCell ref="F321:I321"/>
    <mergeCell ref="J321:L321"/>
    <mergeCell ref="M321:N321"/>
    <mergeCell ref="O321:P321"/>
    <mergeCell ref="B318:E318"/>
    <mergeCell ref="F318:I318"/>
    <mergeCell ref="J318:L318"/>
    <mergeCell ref="M318:N318"/>
    <mergeCell ref="O318:P318"/>
    <mergeCell ref="B319:E319"/>
    <mergeCell ref="F319:I319"/>
    <mergeCell ref="J319:L319"/>
    <mergeCell ref="M319:N319"/>
    <mergeCell ref="O319:P319"/>
    <mergeCell ref="B316:E316"/>
    <mergeCell ref="F316:I316"/>
    <mergeCell ref="J316:L316"/>
    <mergeCell ref="M316:N316"/>
    <mergeCell ref="O316:P316"/>
    <mergeCell ref="B317:E317"/>
    <mergeCell ref="F317:I317"/>
    <mergeCell ref="J317:L317"/>
    <mergeCell ref="M317:N317"/>
    <mergeCell ref="O317:P317"/>
    <mergeCell ref="B314:E314"/>
    <mergeCell ref="F314:I314"/>
    <mergeCell ref="J314:L314"/>
    <mergeCell ref="M314:N314"/>
    <mergeCell ref="O314:P314"/>
    <mergeCell ref="B315:E315"/>
    <mergeCell ref="F315:I315"/>
    <mergeCell ref="J315:L315"/>
    <mergeCell ref="M315:N315"/>
    <mergeCell ref="O315:P315"/>
    <mergeCell ref="B312:E312"/>
    <mergeCell ref="F312:I312"/>
    <mergeCell ref="J312:L312"/>
    <mergeCell ref="M312:N312"/>
    <mergeCell ref="O312:P312"/>
    <mergeCell ref="B313:E313"/>
    <mergeCell ref="F313:I313"/>
    <mergeCell ref="J313:L313"/>
    <mergeCell ref="M313:N313"/>
    <mergeCell ref="O313:P313"/>
    <mergeCell ref="B310:E310"/>
    <mergeCell ref="F310:I310"/>
    <mergeCell ref="J310:L310"/>
    <mergeCell ref="M310:N310"/>
    <mergeCell ref="O310:P310"/>
    <mergeCell ref="B311:E311"/>
    <mergeCell ref="F311:I311"/>
    <mergeCell ref="J311:L311"/>
    <mergeCell ref="M311:N311"/>
    <mergeCell ref="O311:P311"/>
    <mergeCell ref="B308:E308"/>
    <mergeCell ref="F308:I308"/>
    <mergeCell ref="J308:L308"/>
    <mergeCell ref="M308:N308"/>
    <mergeCell ref="O308:P308"/>
    <mergeCell ref="B309:E309"/>
    <mergeCell ref="F309:I309"/>
    <mergeCell ref="J309:L309"/>
    <mergeCell ref="M309:N309"/>
    <mergeCell ref="O309:P309"/>
    <mergeCell ref="B306:E306"/>
    <mergeCell ref="F306:I306"/>
    <mergeCell ref="J306:L306"/>
    <mergeCell ref="M306:N306"/>
    <mergeCell ref="O306:P306"/>
    <mergeCell ref="B307:E307"/>
    <mergeCell ref="F307:I307"/>
    <mergeCell ref="J307:L307"/>
    <mergeCell ref="M307:N307"/>
    <mergeCell ref="O307:P307"/>
    <mergeCell ref="B304:E304"/>
    <mergeCell ref="F304:I304"/>
    <mergeCell ref="J304:L304"/>
    <mergeCell ref="M304:N304"/>
    <mergeCell ref="O304:P304"/>
    <mergeCell ref="B305:E305"/>
    <mergeCell ref="F305:I305"/>
    <mergeCell ref="J305:L305"/>
    <mergeCell ref="M305:N305"/>
    <mergeCell ref="O305:P305"/>
    <mergeCell ref="B302:E302"/>
    <mergeCell ref="F302:I302"/>
    <mergeCell ref="J302:L302"/>
    <mergeCell ref="M302:N302"/>
    <mergeCell ref="O302:P302"/>
    <mergeCell ref="B303:E303"/>
    <mergeCell ref="F303:I303"/>
    <mergeCell ref="J303:L303"/>
    <mergeCell ref="M303:N303"/>
    <mergeCell ref="O303:P303"/>
    <mergeCell ref="B300:E300"/>
    <mergeCell ref="F300:I300"/>
    <mergeCell ref="J300:L300"/>
    <mergeCell ref="M300:N300"/>
    <mergeCell ref="O300:P300"/>
    <mergeCell ref="B301:E301"/>
    <mergeCell ref="F301:I301"/>
    <mergeCell ref="J301:L301"/>
    <mergeCell ref="M301:N301"/>
    <mergeCell ref="O301:P301"/>
    <mergeCell ref="B298:E298"/>
    <mergeCell ref="F298:I298"/>
    <mergeCell ref="J298:L298"/>
    <mergeCell ref="M298:N298"/>
    <mergeCell ref="O298:P298"/>
    <mergeCell ref="B299:E299"/>
    <mergeCell ref="F299:I299"/>
    <mergeCell ref="J299:L299"/>
    <mergeCell ref="M299:N299"/>
    <mergeCell ref="O299:P299"/>
    <mergeCell ref="B296:E296"/>
    <mergeCell ref="F296:I296"/>
    <mergeCell ref="J296:L296"/>
    <mergeCell ref="M296:N296"/>
    <mergeCell ref="O296:P296"/>
    <mergeCell ref="B297:E297"/>
    <mergeCell ref="F297:I297"/>
    <mergeCell ref="J297:L297"/>
    <mergeCell ref="M297:N297"/>
    <mergeCell ref="O297:P297"/>
    <mergeCell ref="B294:E294"/>
    <mergeCell ref="F294:I294"/>
    <mergeCell ref="J294:L294"/>
    <mergeCell ref="M294:N294"/>
    <mergeCell ref="O294:P294"/>
    <mergeCell ref="B295:E295"/>
    <mergeCell ref="F295:I295"/>
    <mergeCell ref="J295:L295"/>
    <mergeCell ref="M295:N295"/>
    <mergeCell ref="O295:P295"/>
    <mergeCell ref="B292:E292"/>
    <mergeCell ref="F292:I292"/>
    <mergeCell ref="J292:L292"/>
    <mergeCell ref="M292:N292"/>
    <mergeCell ref="O292:P292"/>
    <mergeCell ref="B293:E293"/>
    <mergeCell ref="F293:I293"/>
    <mergeCell ref="J293:L293"/>
    <mergeCell ref="M293:N293"/>
    <mergeCell ref="O293:P293"/>
    <mergeCell ref="B290:E290"/>
    <mergeCell ref="F290:I290"/>
    <mergeCell ref="J290:L290"/>
    <mergeCell ref="M290:N290"/>
    <mergeCell ref="O290:P290"/>
    <mergeCell ref="B291:E291"/>
    <mergeCell ref="F291:I291"/>
    <mergeCell ref="J291:L291"/>
    <mergeCell ref="M291:N291"/>
    <mergeCell ref="O291:P291"/>
    <mergeCell ref="B288:E288"/>
    <mergeCell ref="F288:I288"/>
    <mergeCell ref="J288:L288"/>
    <mergeCell ref="M288:N288"/>
    <mergeCell ref="O288:P288"/>
    <mergeCell ref="B289:E289"/>
    <mergeCell ref="F289:I289"/>
    <mergeCell ref="J289:L289"/>
    <mergeCell ref="M289:N289"/>
    <mergeCell ref="O289:P289"/>
    <mergeCell ref="B286:E286"/>
    <mergeCell ref="F286:I286"/>
    <mergeCell ref="J286:L286"/>
    <mergeCell ref="M286:N286"/>
    <mergeCell ref="O286:P286"/>
    <mergeCell ref="B287:E287"/>
    <mergeCell ref="F287:I287"/>
    <mergeCell ref="J287:L287"/>
    <mergeCell ref="M287:N287"/>
    <mergeCell ref="O287:P287"/>
    <mergeCell ref="B284:E284"/>
    <mergeCell ref="F284:I284"/>
    <mergeCell ref="J284:L284"/>
    <mergeCell ref="M284:N284"/>
    <mergeCell ref="O284:P284"/>
    <mergeCell ref="B285:E285"/>
    <mergeCell ref="F285:I285"/>
    <mergeCell ref="J285:L285"/>
    <mergeCell ref="M285:N285"/>
    <mergeCell ref="O285:P285"/>
    <mergeCell ref="B282:E282"/>
    <mergeCell ref="F282:I282"/>
    <mergeCell ref="J282:L282"/>
    <mergeCell ref="M282:N282"/>
    <mergeCell ref="O282:P282"/>
    <mergeCell ref="B283:E283"/>
    <mergeCell ref="F283:I283"/>
    <mergeCell ref="J283:L283"/>
    <mergeCell ref="M283:N283"/>
    <mergeCell ref="O283:P283"/>
    <mergeCell ref="B280:E280"/>
    <mergeCell ref="F280:I280"/>
    <mergeCell ref="J280:L280"/>
    <mergeCell ref="M280:N280"/>
    <mergeCell ref="O280:P280"/>
    <mergeCell ref="B281:E281"/>
    <mergeCell ref="F281:I281"/>
    <mergeCell ref="J281:L281"/>
    <mergeCell ref="M281:N281"/>
    <mergeCell ref="O281:P281"/>
    <mergeCell ref="B278:E278"/>
    <mergeCell ref="F278:I278"/>
    <mergeCell ref="J278:L278"/>
    <mergeCell ref="M278:N278"/>
    <mergeCell ref="O278:P278"/>
    <mergeCell ref="B279:E279"/>
    <mergeCell ref="F279:I279"/>
    <mergeCell ref="J279:L279"/>
    <mergeCell ref="M279:N279"/>
    <mergeCell ref="O279:P279"/>
    <mergeCell ref="B276:E276"/>
    <mergeCell ref="F276:I276"/>
    <mergeCell ref="J276:L276"/>
    <mergeCell ref="M276:N276"/>
    <mergeCell ref="O276:P276"/>
    <mergeCell ref="B277:E277"/>
    <mergeCell ref="F277:I277"/>
    <mergeCell ref="J277:L277"/>
    <mergeCell ref="M277:N277"/>
    <mergeCell ref="O277:P277"/>
    <mergeCell ref="B274:E274"/>
    <mergeCell ref="F274:I274"/>
    <mergeCell ref="J274:L274"/>
    <mergeCell ref="M274:N274"/>
    <mergeCell ref="O274:P274"/>
    <mergeCell ref="B275:E275"/>
    <mergeCell ref="F275:I275"/>
    <mergeCell ref="J275:L275"/>
    <mergeCell ref="M275:N275"/>
    <mergeCell ref="O275:P275"/>
    <mergeCell ref="B272:E272"/>
    <mergeCell ref="F272:I272"/>
    <mergeCell ref="J272:L272"/>
    <mergeCell ref="M272:N272"/>
    <mergeCell ref="O272:P272"/>
    <mergeCell ref="B273:E273"/>
    <mergeCell ref="F273:I273"/>
    <mergeCell ref="J273:L273"/>
    <mergeCell ref="M273:N273"/>
    <mergeCell ref="O273:P273"/>
    <mergeCell ref="B270:E270"/>
    <mergeCell ref="F270:I270"/>
    <mergeCell ref="J270:L270"/>
    <mergeCell ref="M270:N270"/>
    <mergeCell ref="O270:P270"/>
    <mergeCell ref="B271:E271"/>
    <mergeCell ref="F271:I271"/>
    <mergeCell ref="J271:L271"/>
    <mergeCell ref="M271:N271"/>
    <mergeCell ref="O271:P271"/>
    <mergeCell ref="B268:E268"/>
    <mergeCell ref="F268:I268"/>
    <mergeCell ref="J268:L268"/>
    <mergeCell ref="M268:N268"/>
    <mergeCell ref="O268:P268"/>
    <mergeCell ref="B269:E269"/>
    <mergeCell ref="F269:I269"/>
    <mergeCell ref="J269:L269"/>
    <mergeCell ref="M269:N269"/>
    <mergeCell ref="O269:P269"/>
    <mergeCell ref="B266:E266"/>
    <mergeCell ref="F266:I266"/>
    <mergeCell ref="J266:L266"/>
    <mergeCell ref="M266:N266"/>
    <mergeCell ref="O266:P266"/>
    <mergeCell ref="B267:E267"/>
    <mergeCell ref="F267:I267"/>
    <mergeCell ref="J267:L267"/>
    <mergeCell ref="M267:N267"/>
    <mergeCell ref="O267:P267"/>
    <mergeCell ref="B264:E264"/>
    <mergeCell ref="F264:I264"/>
    <mergeCell ref="J264:L264"/>
    <mergeCell ref="M264:N264"/>
    <mergeCell ref="O264:P264"/>
    <mergeCell ref="B265:E265"/>
    <mergeCell ref="F265:I265"/>
    <mergeCell ref="J265:L265"/>
    <mergeCell ref="M265:N265"/>
    <mergeCell ref="O265:P265"/>
    <mergeCell ref="B262:E262"/>
    <mergeCell ref="F262:I262"/>
    <mergeCell ref="J262:L262"/>
    <mergeCell ref="M262:N262"/>
    <mergeCell ref="O262:P262"/>
    <mergeCell ref="B263:E263"/>
    <mergeCell ref="F263:I263"/>
    <mergeCell ref="J263:L263"/>
    <mergeCell ref="M263:N263"/>
    <mergeCell ref="O263:P263"/>
    <mergeCell ref="B260:E260"/>
    <mergeCell ref="F260:I260"/>
    <mergeCell ref="J260:L260"/>
    <mergeCell ref="M260:N260"/>
    <mergeCell ref="O260:P260"/>
    <mergeCell ref="B261:E261"/>
    <mergeCell ref="F261:I261"/>
    <mergeCell ref="J261:L261"/>
    <mergeCell ref="M261:N261"/>
    <mergeCell ref="O261:P261"/>
    <mergeCell ref="B258:E258"/>
    <mergeCell ref="F258:I258"/>
    <mergeCell ref="J258:L258"/>
    <mergeCell ref="M258:N258"/>
    <mergeCell ref="O258:P258"/>
    <mergeCell ref="B259:E259"/>
    <mergeCell ref="F259:I259"/>
    <mergeCell ref="J259:L259"/>
    <mergeCell ref="M259:N259"/>
    <mergeCell ref="O259:P259"/>
    <mergeCell ref="B256:E256"/>
    <mergeCell ref="F256:I256"/>
    <mergeCell ref="J256:L256"/>
    <mergeCell ref="M256:N256"/>
    <mergeCell ref="O256:P256"/>
    <mergeCell ref="B257:E257"/>
    <mergeCell ref="F257:I257"/>
    <mergeCell ref="J257:L257"/>
    <mergeCell ref="M257:N257"/>
    <mergeCell ref="O257:P257"/>
    <mergeCell ref="B254:E254"/>
    <mergeCell ref="F254:I254"/>
    <mergeCell ref="J254:L254"/>
    <mergeCell ref="M254:N254"/>
    <mergeCell ref="O254:P254"/>
    <mergeCell ref="B255:E255"/>
    <mergeCell ref="F255:I255"/>
    <mergeCell ref="J255:L255"/>
    <mergeCell ref="M255:N255"/>
    <mergeCell ref="O255:P255"/>
    <mergeCell ref="B252:E252"/>
    <mergeCell ref="F252:I252"/>
    <mergeCell ref="J252:L252"/>
    <mergeCell ref="M252:N252"/>
    <mergeCell ref="O252:P252"/>
    <mergeCell ref="B253:E253"/>
    <mergeCell ref="F253:I253"/>
    <mergeCell ref="J253:L253"/>
    <mergeCell ref="M253:N253"/>
    <mergeCell ref="O253:P253"/>
    <mergeCell ref="B250:E250"/>
    <mergeCell ref="F250:I250"/>
    <mergeCell ref="J250:L250"/>
    <mergeCell ref="M250:N250"/>
    <mergeCell ref="O250:P250"/>
    <mergeCell ref="B251:E251"/>
    <mergeCell ref="F251:I251"/>
    <mergeCell ref="J251:L251"/>
    <mergeCell ref="M251:N251"/>
    <mergeCell ref="O251:P251"/>
    <mergeCell ref="B248:E248"/>
    <mergeCell ref="F248:I248"/>
    <mergeCell ref="J248:L248"/>
    <mergeCell ref="M248:N248"/>
    <mergeCell ref="O248:P248"/>
    <mergeCell ref="B249:E249"/>
    <mergeCell ref="F249:I249"/>
    <mergeCell ref="J249:L249"/>
    <mergeCell ref="M249:N249"/>
    <mergeCell ref="O249:P249"/>
    <mergeCell ref="B246:E246"/>
    <mergeCell ref="F246:I246"/>
    <mergeCell ref="J246:L246"/>
    <mergeCell ref="M246:N246"/>
    <mergeCell ref="O246:P246"/>
    <mergeCell ref="B247:E247"/>
    <mergeCell ref="F247:I247"/>
    <mergeCell ref="J247:L247"/>
    <mergeCell ref="M247:N247"/>
    <mergeCell ref="O247:P247"/>
    <mergeCell ref="B244:E244"/>
    <mergeCell ref="F244:I244"/>
    <mergeCell ref="J244:L244"/>
    <mergeCell ref="M244:N244"/>
    <mergeCell ref="O244:P244"/>
    <mergeCell ref="B245:E245"/>
    <mergeCell ref="F245:I245"/>
    <mergeCell ref="J245:L245"/>
    <mergeCell ref="M245:N245"/>
    <mergeCell ref="O245:P245"/>
    <mergeCell ref="B242:E242"/>
    <mergeCell ref="F242:I242"/>
    <mergeCell ref="J242:L242"/>
    <mergeCell ref="M242:N242"/>
    <mergeCell ref="O242:P242"/>
    <mergeCell ref="B243:E243"/>
    <mergeCell ref="F243:I243"/>
    <mergeCell ref="J243:L243"/>
    <mergeCell ref="M243:N243"/>
    <mergeCell ref="O243:P243"/>
    <mergeCell ref="B240:E240"/>
    <mergeCell ref="F240:I240"/>
    <mergeCell ref="J240:L240"/>
    <mergeCell ref="M240:N240"/>
    <mergeCell ref="O240:P240"/>
    <mergeCell ref="B241:E241"/>
    <mergeCell ref="F241:I241"/>
    <mergeCell ref="J241:L241"/>
    <mergeCell ref="M241:N241"/>
    <mergeCell ref="O241:P241"/>
    <mergeCell ref="B238:E238"/>
    <mergeCell ref="F238:I238"/>
    <mergeCell ref="J238:L238"/>
    <mergeCell ref="M238:N238"/>
    <mergeCell ref="O238:P238"/>
    <mergeCell ref="B239:E239"/>
    <mergeCell ref="F239:I239"/>
    <mergeCell ref="J239:L239"/>
    <mergeCell ref="M239:N239"/>
    <mergeCell ref="O239:P239"/>
    <mergeCell ref="B236:E236"/>
    <mergeCell ref="F236:I236"/>
    <mergeCell ref="J236:L236"/>
    <mergeCell ref="M236:N236"/>
    <mergeCell ref="O236:P236"/>
    <mergeCell ref="B237:E237"/>
    <mergeCell ref="F237:I237"/>
    <mergeCell ref="J237:L237"/>
    <mergeCell ref="M237:N237"/>
    <mergeCell ref="O237:P237"/>
    <mergeCell ref="B234:E234"/>
    <mergeCell ref="F234:I234"/>
    <mergeCell ref="J234:L234"/>
    <mergeCell ref="M234:N234"/>
    <mergeCell ref="O234:P234"/>
    <mergeCell ref="B235:E235"/>
    <mergeCell ref="F235:I235"/>
    <mergeCell ref="J235:L235"/>
    <mergeCell ref="M235:N235"/>
    <mergeCell ref="O235:P235"/>
    <mergeCell ref="B232:E232"/>
    <mergeCell ref="F232:I232"/>
    <mergeCell ref="J232:L232"/>
    <mergeCell ref="M232:N232"/>
    <mergeCell ref="O232:P232"/>
    <mergeCell ref="B233:E233"/>
    <mergeCell ref="F233:I233"/>
    <mergeCell ref="J233:L233"/>
    <mergeCell ref="M233:N233"/>
    <mergeCell ref="O233:P233"/>
    <mergeCell ref="B230:E230"/>
    <mergeCell ref="F230:I230"/>
    <mergeCell ref="J230:L230"/>
    <mergeCell ref="M230:N230"/>
    <mergeCell ref="O230:P230"/>
    <mergeCell ref="B231:E231"/>
    <mergeCell ref="F231:I231"/>
    <mergeCell ref="J231:L231"/>
    <mergeCell ref="M231:N231"/>
    <mergeCell ref="O231:P231"/>
    <mergeCell ref="B228:E228"/>
    <mergeCell ref="F228:I228"/>
    <mergeCell ref="J228:L228"/>
    <mergeCell ref="M228:N228"/>
    <mergeCell ref="O228:P228"/>
    <mergeCell ref="B229:E229"/>
    <mergeCell ref="F229:I229"/>
    <mergeCell ref="J229:L229"/>
    <mergeCell ref="M229:N229"/>
    <mergeCell ref="O229:P229"/>
    <mergeCell ref="B226:E226"/>
    <mergeCell ref="F226:I226"/>
    <mergeCell ref="J226:L226"/>
    <mergeCell ref="M226:N226"/>
    <mergeCell ref="O226:P226"/>
    <mergeCell ref="B227:E227"/>
    <mergeCell ref="F227:I227"/>
    <mergeCell ref="J227:L227"/>
    <mergeCell ref="M227:N227"/>
    <mergeCell ref="O227:P227"/>
    <mergeCell ref="B224:E224"/>
    <mergeCell ref="F224:I224"/>
    <mergeCell ref="J224:L224"/>
    <mergeCell ref="M224:N224"/>
    <mergeCell ref="O224:P224"/>
    <mergeCell ref="B225:E225"/>
    <mergeCell ref="F225:I225"/>
    <mergeCell ref="J225:L225"/>
    <mergeCell ref="M225:N225"/>
    <mergeCell ref="O225:P225"/>
    <mergeCell ref="B222:E222"/>
    <mergeCell ref="F222:I222"/>
    <mergeCell ref="J222:L222"/>
    <mergeCell ref="M222:N222"/>
    <mergeCell ref="O222:P222"/>
    <mergeCell ref="B223:E223"/>
    <mergeCell ref="F223:I223"/>
    <mergeCell ref="J223:L223"/>
    <mergeCell ref="M223:N223"/>
    <mergeCell ref="O223:P223"/>
    <mergeCell ref="B220:E220"/>
    <mergeCell ref="F220:I220"/>
    <mergeCell ref="J220:L220"/>
    <mergeCell ref="M220:N220"/>
    <mergeCell ref="O220:P220"/>
    <mergeCell ref="B221:E221"/>
    <mergeCell ref="F221:I221"/>
    <mergeCell ref="J221:L221"/>
    <mergeCell ref="M221:N221"/>
    <mergeCell ref="O221:P221"/>
    <mergeCell ref="B218:E218"/>
    <mergeCell ref="F218:I218"/>
    <mergeCell ref="J218:L218"/>
    <mergeCell ref="M218:N218"/>
    <mergeCell ref="O218:P218"/>
    <mergeCell ref="B219:E219"/>
    <mergeCell ref="F219:I219"/>
    <mergeCell ref="J219:L219"/>
    <mergeCell ref="M219:N219"/>
    <mergeCell ref="O219:P219"/>
    <mergeCell ref="B216:E216"/>
    <mergeCell ref="F216:I216"/>
    <mergeCell ref="J216:L216"/>
    <mergeCell ref="M216:N216"/>
    <mergeCell ref="O216:P216"/>
    <mergeCell ref="B217:E217"/>
    <mergeCell ref="F217:I217"/>
    <mergeCell ref="J217:L217"/>
    <mergeCell ref="M217:N217"/>
    <mergeCell ref="O217:P217"/>
    <mergeCell ref="B214:E214"/>
    <mergeCell ref="F214:I214"/>
    <mergeCell ref="J214:L214"/>
    <mergeCell ref="M214:N214"/>
    <mergeCell ref="O214:P214"/>
    <mergeCell ref="B215:E215"/>
    <mergeCell ref="F215:I215"/>
    <mergeCell ref="J215:L215"/>
    <mergeCell ref="M215:N215"/>
    <mergeCell ref="O215:P215"/>
    <mergeCell ref="B212:E212"/>
    <mergeCell ref="F212:I212"/>
    <mergeCell ref="J212:L212"/>
    <mergeCell ref="M212:N212"/>
    <mergeCell ref="O212:P212"/>
    <mergeCell ref="B213:E213"/>
    <mergeCell ref="F213:I213"/>
    <mergeCell ref="J213:L213"/>
    <mergeCell ref="M213:N213"/>
    <mergeCell ref="O213:P213"/>
    <mergeCell ref="B210:E210"/>
    <mergeCell ref="F210:I210"/>
    <mergeCell ref="J210:L210"/>
    <mergeCell ref="M210:N210"/>
    <mergeCell ref="O210:P210"/>
    <mergeCell ref="B211:E211"/>
    <mergeCell ref="F211:I211"/>
    <mergeCell ref="J211:L211"/>
    <mergeCell ref="M211:N211"/>
    <mergeCell ref="O211:P211"/>
    <mergeCell ref="B208:E208"/>
    <mergeCell ref="F208:I208"/>
    <mergeCell ref="J208:L208"/>
    <mergeCell ref="M208:N208"/>
    <mergeCell ref="O208:P208"/>
    <mergeCell ref="B209:E209"/>
    <mergeCell ref="F209:I209"/>
    <mergeCell ref="J209:L209"/>
    <mergeCell ref="M209:N209"/>
    <mergeCell ref="O209:P209"/>
    <mergeCell ref="B206:E206"/>
    <mergeCell ref="F206:I206"/>
    <mergeCell ref="J206:L206"/>
    <mergeCell ref="M206:N206"/>
    <mergeCell ref="O206:P206"/>
    <mergeCell ref="B207:E207"/>
    <mergeCell ref="F207:I207"/>
    <mergeCell ref="J207:L207"/>
    <mergeCell ref="M207:N207"/>
    <mergeCell ref="O207:P207"/>
    <mergeCell ref="B204:E204"/>
    <mergeCell ref="F204:I204"/>
    <mergeCell ref="J204:L204"/>
    <mergeCell ref="M204:N204"/>
    <mergeCell ref="O204:P204"/>
    <mergeCell ref="B205:E205"/>
    <mergeCell ref="F205:I205"/>
    <mergeCell ref="J205:L205"/>
    <mergeCell ref="M205:N205"/>
    <mergeCell ref="O205:P205"/>
    <mergeCell ref="B202:E202"/>
    <mergeCell ref="F202:I202"/>
    <mergeCell ref="J202:L202"/>
    <mergeCell ref="M202:N202"/>
    <mergeCell ref="O202:P202"/>
    <mergeCell ref="B203:E203"/>
    <mergeCell ref="F203:I203"/>
    <mergeCell ref="J203:L203"/>
    <mergeCell ref="M203:N203"/>
    <mergeCell ref="O203:P203"/>
    <mergeCell ref="B200:E200"/>
    <mergeCell ref="F200:I200"/>
    <mergeCell ref="J200:L200"/>
    <mergeCell ref="M200:N200"/>
    <mergeCell ref="O200:P200"/>
    <mergeCell ref="B201:E201"/>
    <mergeCell ref="F201:I201"/>
    <mergeCell ref="J201:L201"/>
    <mergeCell ref="M201:N201"/>
    <mergeCell ref="O201:P201"/>
    <mergeCell ref="B198:E198"/>
    <mergeCell ref="F198:I198"/>
    <mergeCell ref="J198:L198"/>
    <mergeCell ref="M198:N198"/>
    <mergeCell ref="O198:P198"/>
    <mergeCell ref="B199:E199"/>
    <mergeCell ref="F199:I199"/>
    <mergeCell ref="J199:L199"/>
    <mergeCell ref="M199:N199"/>
    <mergeCell ref="O199:P199"/>
    <mergeCell ref="B196:E196"/>
    <mergeCell ref="F196:I196"/>
    <mergeCell ref="J196:L196"/>
    <mergeCell ref="M196:N196"/>
    <mergeCell ref="O196:P196"/>
    <mergeCell ref="B197:E197"/>
    <mergeCell ref="F197:I197"/>
    <mergeCell ref="J197:L197"/>
    <mergeCell ref="M197:N197"/>
    <mergeCell ref="O197:P197"/>
    <mergeCell ref="B194:E194"/>
    <mergeCell ref="F194:I194"/>
    <mergeCell ref="J194:L194"/>
    <mergeCell ref="M194:N194"/>
    <mergeCell ref="O194:P194"/>
    <mergeCell ref="B195:E195"/>
    <mergeCell ref="F195:I195"/>
    <mergeCell ref="J195:L195"/>
    <mergeCell ref="M195:N195"/>
    <mergeCell ref="O195:P195"/>
    <mergeCell ref="B192:E192"/>
    <mergeCell ref="F192:I192"/>
    <mergeCell ref="J192:L192"/>
    <mergeCell ref="M192:N192"/>
    <mergeCell ref="O192:P192"/>
    <mergeCell ref="B193:E193"/>
    <mergeCell ref="F193:I193"/>
    <mergeCell ref="J193:L193"/>
    <mergeCell ref="M193:N193"/>
    <mergeCell ref="O193:P193"/>
    <mergeCell ref="B190:E190"/>
    <mergeCell ref="F190:I190"/>
    <mergeCell ref="J190:L190"/>
    <mergeCell ref="M190:N190"/>
    <mergeCell ref="O190:P190"/>
    <mergeCell ref="B191:E191"/>
    <mergeCell ref="F191:I191"/>
    <mergeCell ref="J191:L191"/>
    <mergeCell ref="M191:N191"/>
    <mergeCell ref="O191:P191"/>
    <mergeCell ref="B188:E188"/>
    <mergeCell ref="F188:I188"/>
    <mergeCell ref="J188:L188"/>
    <mergeCell ref="M188:N188"/>
    <mergeCell ref="O188:P188"/>
    <mergeCell ref="B189:E189"/>
    <mergeCell ref="F189:I189"/>
    <mergeCell ref="J189:L189"/>
    <mergeCell ref="M189:N189"/>
    <mergeCell ref="O189:P189"/>
    <mergeCell ref="B186:E186"/>
    <mergeCell ref="F186:I186"/>
    <mergeCell ref="J186:L186"/>
    <mergeCell ref="M186:N186"/>
    <mergeCell ref="O186:P186"/>
    <mergeCell ref="B187:E187"/>
    <mergeCell ref="F187:I187"/>
    <mergeCell ref="J187:L187"/>
    <mergeCell ref="M187:N187"/>
    <mergeCell ref="O187:P187"/>
    <mergeCell ref="B184:E184"/>
    <mergeCell ref="F184:I184"/>
    <mergeCell ref="J184:L184"/>
    <mergeCell ref="M184:N184"/>
    <mergeCell ref="O184:P184"/>
    <mergeCell ref="B185:E185"/>
    <mergeCell ref="F185:I185"/>
    <mergeCell ref="J185:L185"/>
    <mergeCell ref="M185:N185"/>
    <mergeCell ref="O185:P185"/>
    <mergeCell ref="B182:E182"/>
    <mergeCell ref="F182:I182"/>
    <mergeCell ref="J182:L182"/>
    <mergeCell ref="M182:N182"/>
    <mergeCell ref="O182:P182"/>
    <mergeCell ref="B183:E183"/>
    <mergeCell ref="F183:I183"/>
    <mergeCell ref="J183:L183"/>
    <mergeCell ref="M183:N183"/>
    <mergeCell ref="O183:P183"/>
    <mergeCell ref="B180:E180"/>
    <mergeCell ref="F180:I180"/>
    <mergeCell ref="J180:L180"/>
    <mergeCell ref="M180:N180"/>
    <mergeCell ref="O180:P180"/>
    <mergeCell ref="B181:E181"/>
    <mergeCell ref="F181:I181"/>
    <mergeCell ref="J181:L181"/>
    <mergeCell ref="M181:N181"/>
    <mergeCell ref="O181:P181"/>
    <mergeCell ref="B178:E178"/>
    <mergeCell ref="F178:I178"/>
    <mergeCell ref="J178:L178"/>
    <mergeCell ref="M178:N178"/>
    <mergeCell ref="O178:P178"/>
    <mergeCell ref="B179:E179"/>
    <mergeCell ref="F179:I179"/>
    <mergeCell ref="J179:L179"/>
    <mergeCell ref="M179:N179"/>
    <mergeCell ref="O179:P179"/>
    <mergeCell ref="B176:E176"/>
    <mergeCell ref="F176:I176"/>
    <mergeCell ref="J176:L176"/>
    <mergeCell ref="M176:N176"/>
    <mergeCell ref="O176:P176"/>
    <mergeCell ref="B177:E177"/>
    <mergeCell ref="F177:I177"/>
    <mergeCell ref="J177:L177"/>
    <mergeCell ref="M177:N177"/>
    <mergeCell ref="O177:P177"/>
    <mergeCell ref="B174:E174"/>
    <mergeCell ref="F174:I174"/>
    <mergeCell ref="J174:L174"/>
    <mergeCell ref="M174:N174"/>
    <mergeCell ref="O174:P174"/>
    <mergeCell ref="B175:E175"/>
    <mergeCell ref="F175:I175"/>
    <mergeCell ref="J175:L175"/>
    <mergeCell ref="M175:N175"/>
    <mergeCell ref="O175:P175"/>
    <mergeCell ref="B172:E172"/>
    <mergeCell ref="F172:I172"/>
    <mergeCell ref="J172:L172"/>
    <mergeCell ref="M172:N172"/>
    <mergeCell ref="O172:P172"/>
    <mergeCell ref="B173:E173"/>
    <mergeCell ref="F173:I173"/>
    <mergeCell ref="J173:L173"/>
    <mergeCell ref="M173:N173"/>
    <mergeCell ref="O173:P173"/>
    <mergeCell ref="B170:E170"/>
    <mergeCell ref="F170:I170"/>
    <mergeCell ref="J170:L170"/>
    <mergeCell ref="M170:N170"/>
    <mergeCell ref="O170:P170"/>
    <mergeCell ref="B171:E171"/>
    <mergeCell ref="F171:I171"/>
    <mergeCell ref="J171:L171"/>
    <mergeCell ref="M171:N171"/>
    <mergeCell ref="O171:P171"/>
    <mergeCell ref="B168:E168"/>
    <mergeCell ref="F168:I168"/>
    <mergeCell ref="J168:L168"/>
    <mergeCell ref="M168:N168"/>
    <mergeCell ref="O168:P168"/>
    <mergeCell ref="B169:E169"/>
    <mergeCell ref="F169:I169"/>
    <mergeCell ref="J169:L169"/>
    <mergeCell ref="M169:N169"/>
    <mergeCell ref="O169:P169"/>
    <mergeCell ref="B166:E166"/>
    <mergeCell ref="F166:I166"/>
    <mergeCell ref="J166:L166"/>
    <mergeCell ref="M166:N166"/>
    <mergeCell ref="O166:P166"/>
    <mergeCell ref="B167:E167"/>
    <mergeCell ref="F167:I167"/>
    <mergeCell ref="J167:L167"/>
    <mergeCell ref="M167:N167"/>
    <mergeCell ref="O167:P167"/>
    <mergeCell ref="B164:E164"/>
    <mergeCell ref="F164:I164"/>
    <mergeCell ref="J164:L164"/>
    <mergeCell ref="M164:N164"/>
    <mergeCell ref="O164:P164"/>
    <mergeCell ref="B165:E165"/>
    <mergeCell ref="F165:I165"/>
    <mergeCell ref="J165:L165"/>
    <mergeCell ref="M165:N165"/>
    <mergeCell ref="O165:P165"/>
    <mergeCell ref="B162:E162"/>
    <mergeCell ref="F162:I162"/>
    <mergeCell ref="J162:L162"/>
    <mergeCell ref="M162:N162"/>
    <mergeCell ref="O162:P162"/>
    <mergeCell ref="B163:E163"/>
    <mergeCell ref="F163:I163"/>
    <mergeCell ref="J163:L163"/>
    <mergeCell ref="M163:N163"/>
    <mergeCell ref="O163:P163"/>
    <mergeCell ref="B160:E160"/>
    <mergeCell ref="F160:I160"/>
    <mergeCell ref="J160:L160"/>
    <mergeCell ref="M160:N160"/>
    <mergeCell ref="O160:P160"/>
    <mergeCell ref="B161:E161"/>
    <mergeCell ref="F161:I161"/>
    <mergeCell ref="J161:L161"/>
    <mergeCell ref="M161:N161"/>
    <mergeCell ref="O161:P161"/>
    <mergeCell ref="B158:E158"/>
    <mergeCell ref="F158:I158"/>
    <mergeCell ref="J158:L158"/>
    <mergeCell ref="M158:N158"/>
    <mergeCell ref="O158:P158"/>
    <mergeCell ref="B159:E159"/>
    <mergeCell ref="F159:I159"/>
    <mergeCell ref="J159:L159"/>
    <mergeCell ref="M159:N159"/>
    <mergeCell ref="O159:P159"/>
    <mergeCell ref="B156:E156"/>
    <mergeCell ref="F156:I156"/>
    <mergeCell ref="J156:L156"/>
    <mergeCell ref="M156:N156"/>
    <mergeCell ref="O156:P156"/>
    <mergeCell ref="B157:E157"/>
    <mergeCell ref="F157:I157"/>
    <mergeCell ref="J157:L157"/>
    <mergeCell ref="M157:N157"/>
    <mergeCell ref="O157:P157"/>
    <mergeCell ref="B154:E154"/>
    <mergeCell ref="F154:I154"/>
    <mergeCell ref="J154:L154"/>
    <mergeCell ref="M154:N154"/>
    <mergeCell ref="O154:P154"/>
    <mergeCell ref="B155:E155"/>
    <mergeCell ref="F155:I155"/>
    <mergeCell ref="J155:L155"/>
    <mergeCell ref="M155:N155"/>
    <mergeCell ref="O155:P155"/>
    <mergeCell ref="B152:E152"/>
    <mergeCell ref="F152:I152"/>
    <mergeCell ref="J152:L152"/>
    <mergeCell ref="M152:N152"/>
    <mergeCell ref="O152:P152"/>
    <mergeCell ref="B153:E153"/>
    <mergeCell ref="F153:I153"/>
    <mergeCell ref="J153:L153"/>
    <mergeCell ref="M153:N153"/>
    <mergeCell ref="O153:P153"/>
    <mergeCell ref="B150:E150"/>
    <mergeCell ref="F150:I150"/>
    <mergeCell ref="J150:L150"/>
    <mergeCell ref="M150:N150"/>
    <mergeCell ref="O150:P150"/>
    <mergeCell ref="B151:E151"/>
    <mergeCell ref="F151:I151"/>
    <mergeCell ref="J151:L151"/>
    <mergeCell ref="M151:N151"/>
    <mergeCell ref="O151:P151"/>
    <mergeCell ref="B148:E148"/>
    <mergeCell ref="F148:I148"/>
    <mergeCell ref="J148:L148"/>
    <mergeCell ref="M148:N148"/>
    <mergeCell ref="O148:P148"/>
    <mergeCell ref="B149:E149"/>
    <mergeCell ref="F149:I149"/>
    <mergeCell ref="J149:L149"/>
    <mergeCell ref="M149:N149"/>
    <mergeCell ref="O149:P149"/>
    <mergeCell ref="B146:E146"/>
    <mergeCell ref="F146:I146"/>
    <mergeCell ref="J146:L146"/>
    <mergeCell ref="M146:N146"/>
    <mergeCell ref="O146:P146"/>
    <mergeCell ref="B147:E147"/>
    <mergeCell ref="F147:I147"/>
    <mergeCell ref="J147:L147"/>
    <mergeCell ref="M147:N147"/>
    <mergeCell ref="O147:P147"/>
    <mergeCell ref="B144:E144"/>
    <mergeCell ref="F144:I144"/>
    <mergeCell ref="J144:L144"/>
    <mergeCell ref="M144:N144"/>
    <mergeCell ref="O144:P144"/>
    <mergeCell ref="B145:E145"/>
    <mergeCell ref="F145:I145"/>
    <mergeCell ref="J145:L145"/>
    <mergeCell ref="M145:N145"/>
    <mergeCell ref="O145:P145"/>
    <mergeCell ref="B142:E142"/>
    <mergeCell ref="F142:I142"/>
    <mergeCell ref="J142:L142"/>
    <mergeCell ref="M142:N142"/>
    <mergeCell ref="O142:P142"/>
    <mergeCell ref="B143:E143"/>
    <mergeCell ref="F143:I143"/>
    <mergeCell ref="J143:L143"/>
    <mergeCell ref="M143:N143"/>
    <mergeCell ref="O143:P143"/>
    <mergeCell ref="B140:E140"/>
    <mergeCell ref="F140:I140"/>
    <mergeCell ref="J140:L140"/>
    <mergeCell ref="M140:N140"/>
    <mergeCell ref="O140:P140"/>
    <mergeCell ref="B141:E141"/>
    <mergeCell ref="F141:I141"/>
    <mergeCell ref="J141:L141"/>
    <mergeCell ref="M141:N141"/>
    <mergeCell ref="O141:P141"/>
    <mergeCell ref="B138:E138"/>
    <mergeCell ref="F138:I138"/>
    <mergeCell ref="J138:L138"/>
    <mergeCell ref="M138:N138"/>
    <mergeCell ref="O138:P138"/>
    <mergeCell ref="B139:E139"/>
    <mergeCell ref="F139:I139"/>
    <mergeCell ref="J139:L139"/>
    <mergeCell ref="M139:N139"/>
    <mergeCell ref="O139:P139"/>
    <mergeCell ref="B136:E136"/>
    <mergeCell ref="F136:I136"/>
    <mergeCell ref="J136:L136"/>
    <mergeCell ref="M136:N136"/>
    <mergeCell ref="O136:P136"/>
    <mergeCell ref="B137:E137"/>
    <mergeCell ref="F137:I137"/>
    <mergeCell ref="J137:L137"/>
    <mergeCell ref="M137:N137"/>
    <mergeCell ref="O137:P137"/>
    <mergeCell ref="B134:E134"/>
    <mergeCell ref="F134:I134"/>
    <mergeCell ref="J134:L134"/>
    <mergeCell ref="M134:N134"/>
    <mergeCell ref="O134:P134"/>
    <mergeCell ref="B135:E135"/>
    <mergeCell ref="F135:I135"/>
    <mergeCell ref="J135:L135"/>
    <mergeCell ref="M135:N135"/>
    <mergeCell ref="O135:P135"/>
    <mergeCell ref="B132:E132"/>
    <mergeCell ref="F132:I132"/>
    <mergeCell ref="J132:L132"/>
    <mergeCell ref="M132:N132"/>
    <mergeCell ref="O132:P132"/>
    <mergeCell ref="B133:E133"/>
    <mergeCell ref="F133:I133"/>
    <mergeCell ref="J133:L133"/>
    <mergeCell ref="M133:N133"/>
    <mergeCell ref="O133:P133"/>
    <mergeCell ref="B130:E130"/>
    <mergeCell ref="F130:I130"/>
    <mergeCell ref="J130:L130"/>
    <mergeCell ref="M130:N130"/>
    <mergeCell ref="O130:P130"/>
    <mergeCell ref="B131:E131"/>
    <mergeCell ref="F131:I131"/>
    <mergeCell ref="J131:L131"/>
    <mergeCell ref="M131:N131"/>
    <mergeCell ref="O131:P131"/>
    <mergeCell ref="B128:E128"/>
    <mergeCell ref="F128:I128"/>
    <mergeCell ref="J128:L128"/>
    <mergeCell ref="M128:N128"/>
    <mergeCell ref="O128:P128"/>
    <mergeCell ref="B129:E129"/>
    <mergeCell ref="F129:I129"/>
    <mergeCell ref="J129:L129"/>
    <mergeCell ref="M129:N129"/>
    <mergeCell ref="O129:P129"/>
    <mergeCell ref="B126:E126"/>
    <mergeCell ref="F126:I126"/>
    <mergeCell ref="J126:L126"/>
    <mergeCell ref="M126:N126"/>
    <mergeCell ref="O126:P126"/>
    <mergeCell ref="B127:E127"/>
    <mergeCell ref="F127:I127"/>
    <mergeCell ref="J127:L127"/>
    <mergeCell ref="M127:N127"/>
    <mergeCell ref="O127:P127"/>
    <mergeCell ref="B124:E124"/>
    <mergeCell ref="F124:I124"/>
    <mergeCell ref="J124:L124"/>
    <mergeCell ref="M124:N124"/>
    <mergeCell ref="O124:P124"/>
    <mergeCell ref="B125:E125"/>
    <mergeCell ref="F125:I125"/>
    <mergeCell ref="J125:L125"/>
    <mergeCell ref="M125:N125"/>
    <mergeCell ref="O125:P125"/>
    <mergeCell ref="B122:E122"/>
    <mergeCell ref="F122:I122"/>
    <mergeCell ref="J122:L122"/>
    <mergeCell ref="M122:N122"/>
    <mergeCell ref="O122:P122"/>
    <mergeCell ref="B123:E123"/>
    <mergeCell ref="F123:I123"/>
    <mergeCell ref="J123:L123"/>
    <mergeCell ref="M123:N123"/>
    <mergeCell ref="O123:P123"/>
    <mergeCell ref="B120:E120"/>
    <mergeCell ref="F120:I120"/>
    <mergeCell ref="J120:L120"/>
    <mergeCell ref="M120:N120"/>
    <mergeCell ref="O120:P120"/>
    <mergeCell ref="B121:E121"/>
    <mergeCell ref="F121:I121"/>
    <mergeCell ref="J121:L121"/>
    <mergeCell ref="M121:N121"/>
    <mergeCell ref="O121:P121"/>
    <mergeCell ref="B118:E118"/>
    <mergeCell ref="F118:I118"/>
    <mergeCell ref="J118:L118"/>
    <mergeCell ref="M118:N118"/>
    <mergeCell ref="O118:P118"/>
    <mergeCell ref="B119:E119"/>
    <mergeCell ref="F119:I119"/>
    <mergeCell ref="J119:L119"/>
    <mergeCell ref="M119:N119"/>
    <mergeCell ref="O119:P119"/>
    <mergeCell ref="B116:E116"/>
    <mergeCell ref="F116:I116"/>
    <mergeCell ref="J116:L116"/>
    <mergeCell ref="M116:N116"/>
    <mergeCell ref="O116:P116"/>
    <mergeCell ref="B117:E117"/>
    <mergeCell ref="F117:I117"/>
    <mergeCell ref="J117:L117"/>
    <mergeCell ref="M117:N117"/>
    <mergeCell ref="O117:P117"/>
    <mergeCell ref="B114:E114"/>
    <mergeCell ref="F114:I114"/>
    <mergeCell ref="J114:L114"/>
    <mergeCell ref="M114:N114"/>
    <mergeCell ref="O114:P114"/>
    <mergeCell ref="B115:E115"/>
    <mergeCell ref="F115:I115"/>
    <mergeCell ref="J115:L115"/>
    <mergeCell ref="M115:N115"/>
    <mergeCell ref="O115:P115"/>
    <mergeCell ref="B112:E112"/>
    <mergeCell ref="F112:I112"/>
    <mergeCell ref="J112:L112"/>
    <mergeCell ref="M112:N112"/>
    <mergeCell ref="O112:P112"/>
    <mergeCell ref="B113:E113"/>
    <mergeCell ref="F113:I113"/>
    <mergeCell ref="J113:L113"/>
    <mergeCell ref="M113:N113"/>
    <mergeCell ref="O113:P113"/>
    <mergeCell ref="B110:E110"/>
    <mergeCell ref="F110:I110"/>
    <mergeCell ref="J110:L110"/>
    <mergeCell ref="M110:N110"/>
    <mergeCell ref="O110:P110"/>
    <mergeCell ref="B111:E111"/>
    <mergeCell ref="F111:I111"/>
    <mergeCell ref="J111:L111"/>
    <mergeCell ref="M111:N111"/>
    <mergeCell ref="O111:P111"/>
    <mergeCell ref="B108:E108"/>
    <mergeCell ref="F108:I108"/>
    <mergeCell ref="J108:L108"/>
    <mergeCell ref="M108:N108"/>
    <mergeCell ref="O108:P108"/>
    <mergeCell ref="B109:E109"/>
    <mergeCell ref="F109:I109"/>
    <mergeCell ref="J109:L109"/>
    <mergeCell ref="M109:N109"/>
    <mergeCell ref="O109:P109"/>
    <mergeCell ref="B106:E106"/>
    <mergeCell ref="F106:I106"/>
    <mergeCell ref="J106:L106"/>
    <mergeCell ref="M106:N106"/>
    <mergeCell ref="O106:P106"/>
    <mergeCell ref="B107:E107"/>
    <mergeCell ref="F107:I107"/>
    <mergeCell ref="J107:L107"/>
    <mergeCell ref="M107:N107"/>
    <mergeCell ref="O107:P107"/>
    <mergeCell ref="B104:E104"/>
    <mergeCell ref="F104:I104"/>
    <mergeCell ref="J104:L104"/>
    <mergeCell ref="M104:N104"/>
    <mergeCell ref="O104:P104"/>
    <mergeCell ref="B105:E105"/>
    <mergeCell ref="F105:I105"/>
    <mergeCell ref="J105:L105"/>
    <mergeCell ref="M105:N105"/>
    <mergeCell ref="O105:P105"/>
    <mergeCell ref="B102:E102"/>
    <mergeCell ref="F102:I102"/>
    <mergeCell ref="J102:L102"/>
    <mergeCell ref="M102:N102"/>
    <mergeCell ref="O102:P102"/>
    <mergeCell ref="B103:E103"/>
    <mergeCell ref="F103:I103"/>
    <mergeCell ref="J103:L103"/>
    <mergeCell ref="M103:N103"/>
    <mergeCell ref="O103:P103"/>
    <mergeCell ref="B100:E100"/>
    <mergeCell ref="F100:I100"/>
    <mergeCell ref="J100:L100"/>
    <mergeCell ref="M100:N100"/>
    <mergeCell ref="O100:P100"/>
    <mergeCell ref="B101:E101"/>
    <mergeCell ref="F101:I101"/>
    <mergeCell ref="J101:L101"/>
    <mergeCell ref="M101:N101"/>
    <mergeCell ref="O101:P101"/>
    <mergeCell ref="B98:E98"/>
    <mergeCell ref="F98:I98"/>
    <mergeCell ref="J98:L98"/>
    <mergeCell ref="M98:N98"/>
    <mergeCell ref="O98:P98"/>
    <mergeCell ref="B99:E99"/>
    <mergeCell ref="F99:I99"/>
    <mergeCell ref="J99:L99"/>
    <mergeCell ref="M99:N99"/>
    <mergeCell ref="O99:P99"/>
    <mergeCell ref="B96:E96"/>
    <mergeCell ref="F96:I96"/>
    <mergeCell ref="J96:L96"/>
    <mergeCell ref="M96:N96"/>
    <mergeCell ref="O96:P96"/>
    <mergeCell ref="B97:E97"/>
    <mergeCell ref="F97:I97"/>
    <mergeCell ref="J97:L97"/>
    <mergeCell ref="M97:N97"/>
    <mergeCell ref="O97:P97"/>
    <mergeCell ref="B94:E94"/>
    <mergeCell ref="F94:I94"/>
    <mergeCell ref="J94:L94"/>
    <mergeCell ref="M94:N94"/>
    <mergeCell ref="O94:P94"/>
    <mergeCell ref="B95:E95"/>
    <mergeCell ref="F95:I95"/>
    <mergeCell ref="J95:L95"/>
    <mergeCell ref="M95:N95"/>
    <mergeCell ref="O95:P95"/>
    <mergeCell ref="B92:E92"/>
    <mergeCell ref="F92:I92"/>
    <mergeCell ref="J92:L92"/>
    <mergeCell ref="M92:N92"/>
    <mergeCell ref="O92:P92"/>
    <mergeCell ref="B93:E93"/>
    <mergeCell ref="F93:I93"/>
    <mergeCell ref="J93:L93"/>
    <mergeCell ref="M93:N93"/>
    <mergeCell ref="O93:P93"/>
    <mergeCell ref="B90:E90"/>
    <mergeCell ref="F90:I90"/>
    <mergeCell ref="J90:L90"/>
    <mergeCell ref="M90:N90"/>
    <mergeCell ref="O90:P90"/>
    <mergeCell ref="B91:E91"/>
    <mergeCell ref="F91:I91"/>
    <mergeCell ref="J91:L91"/>
    <mergeCell ref="M91:N91"/>
    <mergeCell ref="O91:P91"/>
    <mergeCell ref="B88:E88"/>
    <mergeCell ref="F88:I88"/>
    <mergeCell ref="J88:L88"/>
    <mergeCell ref="M88:N88"/>
    <mergeCell ref="O88:P88"/>
    <mergeCell ref="B89:E89"/>
    <mergeCell ref="F89:I89"/>
    <mergeCell ref="J89:L89"/>
    <mergeCell ref="M89:N89"/>
    <mergeCell ref="O89:P89"/>
    <mergeCell ref="B86:E86"/>
    <mergeCell ref="F86:I86"/>
    <mergeCell ref="J86:L86"/>
    <mergeCell ref="M86:N86"/>
    <mergeCell ref="O86:P86"/>
    <mergeCell ref="B87:E87"/>
    <mergeCell ref="F87:I87"/>
    <mergeCell ref="J87:L87"/>
    <mergeCell ref="M87:N87"/>
    <mergeCell ref="O87:P87"/>
    <mergeCell ref="B84:E84"/>
    <mergeCell ref="F84:I84"/>
    <mergeCell ref="J84:L84"/>
    <mergeCell ref="M84:N84"/>
    <mergeCell ref="O84:P84"/>
    <mergeCell ref="B85:E85"/>
    <mergeCell ref="F85:I85"/>
    <mergeCell ref="J85:L85"/>
    <mergeCell ref="M85:N85"/>
    <mergeCell ref="O85:P85"/>
    <mergeCell ref="B82:E82"/>
    <mergeCell ref="F82:I82"/>
    <mergeCell ref="J82:L82"/>
    <mergeCell ref="M82:N82"/>
    <mergeCell ref="O82:P82"/>
    <mergeCell ref="B83:E83"/>
    <mergeCell ref="F83:I83"/>
    <mergeCell ref="J83:L83"/>
    <mergeCell ref="M83:N83"/>
    <mergeCell ref="O83:P83"/>
    <mergeCell ref="B80:E80"/>
    <mergeCell ref="F80:I80"/>
    <mergeCell ref="J80:L80"/>
    <mergeCell ref="M80:N80"/>
    <mergeCell ref="O80:P80"/>
    <mergeCell ref="B81:E81"/>
    <mergeCell ref="F81:I81"/>
    <mergeCell ref="J81:L81"/>
    <mergeCell ref="M81:N81"/>
    <mergeCell ref="O81:P81"/>
    <mergeCell ref="B78:E78"/>
    <mergeCell ref="F78:I78"/>
    <mergeCell ref="J78:L78"/>
    <mergeCell ref="M78:N78"/>
    <mergeCell ref="O78:P78"/>
    <mergeCell ref="B79:E79"/>
    <mergeCell ref="F79:I79"/>
    <mergeCell ref="J79:L79"/>
    <mergeCell ref="M79:N79"/>
    <mergeCell ref="O79:P79"/>
    <mergeCell ref="B76:E76"/>
    <mergeCell ref="F76:I76"/>
    <mergeCell ref="J76:L76"/>
    <mergeCell ref="M76:N76"/>
    <mergeCell ref="O76:P76"/>
    <mergeCell ref="B77:E77"/>
    <mergeCell ref="F77:I77"/>
    <mergeCell ref="J77:L77"/>
    <mergeCell ref="M77:N77"/>
    <mergeCell ref="O77:P77"/>
    <mergeCell ref="B74:E74"/>
    <mergeCell ref="F74:I74"/>
    <mergeCell ref="J74:L74"/>
    <mergeCell ref="M74:N74"/>
    <mergeCell ref="O74:P74"/>
    <mergeCell ref="B75:E75"/>
    <mergeCell ref="F75:I75"/>
    <mergeCell ref="J75:L75"/>
    <mergeCell ref="M75:N75"/>
    <mergeCell ref="O75:P75"/>
    <mergeCell ref="B72:E72"/>
    <mergeCell ref="F72:I72"/>
    <mergeCell ref="J72:L72"/>
    <mergeCell ref="M72:N72"/>
    <mergeCell ref="O72:P72"/>
    <mergeCell ref="B73:E73"/>
    <mergeCell ref="F73:I73"/>
    <mergeCell ref="J73:L73"/>
    <mergeCell ref="M73:N73"/>
    <mergeCell ref="O73:P73"/>
    <mergeCell ref="B70:E70"/>
    <mergeCell ref="F70:I70"/>
    <mergeCell ref="J70:L70"/>
    <mergeCell ref="M70:N70"/>
    <mergeCell ref="O70:P70"/>
    <mergeCell ref="B71:E71"/>
    <mergeCell ref="F71:I71"/>
    <mergeCell ref="J71:L71"/>
    <mergeCell ref="M71:N71"/>
    <mergeCell ref="O71:P71"/>
    <mergeCell ref="B68:E68"/>
    <mergeCell ref="F68:I68"/>
    <mergeCell ref="J68:L68"/>
    <mergeCell ref="M68:N68"/>
    <mergeCell ref="O68:P68"/>
    <mergeCell ref="B69:E69"/>
    <mergeCell ref="F69:I69"/>
    <mergeCell ref="J69:L69"/>
    <mergeCell ref="M69:N69"/>
    <mergeCell ref="O69:P69"/>
    <mergeCell ref="B66:E66"/>
    <mergeCell ref="F66:I66"/>
    <mergeCell ref="J66:L66"/>
    <mergeCell ref="M66:N66"/>
    <mergeCell ref="O66:P66"/>
    <mergeCell ref="B67:E67"/>
    <mergeCell ref="F67:I67"/>
    <mergeCell ref="J67:L67"/>
    <mergeCell ref="M67:N67"/>
    <mergeCell ref="O67:P67"/>
    <mergeCell ref="B64:E64"/>
    <mergeCell ref="F64:I64"/>
    <mergeCell ref="J64:L64"/>
    <mergeCell ref="M64:N64"/>
    <mergeCell ref="O64:P64"/>
    <mergeCell ref="B65:E65"/>
    <mergeCell ref="F65:I65"/>
    <mergeCell ref="J65:L65"/>
    <mergeCell ref="M65:N65"/>
    <mergeCell ref="O65:P65"/>
    <mergeCell ref="B62:E62"/>
    <mergeCell ref="F62:I62"/>
    <mergeCell ref="J62:L62"/>
    <mergeCell ref="M62:N62"/>
    <mergeCell ref="O62:P62"/>
    <mergeCell ref="B63:E63"/>
    <mergeCell ref="F63:I63"/>
    <mergeCell ref="J63:L63"/>
    <mergeCell ref="M63:N63"/>
    <mergeCell ref="O63:P63"/>
    <mergeCell ref="B60:E60"/>
    <mergeCell ref="F60:I60"/>
    <mergeCell ref="J60:L60"/>
    <mergeCell ref="M60:N60"/>
    <mergeCell ref="O60:P60"/>
    <mergeCell ref="B61:E61"/>
    <mergeCell ref="F61:I61"/>
    <mergeCell ref="J61:L61"/>
    <mergeCell ref="M61:N61"/>
    <mergeCell ref="O61:P61"/>
    <mergeCell ref="B58:E58"/>
    <mergeCell ref="F58:I58"/>
    <mergeCell ref="J58:L58"/>
    <mergeCell ref="M58:N58"/>
    <mergeCell ref="O58:P58"/>
    <mergeCell ref="B59:E59"/>
    <mergeCell ref="F59:I59"/>
    <mergeCell ref="J59:L59"/>
    <mergeCell ref="M59:N59"/>
    <mergeCell ref="O59:P59"/>
    <mergeCell ref="B56:E56"/>
    <mergeCell ref="F56:I56"/>
    <mergeCell ref="J56:L56"/>
    <mergeCell ref="M56:N56"/>
    <mergeCell ref="O56:P56"/>
    <mergeCell ref="B57:E57"/>
    <mergeCell ref="F57:I57"/>
    <mergeCell ref="J57:L57"/>
    <mergeCell ref="M57:N57"/>
    <mergeCell ref="O57:P57"/>
    <mergeCell ref="B54:E54"/>
    <mergeCell ref="F54:I54"/>
    <mergeCell ref="J54:L54"/>
    <mergeCell ref="M54:N54"/>
    <mergeCell ref="O54:P54"/>
    <mergeCell ref="B55:E55"/>
    <mergeCell ref="F55:I55"/>
    <mergeCell ref="J55:L55"/>
    <mergeCell ref="M55:N55"/>
    <mergeCell ref="O55:P55"/>
    <mergeCell ref="B52:E52"/>
    <mergeCell ref="F52:I52"/>
    <mergeCell ref="J52:L52"/>
    <mergeCell ref="M52:N52"/>
    <mergeCell ref="O52:P52"/>
    <mergeCell ref="B53:E53"/>
    <mergeCell ref="F53:I53"/>
    <mergeCell ref="J53:L53"/>
    <mergeCell ref="M53:N53"/>
    <mergeCell ref="O53:P53"/>
    <mergeCell ref="B50:E50"/>
    <mergeCell ref="F50:I50"/>
    <mergeCell ref="J50:L50"/>
    <mergeCell ref="M50:N50"/>
    <mergeCell ref="O50:P50"/>
    <mergeCell ref="B51:E51"/>
    <mergeCell ref="F51:I51"/>
    <mergeCell ref="J51:L51"/>
    <mergeCell ref="M51:N51"/>
    <mergeCell ref="O51:P51"/>
    <mergeCell ref="B48:E48"/>
    <mergeCell ref="F48:I48"/>
    <mergeCell ref="J48:L48"/>
    <mergeCell ref="M48:N48"/>
    <mergeCell ref="O48:P48"/>
    <mergeCell ref="B49:E49"/>
    <mergeCell ref="F49:I49"/>
    <mergeCell ref="J49:L49"/>
    <mergeCell ref="M49:N49"/>
    <mergeCell ref="O49:P49"/>
    <mergeCell ref="B46:E46"/>
    <mergeCell ref="F46:I46"/>
    <mergeCell ref="J46:L46"/>
    <mergeCell ref="M46:N46"/>
    <mergeCell ref="O46:P46"/>
    <mergeCell ref="B47:E47"/>
    <mergeCell ref="F47:I47"/>
    <mergeCell ref="J47:L47"/>
    <mergeCell ref="M47:N47"/>
    <mergeCell ref="O47:P47"/>
    <mergeCell ref="B44:E44"/>
    <mergeCell ref="F44:I44"/>
    <mergeCell ref="J44:L44"/>
    <mergeCell ref="M44:N44"/>
    <mergeCell ref="O44:P44"/>
    <mergeCell ref="B45:E45"/>
    <mergeCell ref="F45:I45"/>
    <mergeCell ref="J45:L45"/>
    <mergeCell ref="M45:N45"/>
    <mergeCell ref="O45:P45"/>
    <mergeCell ref="B42:E42"/>
    <mergeCell ref="F42:I42"/>
    <mergeCell ref="J42:L42"/>
    <mergeCell ref="M42:N42"/>
    <mergeCell ref="O42:P42"/>
    <mergeCell ref="B43:E43"/>
    <mergeCell ref="F43:I43"/>
    <mergeCell ref="J43:L43"/>
    <mergeCell ref="M43:N43"/>
    <mergeCell ref="O43:P43"/>
    <mergeCell ref="B40:E40"/>
    <mergeCell ref="F40:I40"/>
    <mergeCell ref="J40:L40"/>
    <mergeCell ref="M40:N40"/>
    <mergeCell ref="O40:P40"/>
    <mergeCell ref="B41:E41"/>
    <mergeCell ref="F41:I41"/>
    <mergeCell ref="J41:L41"/>
    <mergeCell ref="M41:N41"/>
    <mergeCell ref="O41:P41"/>
    <mergeCell ref="B38:E38"/>
    <mergeCell ref="F38:I38"/>
    <mergeCell ref="J38:L38"/>
    <mergeCell ref="M38:N38"/>
    <mergeCell ref="O38:P38"/>
    <mergeCell ref="B39:E39"/>
    <mergeCell ref="F39:I39"/>
    <mergeCell ref="J39:L39"/>
    <mergeCell ref="M39:N39"/>
    <mergeCell ref="O39:P39"/>
    <mergeCell ref="B36:E36"/>
    <mergeCell ref="F36:I36"/>
    <mergeCell ref="J36:L36"/>
    <mergeCell ref="M36:N36"/>
    <mergeCell ref="O36:P36"/>
    <mergeCell ref="B37:E37"/>
    <mergeCell ref="F37:I37"/>
    <mergeCell ref="J37:L37"/>
    <mergeCell ref="M37:N37"/>
    <mergeCell ref="O37:P37"/>
    <mergeCell ref="B34:E34"/>
    <mergeCell ref="F34:I34"/>
    <mergeCell ref="J34:L34"/>
    <mergeCell ref="M34:N34"/>
    <mergeCell ref="O34:P34"/>
    <mergeCell ref="B35:E35"/>
    <mergeCell ref="F35:I35"/>
    <mergeCell ref="J35:L35"/>
    <mergeCell ref="M35:N35"/>
    <mergeCell ref="O35:P35"/>
    <mergeCell ref="B32:E32"/>
    <mergeCell ref="F32:I32"/>
    <mergeCell ref="J32:L32"/>
    <mergeCell ref="M32:N32"/>
    <mergeCell ref="O32:P32"/>
    <mergeCell ref="B33:E33"/>
    <mergeCell ref="F33:I33"/>
    <mergeCell ref="J33:L33"/>
    <mergeCell ref="M33:N33"/>
    <mergeCell ref="O33:P33"/>
    <mergeCell ref="B30:E30"/>
    <mergeCell ref="F30:I30"/>
    <mergeCell ref="J30:L30"/>
    <mergeCell ref="M30:N30"/>
    <mergeCell ref="O30:P30"/>
    <mergeCell ref="B31:E31"/>
    <mergeCell ref="F31:I31"/>
    <mergeCell ref="J31:L31"/>
    <mergeCell ref="M31:N31"/>
    <mergeCell ref="O31:P31"/>
    <mergeCell ref="B28:E28"/>
    <mergeCell ref="F28:I28"/>
    <mergeCell ref="J28:L28"/>
    <mergeCell ref="M28:N28"/>
    <mergeCell ref="O28:P28"/>
    <mergeCell ref="B29:E29"/>
    <mergeCell ref="F29:I29"/>
    <mergeCell ref="J29:L29"/>
    <mergeCell ref="M29:N29"/>
    <mergeCell ref="O29:P29"/>
    <mergeCell ref="B26:E26"/>
    <mergeCell ref="F26:I26"/>
    <mergeCell ref="J26:L26"/>
    <mergeCell ref="M26:N26"/>
    <mergeCell ref="O26:P26"/>
    <mergeCell ref="B27:E27"/>
    <mergeCell ref="F27:I27"/>
    <mergeCell ref="J27:L27"/>
    <mergeCell ref="M27:N27"/>
    <mergeCell ref="O27:P27"/>
    <mergeCell ref="B24:E24"/>
    <mergeCell ref="F24:I24"/>
    <mergeCell ref="J24:L24"/>
    <mergeCell ref="M24:N24"/>
    <mergeCell ref="O24:P24"/>
    <mergeCell ref="B25:E25"/>
    <mergeCell ref="F25:I25"/>
    <mergeCell ref="J25:L25"/>
    <mergeCell ref="M25:N25"/>
    <mergeCell ref="O25:P25"/>
    <mergeCell ref="B22:E22"/>
    <mergeCell ref="F22:I22"/>
    <mergeCell ref="J22:L22"/>
    <mergeCell ref="M22:N22"/>
    <mergeCell ref="O22:P22"/>
    <mergeCell ref="B23:E23"/>
    <mergeCell ref="F23:I23"/>
    <mergeCell ref="J23:L23"/>
    <mergeCell ref="M23:N23"/>
    <mergeCell ref="O23:P23"/>
    <mergeCell ref="B20:E20"/>
    <mergeCell ref="F20:I20"/>
    <mergeCell ref="J20:L20"/>
    <mergeCell ref="M20:N20"/>
    <mergeCell ref="O20:P20"/>
    <mergeCell ref="B21:E21"/>
    <mergeCell ref="F21:I21"/>
    <mergeCell ref="J21:L21"/>
    <mergeCell ref="M21:N21"/>
    <mergeCell ref="O21:P21"/>
    <mergeCell ref="B18:E18"/>
    <mergeCell ref="F18:I18"/>
    <mergeCell ref="J18:L18"/>
    <mergeCell ref="M18:N18"/>
    <mergeCell ref="O18:P18"/>
    <mergeCell ref="B19:E19"/>
    <mergeCell ref="F19:I19"/>
    <mergeCell ref="J19:L19"/>
    <mergeCell ref="M19:N19"/>
    <mergeCell ref="O19:P19"/>
    <mergeCell ref="J16:L16"/>
    <mergeCell ref="J17:L17"/>
    <mergeCell ref="M16:N16"/>
    <mergeCell ref="M17:N17"/>
    <mergeCell ref="O16:P16"/>
    <mergeCell ref="A8:E8"/>
    <mergeCell ref="F8:P8"/>
    <mergeCell ref="A10:E10"/>
    <mergeCell ref="F10:P10"/>
    <mergeCell ref="A12:E12"/>
    <mergeCell ref="F12:P12"/>
    <mergeCell ref="A1:D1"/>
    <mergeCell ref="E1:P1"/>
    <mergeCell ref="A3:P3"/>
    <mergeCell ref="A4:P4"/>
    <mergeCell ref="A6:E6"/>
    <mergeCell ref="F6:P6"/>
    <mergeCell ref="O17:P17"/>
    <mergeCell ref="A14:P14"/>
    <mergeCell ref="B16:E16"/>
    <mergeCell ref="B17:E17"/>
    <mergeCell ref="F16:I16"/>
    <mergeCell ref="F17:I17"/>
  </mergeCells>
  <pageMargins left="0.4" right="0.4" top="0.75" bottom="0.75" header="0.3" footer="0.3"/>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
  <sheetViews>
    <sheetView workbookViewId="0">
      <selection activeCell="D5" sqref="D5"/>
    </sheetView>
  </sheetViews>
  <sheetFormatPr defaultRowHeight="15" x14ac:dyDescent="0.25"/>
  <cols>
    <col min="1" max="1" width="7.140625" customWidth="1"/>
    <col min="2" max="2" width="29.28515625" customWidth="1"/>
    <col min="3" max="3" width="28.140625" customWidth="1"/>
    <col min="4" max="4" width="18.7109375" customWidth="1"/>
    <col min="5" max="5" width="19.7109375" customWidth="1"/>
    <col min="6" max="6" width="16.85546875" customWidth="1"/>
  </cols>
  <sheetData>
    <row r="1" spans="1:6" x14ac:dyDescent="0.25">
      <c r="A1" s="868" t="s">
        <v>451</v>
      </c>
      <c r="B1" s="868"/>
      <c r="C1" s="868"/>
      <c r="D1" s="868"/>
      <c r="E1" s="868"/>
      <c r="F1" s="868"/>
    </row>
    <row r="2" spans="1:6" ht="45.75" customHeight="1" x14ac:dyDescent="0.25">
      <c r="A2" s="869" t="s">
        <v>452</v>
      </c>
      <c r="B2" s="869"/>
      <c r="C2" s="869"/>
      <c r="D2" s="869"/>
      <c r="E2" s="869"/>
      <c r="F2" s="869"/>
    </row>
    <row r="4" spans="1:6" ht="90" x14ac:dyDescent="0.25">
      <c r="A4" s="157" t="s">
        <v>153</v>
      </c>
      <c r="B4" s="157" t="s">
        <v>453</v>
      </c>
      <c r="C4" s="157" t="s">
        <v>454</v>
      </c>
      <c r="D4" s="158" t="s">
        <v>455</v>
      </c>
      <c r="E4" s="158" t="s">
        <v>457</v>
      </c>
      <c r="F4" s="158" t="s">
        <v>456</v>
      </c>
    </row>
    <row r="5" spans="1:6" x14ac:dyDescent="0.25">
      <c r="A5" s="160">
        <v>1</v>
      </c>
      <c r="B5" s="521">
        <f>ПД!$M$1077</f>
        <v>19300107</v>
      </c>
      <c r="C5" s="521">
        <f>РД!$M$892</f>
        <v>23469932</v>
      </c>
      <c r="D5" s="521">
        <f>C5+B5</f>
        <v>42770039</v>
      </c>
      <c r="E5" s="159">
        <v>0.04</v>
      </c>
      <c r="F5" s="522">
        <f>D5*E5</f>
        <v>1710801.56</v>
      </c>
    </row>
  </sheetData>
  <mergeCells count="2">
    <mergeCell ref="A1:F1"/>
    <mergeCell ref="A2:F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S32" sqref="S32"/>
    </sheetView>
  </sheetViews>
  <sheetFormatPr defaultRowHeight="15" x14ac:dyDescent="0.25"/>
  <cols>
    <col min="3" max="3" width="10" bestFit="1" customWidth="1"/>
  </cols>
  <sheetData>
    <row r="1" spans="1:12" x14ac:dyDescent="0.25">
      <c r="A1" s="868" t="s">
        <v>466</v>
      </c>
      <c r="B1" s="868"/>
      <c r="C1" s="868"/>
      <c r="D1" s="868"/>
      <c r="E1" s="868"/>
      <c r="F1" s="868"/>
      <c r="G1" s="868"/>
      <c r="H1" s="868"/>
      <c r="I1" s="868"/>
      <c r="J1" s="868"/>
      <c r="K1" s="868"/>
      <c r="L1" s="868"/>
    </row>
    <row r="2" spans="1:12" ht="22.5" customHeight="1" x14ac:dyDescent="0.25">
      <c r="A2" s="871" t="s">
        <v>464</v>
      </c>
      <c r="B2" s="871"/>
      <c r="C2" s="162">
        <v>276900</v>
      </c>
      <c r="D2" s="156" t="s">
        <v>465</v>
      </c>
      <c r="E2" s="156"/>
    </row>
    <row r="3" spans="1:12" x14ac:dyDescent="0.25">
      <c r="C3" s="161"/>
    </row>
    <row r="4" spans="1:12" ht="48.75" customHeight="1" x14ac:dyDescent="0.25">
      <c r="A4" s="870" t="s">
        <v>467</v>
      </c>
      <c r="B4" s="870"/>
      <c r="C4" s="870"/>
      <c r="D4" s="870"/>
      <c r="E4" s="870"/>
      <c r="F4" s="870"/>
      <c r="G4" s="870"/>
      <c r="H4" s="870"/>
      <c r="I4" s="870"/>
      <c r="J4" s="870"/>
      <c r="K4" s="870"/>
      <c r="L4" s="870"/>
    </row>
  </sheetData>
  <mergeCells count="3">
    <mergeCell ref="A1:L1"/>
    <mergeCell ref="A4:L4"/>
    <mergeCell ref="A2:B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2"/>
  <sheetViews>
    <sheetView zoomScaleNormal="100" zoomScaleSheetLayoutView="100" workbookViewId="0">
      <selection activeCell="D16" sqref="D16"/>
    </sheetView>
  </sheetViews>
  <sheetFormatPr defaultColWidth="9.140625" defaultRowHeight="15" x14ac:dyDescent="0.25"/>
  <cols>
    <col min="1" max="1" width="5.28515625" style="86" customWidth="1"/>
    <col min="2" max="2" width="21.85546875" style="1" customWidth="1"/>
    <col min="3" max="3" width="26.140625" style="1" customWidth="1"/>
    <col min="4" max="4" width="14.85546875" style="1" customWidth="1"/>
    <col min="5" max="5" width="11.28515625" style="1" customWidth="1"/>
    <col min="6" max="6" width="11.7109375" style="1" customWidth="1"/>
    <col min="7" max="7" width="23.7109375" style="1" customWidth="1"/>
    <col min="8" max="8" width="17.5703125" style="87" customWidth="1"/>
    <col min="9" max="16384" width="9.140625" style="1"/>
  </cols>
  <sheetData>
    <row r="1" spans="1:8" ht="15.75" x14ac:dyDescent="0.25">
      <c r="A1" s="882" t="s">
        <v>150</v>
      </c>
      <c r="B1" s="883"/>
      <c r="C1" s="883"/>
      <c r="D1" s="883"/>
      <c r="E1" s="883"/>
      <c r="F1" s="883"/>
      <c r="G1" s="883"/>
      <c r="H1" s="883"/>
    </row>
    <row r="2" spans="1:8" ht="15.75" x14ac:dyDescent="0.25">
      <c r="A2" s="884"/>
      <c r="B2" s="883"/>
      <c r="C2" s="883"/>
      <c r="D2" s="883"/>
      <c r="E2" s="883"/>
      <c r="F2" s="883"/>
      <c r="G2" s="883"/>
      <c r="H2" s="883"/>
    </row>
    <row r="3" spans="1:8" ht="54" customHeight="1" x14ac:dyDescent="0.25">
      <c r="A3" s="885" t="s">
        <v>46</v>
      </c>
      <c r="B3" s="883"/>
      <c r="C3" s="886" t="str">
        <f>НМЦК!B2</f>
        <v>Всесезонный туристско-рекреационный комплекс «Каспийский прибрежный кластер», Республика Дагестан. Энергоцентр на базе газопоршневых агрегатов</v>
      </c>
      <c r="D3" s="886"/>
      <c r="E3" s="886"/>
      <c r="F3" s="887"/>
      <c r="G3" s="887"/>
      <c r="H3" s="887"/>
    </row>
    <row r="4" spans="1:8" ht="17.25" customHeight="1" x14ac:dyDescent="0.25">
      <c r="A4" s="885" t="s">
        <v>47</v>
      </c>
      <c r="B4" s="883"/>
      <c r="C4" s="888"/>
      <c r="D4" s="888"/>
      <c r="E4" s="888"/>
      <c r="F4" s="883"/>
      <c r="G4" s="883"/>
      <c r="H4" s="883"/>
    </row>
    <row r="5" spans="1:8" ht="30" customHeight="1" x14ac:dyDescent="0.25">
      <c r="A5" s="889" t="s">
        <v>48</v>
      </c>
      <c r="B5" s="883"/>
      <c r="C5" s="888" t="s">
        <v>49</v>
      </c>
      <c r="D5" s="888"/>
      <c r="E5" s="888"/>
      <c r="F5" s="883"/>
      <c r="G5" s="883"/>
      <c r="H5" s="883"/>
    </row>
    <row r="6" spans="1:8" ht="15.75" x14ac:dyDescent="0.25">
      <c r="A6" s="885" t="s">
        <v>50</v>
      </c>
      <c r="B6" s="883"/>
      <c r="C6" s="890"/>
      <c r="D6" s="890"/>
      <c r="E6" s="890"/>
      <c r="F6" s="883"/>
      <c r="G6" s="883"/>
      <c r="H6" s="883"/>
    </row>
    <row r="7" spans="1:8" ht="15.75" x14ac:dyDescent="0.25">
      <c r="A7" s="885" t="s">
        <v>51</v>
      </c>
      <c r="B7" s="883"/>
      <c r="C7" s="890" t="s">
        <v>130</v>
      </c>
      <c r="D7" s="890"/>
      <c r="E7" s="890"/>
      <c r="F7" s="883"/>
      <c r="G7" s="883"/>
      <c r="H7" s="883"/>
    </row>
    <row r="8" spans="1:8" ht="15.75" x14ac:dyDescent="0.25">
      <c r="A8" s="12"/>
      <c r="B8" s="13"/>
      <c r="C8" s="59"/>
      <c r="D8" s="59"/>
      <c r="E8" s="59"/>
      <c r="F8" s="13"/>
      <c r="G8" s="13"/>
      <c r="H8" s="14"/>
    </row>
    <row r="9" spans="1:8" ht="109.5" customHeight="1" x14ac:dyDescent="0.25">
      <c r="A9" s="109" t="s">
        <v>1</v>
      </c>
      <c r="B9" s="109" t="s">
        <v>16</v>
      </c>
      <c r="C9" s="878" t="s">
        <v>52</v>
      </c>
      <c r="D9" s="879"/>
      <c r="E9" s="879"/>
      <c r="F9" s="109" t="s">
        <v>53</v>
      </c>
      <c r="G9" s="109" t="s">
        <v>54</v>
      </c>
      <c r="H9" s="110" t="s">
        <v>55</v>
      </c>
    </row>
    <row r="10" spans="1:8" ht="47.25" x14ac:dyDescent="0.25">
      <c r="A10" s="872">
        <v>1</v>
      </c>
      <c r="B10" s="872" t="s">
        <v>32</v>
      </c>
      <c r="C10" s="15" t="s">
        <v>458</v>
      </c>
      <c r="D10" s="65">
        <f>'Cводная смета ПИР'!G20</f>
        <v>14929390.67</v>
      </c>
      <c r="E10" s="16" t="s">
        <v>56</v>
      </c>
      <c r="F10" s="17"/>
      <c r="G10" s="880"/>
      <c r="H10" s="876"/>
    </row>
    <row r="11" spans="1:8" ht="15.75" x14ac:dyDescent="0.25">
      <c r="A11" s="873"/>
      <c r="B11" s="873"/>
      <c r="C11" s="15" t="s">
        <v>459</v>
      </c>
      <c r="D11" s="18">
        <v>7.07</v>
      </c>
      <c r="E11" s="19"/>
      <c r="F11" s="17"/>
      <c r="G11" s="880"/>
      <c r="H11" s="876"/>
    </row>
    <row r="12" spans="1:8" ht="47.25" x14ac:dyDescent="0.25">
      <c r="A12" s="874"/>
      <c r="B12" s="874"/>
      <c r="C12" s="15" t="s">
        <v>227</v>
      </c>
      <c r="D12" s="65">
        <f>D10/D11</f>
        <v>2111653.56</v>
      </c>
      <c r="E12" s="16" t="s">
        <v>56</v>
      </c>
      <c r="F12" s="17"/>
      <c r="G12" s="880"/>
      <c r="H12" s="876"/>
    </row>
    <row r="13" spans="1:8" ht="32.450000000000003" customHeight="1" x14ac:dyDescent="0.25">
      <c r="A13" s="872">
        <v>2</v>
      </c>
      <c r="B13" s="872" t="s">
        <v>0</v>
      </c>
      <c r="C13" s="15" t="s">
        <v>460</v>
      </c>
      <c r="D13" s="65">
        <f>'Cводная смета ПИР'!G25</f>
        <v>21010908.559999999</v>
      </c>
      <c r="E13" s="16" t="s">
        <v>56</v>
      </c>
      <c r="F13" s="17"/>
      <c r="G13" s="880"/>
      <c r="H13" s="876"/>
    </row>
    <row r="14" spans="1:8" ht="25.9" customHeight="1" x14ac:dyDescent="0.25">
      <c r="A14" s="873"/>
      <c r="B14" s="873"/>
      <c r="C14" s="15" t="s">
        <v>459</v>
      </c>
      <c r="D14" s="18">
        <v>7.1</v>
      </c>
      <c r="E14" s="19"/>
      <c r="F14" s="17"/>
      <c r="G14" s="880"/>
      <c r="H14" s="876"/>
    </row>
    <row r="15" spans="1:8" ht="47.25" x14ac:dyDescent="0.25">
      <c r="A15" s="874"/>
      <c r="B15" s="874"/>
      <c r="C15" s="15" t="s">
        <v>57</v>
      </c>
      <c r="D15" s="65">
        <f>D13/D14</f>
        <v>2959282.9</v>
      </c>
      <c r="E15" s="16" t="s">
        <v>56</v>
      </c>
      <c r="F15" s="17"/>
      <c r="G15" s="881"/>
      <c r="H15" s="877"/>
    </row>
    <row r="16" spans="1:8" ht="39.75" customHeight="1" x14ac:dyDescent="0.25">
      <c r="A16" s="66"/>
      <c r="B16" s="67"/>
      <c r="C16" s="20" t="s">
        <v>58</v>
      </c>
      <c r="D16" s="68">
        <f>D12+D15</f>
        <v>5070936.46</v>
      </c>
      <c r="E16" s="21" t="s">
        <v>56</v>
      </c>
      <c r="F16" s="22"/>
      <c r="G16" s="69" t="str">
        <f>IF(AND(0&lt;$D$16,$D$16&lt;150000),"до 0,15 млн.",IF(AND(150000&lt;$D$16,$D$16&lt;250000),"от 0,15 до 0,25 млн.",IF(AND(250000&lt;$D$16,$D$16&lt;500000),"от 0,25 до 0,5 млн.",IF(AND(500000&lt;$D$16,$D$16&lt;750000),"от 0,5 до 0,75 млн.",IF(AND(750000&lt;$D$16,$D$16&lt;1000000),"от 0,75 до 1 млн.",IF(AND(1000000&lt;$D$16,$D$16&lt;1500000),"от 1 до 1,5 млн.",IF(AND(1500000&lt;$D$16,$D$16&lt;3000000),"от 1,5 до 3 млн.",IF(AND(3000000&lt;$D$16,$D$16&lt;4000000),"от 3 до 4 млн.",IF(AND(4000000&lt;$D$16,$D$16&lt;6000000),"от 4 до 6 млн.",IF(AND(6000000&lt;$D$16,$D$16&lt;8000000),"от 6 до 8 млн.",IF(AND(8000000&lt;$D$16,$D$16&lt;12000000),"от 8 до 12 млн.",IF(AND(12000000&lt;$D$16,$D$16&lt;18000000),"от 12 до 18 млн.",IF(AND(18000000&lt;$D$16,$D$16&lt;24000000),"от 18 до 24 млн.",IF(AND(24000000&lt;$D$16,$D$16&lt;30000000),"от 24 до 30 млн.",IF(AND(30000000&lt;$D$16,$D$16&lt;36000000),"от 30 до 36 млн.",IF(AND(36000000&lt;$D$16,$D$16&lt;45000000),"от 36 до 45 млн.",IF(AND(45000000&lt;$D$16,$D$16&lt;52500000),"от 45 до 52,5 млн.",IF(AND(52500000&lt;$D$16,$D$16&lt;60000000),"от 52,5 до 60 млн.",IF(AND(60000000&lt;$D$16,$D$16&lt;70000000),"от 60 до 70 млн.",IF(AND(70000000&lt;$D$16,$D$16&lt;80000000),"от 70 до 80 млн.",IF(AND(80000000&lt;$D$16,$D$16&lt;100000000),"от 80 до 100 млн.",IF(AND(100000000&lt;$D$16,$D$16&lt;120000000),"от 100 до 120 млн.",IF(AND(120000000&lt;$D$16,$D$16&lt;140000000),"от 120 до 140 млн.",IF(AND(140000000&lt;$D$16,$D$16&lt;160000000),"от 140 до 160 млн.",IF(AND(160000000&lt;$D$16,$D$16&lt;180000000),"от 160 до 180 млн.",IF(AND(180000000&lt;$D$16,$D$16&lt;200000000),"от 180 до 200 млн.",IF(AND(200000000&lt;$D$16,$D$16&lt;220000000),"от 200 до 220 млн.",IF(220000000&lt;$D$16,C52,"дог."))))))))))))))))))))))))))))</f>
        <v>от 4 до 6 млн.</v>
      </c>
      <c r="H16" s="70"/>
    </row>
    <row r="17" spans="1:9" ht="63.75" customHeight="1" x14ac:dyDescent="0.25">
      <c r="A17" s="71"/>
      <c r="B17" s="72" t="s">
        <v>59</v>
      </c>
      <c r="C17" s="23" t="s">
        <v>60</v>
      </c>
      <c r="D17" s="524">
        <f>IF(AND(0&lt;$D$16,$D$16&lt;150000),C25,IF(AND(150000&lt;$D$16,$D$16&lt;250000),C26,IF(AND(250000&lt;$D$16,$D$16&lt;500000),C27,IF(AND(500000&lt;$D$16,$D$16&lt;750000),C28,IF(AND(750000&lt;$D$16,$D$16&lt;1000000),C29,IF(AND(1000000&lt;$D$16,$D$16&lt;1500000),C30,IF(AND(1500000&lt;$D$16,$D$16&lt;3000000),C31,IF(AND(3000000&lt;$D$16,$D$16&lt;4000000),C32,IF(AND(4000000&lt;$D$16,$D$16&lt;6000000),C33,IF(AND(6000000&lt;$D$16,$D$16&lt;8000000),C34,IF(AND(8000000&lt;$D$16,$D$16&lt;12000000),C35,IF(AND(12000000&lt;$D$16,$D$16&lt;18000000),C36,IF(AND(18000000&lt;$D$16,$D$16&lt;24000000),C37,IF(AND(24000000&lt;$D$16,$D$16&lt;30000000),C38,IF(AND(30000000&lt;$D$16,$D$16&lt;36000000),C39,IF(AND(36000000&lt;$D$16,$D$16&lt;45000000),C40,IF(AND(45000000&lt;$D$16,$D$16&lt;52500000),C41,IF(AND(52500000&lt;$D$16,$D$16&lt;60000000),C42,IF(AND(60000000&lt;$D$16,$D$16&lt;70000000),C43,IF(AND(70000000&lt;$D$16,$D$16&lt;80000000),C44,IF(AND(80000000&lt;$D$16,$D$16&lt;100000000),C45,IF(AND(100000000&lt;$D$16,$D$16&lt;120000000),C46,IF(AND(120000000&lt;$D$16,$D$16&lt;140000000),C47,IF(AND(140000000&lt;$D$16,$D$16&lt;160000000),C48,IF(AND(160000000&lt;$D$16,$D$16&lt;180000000),C49,IF(AND(180000000&lt;$D$16,$D$16&lt;200000000),C50,IF(AND(200000000&lt;$D$16,$D$16&lt;220000000),C51,IF(220000000&lt;$D$16,C52,"дог."))))))))))))))))))))))))))))/100</f>
        <v>8.77E-2</v>
      </c>
      <c r="E17" s="24"/>
      <c r="F17" s="25"/>
      <c r="G17" s="26"/>
      <c r="H17" s="73">
        <f>D16*D17</f>
        <v>444721.13</v>
      </c>
    </row>
    <row r="18" spans="1:9" ht="67.5" customHeight="1" x14ac:dyDescent="0.25">
      <c r="A18" s="71"/>
      <c r="B18" s="74" t="s">
        <v>463</v>
      </c>
      <c r="C18" s="23" t="s">
        <v>461</v>
      </c>
      <c r="D18" s="111">
        <v>8.6</v>
      </c>
      <c r="E18" s="27"/>
      <c r="F18" s="28"/>
      <c r="G18" s="75"/>
      <c r="H18" s="76">
        <f>H17*D18</f>
        <v>3824601.72</v>
      </c>
    </row>
    <row r="19" spans="1:9" ht="15.75" x14ac:dyDescent="0.25">
      <c r="A19" s="77"/>
      <c r="C19" s="78"/>
      <c r="D19" s="78"/>
      <c r="E19" s="78"/>
      <c r="F19" s="78"/>
      <c r="G19" s="79" t="s">
        <v>462</v>
      </c>
      <c r="H19" s="80">
        <f>H18*1.22</f>
        <v>4666014.0999999996</v>
      </c>
    </row>
    <row r="20" spans="1:9" ht="72" customHeight="1" x14ac:dyDescent="0.25">
      <c r="A20" s="77"/>
      <c r="B20" s="875" t="s">
        <v>228</v>
      </c>
      <c r="C20" s="875"/>
      <c r="D20" s="875"/>
      <c r="E20" s="875"/>
      <c r="F20" s="875"/>
      <c r="G20" s="81"/>
      <c r="H20" s="82"/>
    </row>
    <row r="21" spans="1:9" ht="15.75" x14ac:dyDescent="0.25">
      <c r="A21" s="77"/>
      <c r="B21" s="78"/>
      <c r="C21" s="78"/>
      <c r="D21" s="78"/>
      <c r="E21" s="78"/>
      <c r="F21" s="78"/>
      <c r="G21" s="81"/>
      <c r="H21" s="82"/>
    </row>
    <row r="22" spans="1:9" ht="15.75" x14ac:dyDescent="0.25">
      <c r="A22" s="77"/>
      <c r="B22" s="78"/>
      <c r="C22" s="78"/>
      <c r="D22" s="78"/>
      <c r="E22" s="78"/>
      <c r="F22" s="78"/>
      <c r="G22" s="81"/>
      <c r="H22" s="82"/>
    </row>
    <row r="23" spans="1:9" ht="30" x14ac:dyDescent="0.25">
      <c r="A23" s="77"/>
      <c r="B23" s="83" t="s">
        <v>62</v>
      </c>
      <c r="C23" s="83" t="s">
        <v>133</v>
      </c>
      <c r="D23" s="78"/>
      <c r="E23" s="78"/>
      <c r="F23" s="78"/>
      <c r="G23" s="78"/>
      <c r="H23" s="84"/>
    </row>
    <row r="24" spans="1:9" x14ac:dyDescent="0.25">
      <c r="A24" s="77"/>
      <c r="B24" s="83" t="s">
        <v>63</v>
      </c>
      <c r="C24" s="83" t="s">
        <v>64</v>
      </c>
      <c r="D24" s="78"/>
      <c r="E24" s="78"/>
      <c r="F24" s="78"/>
      <c r="G24" s="78"/>
      <c r="H24" s="84"/>
    </row>
    <row r="25" spans="1:9" x14ac:dyDescent="0.25">
      <c r="A25" s="77"/>
      <c r="B25" s="83" t="s">
        <v>65</v>
      </c>
      <c r="C25" s="83">
        <v>33.75</v>
      </c>
      <c r="D25" s="78"/>
      <c r="E25" s="78"/>
      <c r="F25" s="78"/>
      <c r="G25" s="78"/>
      <c r="H25" s="84"/>
      <c r="I25" s="523"/>
    </row>
    <row r="26" spans="1:9" x14ac:dyDescent="0.25">
      <c r="A26" s="77"/>
      <c r="B26" s="83" t="s">
        <v>66</v>
      </c>
      <c r="C26" s="83">
        <v>29.25</v>
      </c>
      <c r="D26" s="78"/>
      <c r="E26" s="78"/>
      <c r="F26" s="78"/>
      <c r="G26" s="78"/>
      <c r="H26" s="84"/>
    </row>
    <row r="27" spans="1:9" x14ac:dyDescent="0.25">
      <c r="A27" s="77"/>
      <c r="B27" s="83" t="s">
        <v>67</v>
      </c>
      <c r="C27" s="83">
        <v>27.3</v>
      </c>
      <c r="D27" s="78"/>
      <c r="E27" s="78"/>
      <c r="F27" s="78"/>
      <c r="G27" s="78"/>
      <c r="H27" s="84"/>
    </row>
    <row r="28" spans="1:9" x14ac:dyDescent="0.25">
      <c r="A28" s="77"/>
      <c r="B28" s="83" t="s">
        <v>68</v>
      </c>
      <c r="C28" s="83">
        <v>20.22</v>
      </c>
      <c r="D28" s="78"/>
      <c r="E28" s="78"/>
      <c r="F28" s="78"/>
      <c r="G28" s="78"/>
      <c r="H28" s="84"/>
    </row>
    <row r="29" spans="1:9" x14ac:dyDescent="0.25">
      <c r="A29" s="77"/>
      <c r="B29" s="85" t="s">
        <v>69</v>
      </c>
      <c r="C29" s="85">
        <v>16.649999999999999</v>
      </c>
      <c r="D29" s="78"/>
      <c r="E29" s="78"/>
      <c r="F29" s="78"/>
      <c r="G29" s="78"/>
      <c r="H29" s="84"/>
    </row>
    <row r="30" spans="1:9" x14ac:dyDescent="0.25">
      <c r="A30" s="77"/>
      <c r="B30" s="114" t="s">
        <v>70</v>
      </c>
      <c r="C30" s="114">
        <v>12.69</v>
      </c>
      <c r="D30" s="78"/>
      <c r="E30" s="78"/>
      <c r="F30" s="78"/>
      <c r="G30" s="78"/>
      <c r="H30" s="84"/>
    </row>
    <row r="31" spans="1:9" x14ac:dyDescent="0.25">
      <c r="A31" s="77"/>
      <c r="B31" s="85" t="s">
        <v>71</v>
      </c>
      <c r="C31" s="85">
        <v>11.88</v>
      </c>
      <c r="D31" s="78"/>
      <c r="E31" s="78"/>
      <c r="F31" s="78"/>
      <c r="G31" s="78"/>
      <c r="H31" s="84"/>
    </row>
    <row r="32" spans="1:9" x14ac:dyDescent="0.25">
      <c r="A32" s="77"/>
      <c r="B32" s="85" t="s">
        <v>72</v>
      </c>
      <c r="C32" s="85">
        <v>10.98</v>
      </c>
      <c r="D32" s="78"/>
      <c r="E32" s="78"/>
      <c r="F32" s="78"/>
      <c r="G32" s="78"/>
      <c r="H32" s="84"/>
    </row>
    <row r="33" spans="1:8" x14ac:dyDescent="0.25">
      <c r="A33" s="77"/>
      <c r="B33" s="85" t="s">
        <v>73</v>
      </c>
      <c r="C33" s="85">
        <v>8.77</v>
      </c>
      <c r="D33" s="78"/>
      <c r="E33" s="78"/>
      <c r="F33" s="78"/>
      <c r="G33" s="78"/>
      <c r="H33" s="84"/>
    </row>
    <row r="34" spans="1:8" x14ac:dyDescent="0.25">
      <c r="A34" s="77"/>
      <c r="B34" s="85" t="s">
        <v>74</v>
      </c>
      <c r="C34" s="85">
        <v>7.07</v>
      </c>
      <c r="D34" s="78"/>
      <c r="E34" s="78"/>
      <c r="F34" s="78"/>
      <c r="G34" s="78"/>
      <c r="H34" s="84"/>
    </row>
    <row r="35" spans="1:8" x14ac:dyDescent="0.25">
      <c r="A35" s="77"/>
      <c r="B35" s="114" t="s">
        <v>75</v>
      </c>
      <c r="C35" s="114">
        <v>6.15</v>
      </c>
      <c r="D35" s="78"/>
      <c r="E35" s="78"/>
      <c r="F35" s="78"/>
      <c r="G35" s="78"/>
      <c r="H35" s="84"/>
    </row>
    <row r="36" spans="1:8" x14ac:dyDescent="0.25">
      <c r="A36" s="77"/>
      <c r="B36" s="114" t="s">
        <v>76</v>
      </c>
      <c r="C36" s="114">
        <v>4.76</v>
      </c>
      <c r="D36" s="78"/>
      <c r="E36" s="78"/>
      <c r="F36" s="78"/>
      <c r="G36" s="78"/>
      <c r="H36" s="84"/>
    </row>
    <row r="37" spans="1:8" x14ac:dyDescent="0.25">
      <c r="A37" s="77"/>
      <c r="B37" s="83" t="s">
        <v>77</v>
      </c>
      <c r="C37" s="83">
        <v>4.13</v>
      </c>
      <c r="D37" s="78"/>
      <c r="E37" s="78"/>
      <c r="F37" s="78"/>
      <c r="G37" s="78"/>
      <c r="H37" s="84"/>
    </row>
    <row r="38" spans="1:8" x14ac:dyDescent="0.25">
      <c r="A38" s="77"/>
      <c r="B38" s="83" t="s">
        <v>78</v>
      </c>
      <c r="C38" s="83">
        <v>3.52</v>
      </c>
      <c r="D38" s="78"/>
      <c r="E38" s="78"/>
      <c r="F38" s="78"/>
      <c r="G38" s="78"/>
      <c r="H38" s="84"/>
    </row>
    <row r="39" spans="1:8" x14ac:dyDescent="0.25">
      <c r="A39" s="77"/>
      <c r="B39" s="83" t="s">
        <v>79</v>
      </c>
      <c r="C39" s="83">
        <v>3.06</v>
      </c>
      <c r="D39" s="78"/>
      <c r="E39" s="78"/>
      <c r="F39" s="78"/>
      <c r="G39" s="78"/>
      <c r="H39" s="84"/>
    </row>
    <row r="40" spans="1:8" x14ac:dyDescent="0.25">
      <c r="A40" s="77"/>
      <c r="B40" s="83" t="s">
        <v>80</v>
      </c>
      <c r="C40" s="83">
        <v>2.62</v>
      </c>
      <c r="D40" s="78"/>
      <c r="E40" s="78"/>
      <c r="F40" s="78"/>
      <c r="G40" s="78"/>
      <c r="H40" s="84"/>
    </row>
    <row r="41" spans="1:8" x14ac:dyDescent="0.25">
      <c r="A41" s="77"/>
      <c r="B41" s="83" t="s">
        <v>81</v>
      </c>
      <c r="C41" s="83">
        <v>2.33</v>
      </c>
      <c r="D41" s="78"/>
      <c r="E41" s="78"/>
      <c r="F41" s="78"/>
      <c r="G41" s="78"/>
      <c r="H41" s="84"/>
    </row>
    <row r="42" spans="1:8" x14ac:dyDescent="0.25">
      <c r="A42" s="77"/>
      <c r="B42" s="83" t="s">
        <v>82</v>
      </c>
      <c r="C42" s="83">
        <v>2.0099999999999998</v>
      </c>
      <c r="D42" s="78"/>
      <c r="E42" s="78"/>
      <c r="F42" s="78"/>
      <c r="G42" s="78"/>
      <c r="H42" s="84"/>
    </row>
    <row r="43" spans="1:8" x14ac:dyDescent="0.25">
      <c r="A43" s="77"/>
      <c r="B43" s="83" t="s">
        <v>83</v>
      </c>
      <c r="C43" s="83">
        <v>1.68</v>
      </c>
      <c r="D43" s="78"/>
      <c r="E43" s="78"/>
      <c r="F43" s="78"/>
      <c r="G43" s="78"/>
      <c r="H43" s="84"/>
    </row>
    <row r="44" spans="1:8" x14ac:dyDescent="0.25">
      <c r="A44" s="77"/>
      <c r="B44" s="83" t="s">
        <v>84</v>
      </c>
      <c r="C44" s="83">
        <v>1.56</v>
      </c>
      <c r="D44" s="78"/>
      <c r="E44" s="78"/>
      <c r="F44" s="78"/>
      <c r="G44" s="78"/>
      <c r="H44" s="84"/>
    </row>
    <row r="45" spans="1:8" x14ac:dyDescent="0.25">
      <c r="A45" s="77"/>
      <c r="B45" s="83" t="s">
        <v>85</v>
      </c>
      <c r="C45" s="83">
        <v>1.22</v>
      </c>
      <c r="D45" s="78"/>
      <c r="E45" s="78"/>
      <c r="F45" s="78"/>
      <c r="G45" s="78"/>
      <c r="H45" s="84"/>
    </row>
    <row r="46" spans="1:8" x14ac:dyDescent="0.25">
      <c r="A46" s="77"/>
      <c r="B46" s="83" t="s">
        <v>86</v>
      </c>
      <c r="C46" s="83">
        <v>1.04</v>
      </c>
      <c r="D46" s="78"/>
      <c r="E46" s="78"/>
      <c r="F46" s="78"/>
      <c r="G46" s="78"/>
      <c r="H46" s="84"/>
    </row>
    <row r="47" spans="1:8" x14ac:dyDescent="0.25">
      <c r="A47" s="77"/>
      <c r="B47" s="83" t="s">
        <v>87</v>
      </c>
      <c r="C47" s="83">
        <v>0.9</v>
      </c>
      <c r="D47" s="78"/>
      <c r="E47" s="78"/>
      <c r="F47" s="78"/>
      <c r="G47" s="78"/>
      <c r="H47" s="84"/>
    </row>
    <row r="48" spans="1:8" x14ac:dyDescent="0.25">
      <c r="A48" s="77"/>
      <c r="B48" s="83" t="s">
        <v>88</v>
      </c>
      <c r="C48" s="83">
        <v>0.8</v>
      </c>
      <c r="D48" s="78"/>
      <c r="E48" s="78"/>
      <c r="F48" s="78"/>
      <c r="G48" s="78"/>
      <c r="H48" s="84"/>
    </row>
    <row r="49" spans="1:8" x14ac:dyDescent="0.25">
      <c r="A49" s="77"/>
      <c r="B49" s="83" t="s">
        <v>89</v>
      </c>
      <c r="C49" s="83">
        <v>0.73</v>
      </c>
      <c r="D49" s="78"/>
      <c r="E49" s="78"/>
      <c r="F49" s="78"/>
      <c r="G49" s="78"/>
      <c r="H49" s="84"/>
    </row>
    <row r="50" spans="1:8" x14ac:dyDescent="0.25">
      <c r="A50" s="77"/>
      <c r="B50" s="83" t="s">
        <v>90</v>
      </c>
      <c r="C50" s="83">
        <v>0.66</v>
      </c>
      <c r="D50" s="78"/>
      <c r="E50" s="78"/>
      <c r="F50" s="78"/>
      <c r="G50" s="78"/>
      <c r="H50" s="84"/>
    </row>
    <row r="51" spans="1:8" x14ac:dyDescent="0.25">
      <c r="A51" s="77"/>
      <c r="B51" s="83" t="s">
        <v>91</v>
      </c>
      <c r="C51" s="83">
        <v>0.61</v>
      </c>
      <c r="D51" s="78"/>
      <c r="E51" s="78"/>
      <c r="F51" s="78"/>
      <c r="G51" s="78"/>
      <c r="H51" s="84"/>
    </row>
    <row r="52" spans="1:8" x14ac:dyDescent="0.25">
      <c r="A52" s="77"/>
      <c r="B52" s="83" t="s">
        <v>92</v>
      </c>
      <c r="C52" s="83">
        <v>0.57999999999999996</v>
      </c>
      <c r="D52" s="78"/>
      <c r="E52" s="78"/>
      <c r="F52" s="78"/>
      <c r="G52" s="78"/>
      <c r="H52" s="84"/>
    </row>
  </sheetData>
  <mergeCells count="20">
    <mergeCell ref="A5:B5"/>
    <mergeCell ref="C5:H5"/>
    <mergeCell ref="A6:B6"/>
    <mergeCell ref="C6:H6"/>
    <mergeCell ref="A7:B7"/>
    <mergeCell ref="C7:H7"/>
    <mergeCell ref="A1:H1"/>
    <mergeCell ref="A2:H2"/>
    <mergeCell ref="A3:B3"/>
    <mergeCell ref="C3:H3"/>
    <mergeCell ref="A4:B4"/>
    <mergeCell ref="C4:H4"/>
    <mergeCell ref="A10:A12"/>
    <mergeCell ref="B20:F20"/>
    <mergeCell ref="H10:H15"/>
    <mergeCell ref="B13:B15"/>
    <mergeCell ref="C9:E9"/>
    <mergeCell ref="G10:G15"/>
    <mergeCell ref="A13:A15"/>
    <mergeCell ref="B10:B1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61:J72"/>
  <sheetViews>
    <sheetView topLeftCell="A22" zoomScaleNormal="100" workbookViewId="0">
      <selection activeCell="F109" sqref="F109"/>
    </sheetView>
  </sheetViews>
  <sheetFormatPr defaultRowHeight="12.75" x14ac:dyDescent="0.2"/>
  <cols>
    <col min="1" max="1" width="25.7109375" style="119" customWidth="1"/>
    <col min="2" max="2" width="9.140625" style="119"/>
    <col min="3" max="3" width="14.140625" style="119" customWidth="1"/>
    <col min="4" max="4" width="13" style="119" customWidth="1"/>
    <col min="5" max="5" width="15.7109375" style="119" customWidth="1"/>
    <col min="6" max="6" width="11.5703125" style="119" bestFit="1" customWidth="1"/>
    <col min="7" max="7" width="11.5703125" style="119" customWidth="1"/>
    <col min="8" max="10" width="10.140625" style="119" bestFit="1" customWidth="1"/>
    <col min="11" max="16384" width="9.140625" style="119"/>
  </cols>
  <sheetData>
    <row r="61" spans="1:6" x14ac:dyDescent="0.2">
      <c r="A61" s="891" t="s">
        <v>2427</v>
      </c>
      <c r="B61" s="891"/>
      <c r="C61" s="891"/>
      <c r="D61" s="891"/>
      <c r="E61" s="891"/>
      <c r="F61" s="891"/>
    </row>
    <row r="63" spans="1:6" x14ac:dyDescent="0.2">
      <c r="A63" s="666" t="s">
        <v>2426</v>
      </c>
    </row>
    <row r="66" spans="1:10" s="142" customFormat="1" ht="15.75" x14ac:dyDescent="0.25">
      <c r="A66" s="716" t="s">
        <v>141</v>
      </c>
      <c r="B66" s="716"/>
      <c r="C66" s="716"/>
      <c r="D66" s="716"/>
      <c r="E66" s="716"/>
      <c r="F66" s="525">
        <v>46204</v>
      </c>
    </row>
    <row r="67" spans="1:10" s="142" customFormat="1" ht="15.75" x14ac:dyDescent="0.25">
      <c r="A67" s="717" t="s">
        <v>117</v>
      </c>
      <c r="B67" s="718"/>
      <c r="C67" s="718"/>
      <c r="D67" s="718"/>
      <c r="E67" s="719"/>
      <c r="F67" s="668">
        <v>46235</v>
      </c>
      <c r="G67" s="667" t="s">
        <v>2246</v>
      </c>
    </row>
    <row r="68" spans="1:10" s="142" customFormat="1" ht="15.75" x14ac:dyDescent="0.25">
      <c r="A68" s="717" t="s">
        <v>118</v>
      </c>
      <c r="B68" s="718"/>
      <c r="C68" s="718"/>
      <c r="D68" s="718"/>
      <c r="E68" s="719"/>
      <c r="F68" s="525">
        <f>F67+140</f>
        <v>46375</v>
      </c>
      <c r="G68" s="527"/>
    </row>
    <row r="69" spans="1:10" s="142" customFormat="1" ht="19.5" customHeight="1" x14ac:dyDescent="0.25">
      <c r="A69" s="717" t="s">
        <v>2111</v>
      </c>
      <c r="B69" s="718"/>
      <c r="C69" s="718"/>
      <c r="D69" s="718"/>
      <c r="E69" s="719"/>
      <c r="F69" s="528">
        <f>ROUNDUP((F68-F66)/30.5,1)</f>
        <v>5.7</v>
      </c>
    </row>
    <row r="70" spans="1:10" s="142" customFormat="1" ht="35.25" customHeight="1" x14ac:dyDescent="0.25">
      <c r="A70" s="720" t="s">
        <v>576</v>
      </c>
      <c r="B70" s="720"/>
      <c r="C70" s="720"/>
      <c r="D70" s="720"/>
      <c r="E70" s="720"/>
      <c r="F70" s="529">
        <v>1.0549999999999999</v>
      </c>
      <c r="I70" s="527"/>
    </row>
    <row r="71" spans="1:10" s="142" customFormat="1" ht="15.75" x14ac:dyDescent="0.25">
      <c r="A71" s="724" t="s">
        <v>241</v>
      </c>
      <c r="B71" s="724"/>
      <c r="C71" s="724"/>
      <c r="D71" s="530">
        <f>F70</f>
        <v>1.0549999999999999</v>
      </c>
      <c r="E71" s="531" t="s">
        <v>225</v>
      </c>
      <c r="F71" s="532">
        <f>F70^(1/12)</f>
        <v>1.0044999999999999</v>
      </c>
    </row>
    <row r="72" spans="1:10" s="142" customFormat="1" ht="34.5" customHeight="1" x14ac:dyDescent="0.25">
      <c r="A72" s="725" t="s">
        <v>121</v>
      </c>
      <c r="B72" s="726"/>
      <c r="C72" s="727" t="str">
        <f>CONCATENATE("(",F71,"^",ROUNDUP((F68-F66)/30.5,1),"-1)/2+1")</f>
        <v>(1,0045^5,7-1)/2+1</v>
      </c>
      <c r="D72" s="728"/>
      <c r="E72" s="729"/>
      <c r="F72" s="665">
        <f>(ROUND(((F71^ROUNDUP((F68-F66)/30.5,1)-1)/2)+1,4))</f>
        <v>1.0129999999999999</v>
      </c>
      <c r="H72" s="715"/>
      <c r="I72" s="715"/>
      <c r="J72" s="715"/>
    </row>
  </sheetData>
  <mergeCells count="10">
    <mergeCell ref="A61:F61"/>
    <mergeCell ref="H72:J72"/>
    <mergeCell ref="A71:C71"/>
    <mergeCell ref="A72:B72"/>
    <mergeCell ref="C72:E72"/>
    <mergeCell ref="A66:E66"/>
    <mergeCell ref="A67:E67"/>
    <mergeCell ref="A68:E68"/>
    <mergeCell ref="A69:E69"/>
    <mergeCell ref="A70:E7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31"/>
  <sheetViews>
    <sheetView topLeftCell="A16" zoomScaleNormal="100" zoomScaleSheetLayoutView="100" workbookViewId="0">
      <selection activeCell="E25" sqref="E25"/>
    </sheetView>
  </sheetViews>
  <sheetFormatPr defaultColWidth="9.140625" defaultRowHeight="15.75" x14ac:dyDescent="0.25"/>
  <cols>
    <col min="1" max="1" width="30.28515625" style="33" customWidth="1"/>
    <col min="2" max="2" width="30.140625" style="33" customWidth="1"/>
    <col min="3" max="3" width="60.7109375" style="33" customWidth="1"/>
    <col min="4" max="16384" width="9.140625" style="33"/>
  </cols>
  <sheetData>
    <row r="1" spans="1:3" x14ac:dyDescent="0.25">
      <c r="A1" s="682" t="s">
        <v>142</v>
      </c>
      <c r="B1" s="682"/>
      <c r="C1" s="682"/>
    </row>
    <row r="2" spans="1:3" ht="29.25" customHeight="1" x14ac:dyDescent="0.25">
      <c r="A2" s="683" t="s">
        <v>230</v>
      </c>
      <c r="B2" s="683"/>
      <c r="C2" s="683"/>
    </row>
    <row r="3" spans="1:3" ht="18" customHeight="1" x14ac:dyDescent="0.25">
      <c r="A3" s="684" t="s">
        <v>2995</v>
      </c>
      <c r="B3" s="684"/>
      <c r="C3" s="684"/>
    </row>
    <row r="4" spans="1:3" ht="50.25" customHeight="1" x14ac:dyDescent="0.25">
      <c r="A4" s="684" t="s">
        <v>584</v>
      </c>
      <c r="B4" s="684"/>
      <c r="C4" s="684"/>
    </row>
    <row r="5" spans="1:3" s="137" customFormat="1" ht="120" customHeight="1" x14ac:dyDescent="0.25">
      <c r="A5" s="685" t="s">
        <v>231</v>
      </c>
      <c r="B5" s="685"/>
      <c r="C5" s="685"/>
    </row>
    <row r="6" spans="1:3" ht="23.25" customHeight="1" x14ac:dyDescent="0.25">
      <c r="A6" s="681" t="s">
        <v>166</v>
      </c>
      <c r="B6" s="681"/>
      <c r="C6" s="681"/>
    </row>
    <row r="7" spans="1:3" s="137" customFormat="1" ht="129.75" customHeight="1" x14ac:dyDescent="0.25">
      <c r="A7" s="686" t="s">
        <v>232</v>
      </c>
      <c r="B7" s="686"/>
      <c r="C7" s="686"/>
    </row>
    <row r="8" spans="1:3" s="137" customFormat="1" ht="22.5" customHeight="1" x14ac:dyDescent="0.25">
      <c r="A8" s="687" t="s">
        <v>2036</v>
      </c>
      <c r="B8" s="687"/>
      <c r="C8" s="687"/>
    </row>
    <row r="9" spans="1:3" s="137" customFormat="1" ht="41.25" customHeight="1" x14ac:dyDescent="0.25">
      <c r="A9" s="689" t="s">
        <v>233</v>
      </c>
      <c r="B9" s="689"/>
      <c r="C9" s="689"/>
    </row>
    <row r="10" spans="1:3" s="137" customFormat="1" ht="89.25" customHeight="1" x14ac:dyDescent="0.25">
      <c r="A10" s="685" t="s">
        <v>470</v>
      </c>
      <c r="B10" s="685"/>
      <c r="C10" s="685"/>
    </row>
    <row r="11" spans="1:3" s="137" customFormat="1" x14ac:dyDescent="0.25">
      <c r="A11" s="691" t="s">
        <v>2993</v>
      </c>
      <c r="B11" s="691"/>
      <c r="C11" s="691"/>
    </row>
    <row r="12" spans="1:3" s="137" customFormat="1" ht="25.5" customHeight="1" x14ac:dyDescent="0.25">
      <c r="A12" s="685" t="s">
        <v>2994</v>
      </c>
      <c r="B12" s="685"/>
      <c r="C12" s="685"/>
    </row>
    <row r="13" spans="1:3" ht="30.75" customHeight="1" x14ac:dyDescent="0.25">
      <c r="A13" s="690" t="s">
        <v>122</v>
      </c>
      <c r="B13" s="690"/>
      <c r="C13" s="690"/>
    </row>
    <row r="14" spans="1:3" s="137" customFormat="1" ht="138" customHeight="1" x14ac:dyDescent="0.25">
      <c r="A14" s="686" t="s">
        <v>2991</v>
      </c>
      <c r="B14" s="686"/>
      <c r="C14" s="686"/>
    </row>
    <row r="15" spans="1:3" s="137" customFormat="1" ht="45" customHeight="1" x14ac:dyDescent="0.25">
      <c r="A15" s="685" t="s">
        <v>234</v>
      </c>
      <c r="B15" s="685"/>
      <c r="C15" s="685"/>
    </row>
    <row r="16" spans="1:3" s="137" customFormat="1" ht="50.25" customHeight="1" x14ac:dyDescent="0.25">
      <c r="A16" s="689" t="s">
        <v>233</v>
      </c>
      <c r="B16" s="689"/>
      <c r="C16" s="689"/>
    </row>
    <row r="17" spans="1:5" s="137" customFormat="1" ht="89.25" customHeight="1" x14ac:dyDescent="0.25">
      <c r="A17" s="685" t="s">
        <v>470</v>
      </c>
      <c r="B17" s="685"/>
      <c r="C17" s="685"/>
    </row>
    <row r="18" spans="1:5" s="137" customFormat="1" x14ac:dyDescent="0.25">
      <c r="A18" s="691" t="s">
        <v>2993</v>
      </c>
      <c r="B18" s="691"/>
      <c r="C18" s="691"/>
    </row>
    <row r="19" spans="1:5" s="137" customFormat="1" ht="25.5" customHeight="1" x14ac:dyDescent="0.25">
      <c r="A19" s="685" t="s">
        <v>2994</v>
      </c>
      <c r="B19" s="685"/>
      <c r="C19" s="685"/>
    </row>
    <row r="20" spans="1:5" ht="33.75" customHeight="1" x14ac:dyDescent="0.25">
      <c r="A20" s="149" t="s">
        <v>2992</v>
      </c>
      <c r="B20" s="150"/>
      <c r="C20" s="151"/>
    </row>
    <row r="21" spans="1:5" x14ac:dyDescent="0.25">
      <c r="A21" s="692"/>
      <c r="B21" s="693"/>
      <c r="C21" s="693"/>
    </row>
    <row r="22" spans="1:5" ht="27.75" customHeight="1" x14ac:dyDescent="0.25">
      <c r="A22" s="135"/>
      <c r="B22" s="136">
        <f>НМЦ!E15</f>
        <v>45305521.770000003</v>
      </c>
      <c r="C22" s="129" t="s">
        <v>123</v>
      </c>
    </row>
    <row r="23" spans="1:5" ht="27.75" customHeight="1" x14ac:dyDescent="0.25">
      <c r="A23" s="135"/>
      <c r="B23" s="136"/>
      <c r="C23" s="129"/>
    </row>
    <row r="24" spans="1:5" x14ac:dyDescent="0.25">
      <c r="A24" s="131" t="s">
        <v>193</v>
      </c>
      <c r="B24" s="132"/>
      <c r="C24" s="133"/>
    </row>
    <row r="25" spans="1:5" ht="69" customHeight="1" x14ac:dyDescent="0.25">
      <c r="A25" s="688" t="s">
        <v>242</v>
      </c>
      <c r="B25" s="688"/>
      <c r="C25" s="146" t="s">
        <v>577</v>
      </c>
    </row>
    <row r="26" spans="1:5" x14ac:dyDescent="0.25">
      <c r="A26" s="147"/>
      <c r="B26" s="147"/>
      <c r="C26" s="145"/>
      <c r="E26" s="146"/>
    </row>
    <row r="27" spans="1:5" x14ac:dyDescent="0.25">
      <c r="A27" s="148" t="s">
        <v>147</v>
      </c>
      <c r="B27" s="132"/>
      <c r="C27" s="144"/>
      <c r="E27" s="133"/>
    </row>
    <row r="28" spans="1:5" ht="61.5" customHeight="1" x14ac:dyDescent="0.25">
      <c r="A28" s="688" t="s">
        <v>580</v>
      </c>
      <c r="B28" s="688"/>
      <c r="C28" s="146" t="s">
        <v>578</v>
      </c>
    </row>
    <row r="29" spans="1:5" x14ac:dyDescent="0.25">
      <c r="A29" s="147"/>
      <c r="B29" s="147"/>
      <c r="C29" s="145"/>
      <c r="E29" s="146"/>
    </row>
    <row r="30" spans="1:5" ht="14.25" customHeight="1" x14ac:dyDescent="0.25">
      <c r="A30" s="688" t="s">
        <v>194</v>
      </c>
      <c r="B30" s="688"/>
      <c r="C30" s="144"/>
      <c r="E30" s="146"/>
    </row>
    <row r="31" spans="1:5" ht="35.25" customHeight="1" x14ac:dyDescent="0.25">
      <c r="A31" s="688" t="s">
        <v>195</v>
      </c>
      <c r="B31" s="688"/>
      <c r="C31" s="146" t="s">
        <v>579</v>
      </c>
    </row>
  </sheetData>
  <mergeCells count="24">
    <mergeCell ref="A31:B31"/>
    <mergeCell ref="A21:C21"/>
    <mergeCell ref="A7:C7"/>
    <mergeCell ref="A8:C8"/>
    <mergeCell ref="A25:B25"/>
    <mergeCell ref="A28:B28"/>
    <mergeCell ref="A30:B30"/>
    <mergeCell ref="A9:C9"/>
    <mergeCell ref="A10:C10"/>
    <mergeCell ref="A14:C14"/>
    <mergeCell ref="A15:C15"/>
    <mergeCell ref="A16:C16"/>
    <mergeCell ref="A17:C17"/>
    <mergeCell ref="A13:C13"/>
    <mergeCell ref="A11:C11"/>
    <mergeCell ref="A18:C18"/>
    <mergeCell ref="A12:C12"/>
    <mergeCell ref="A19:C19"/>
    <mergeCell ref="A6:C6"/>
    <mergeCell ref="A1:C1"/>
    <mergeCell ref="A2:C2"/>
    <mergeCell ref="A3:C3"/>
    <mergeCell ref="A5:C5"/>
    <mergeCell ref="A4:C4"/>
  </mergeCells>
  <pageMargins left="0.70866141732283472" right="0.70866141732283472" top="0.74803149606299213" bottom="0.74803149606299213" header="0.31496062992125984" footer="0.31496062992125984"/>
  <pageSetup paperSize="9" scale="73" fitToHeight="0"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40"/>
  <sheetViews>
    <sheetView topLeftCell="A2" workbookViewId="0">
      <selection activeCell="G35" sqref="G35"/>
    </sheetView>
  </sheetViews>
  <sheetFormatPr defaultRowHeight="12.75" x14ac:dyDescent="0.2"/>
  <cols>
    <col min="1" max="1" width="38" style="643" customWidth="1"/>
    <col min="2" max="2" width="18.7109375" style="643" customWidth="1"/>
    <col min="3" max="3" width="8" style="643" customWidth="1"/>
    <col min="4" max="4" width="9.140625" style="643" customWidth="1"/>
    <col min="5" max="5" width="6.42578125" style="643" customWidth="1"/>
    <col min="6" max="10" width="8" style="643" customWidth="1"/>
    <col min="11" max="11" width="9.42578125" style="643" customWidth="1"/>
    <col min="12" max="12" width="8.28515625" style="643" customWidth="1"/>
    <col min="13" max="13" width="8" style="643" customWidth="1"/>
    <col min="14" max="14" width="8.5703125" style="643" customWidth="1"/>
    <col min="15" max="15" width="8" style="643" customWidth="1"/>
    <col min="16" max="16" width="9.140625" style="643" customWidth="1"/>
    <col min="17" max="22" width="8" style="643" customWidth="1"/>
    <col min="23" max="23" width="9.42578125" style="643" customWidth="1"/>
    <col min="24" max="24" width="8.28515625" style="643" customWidth="1"/>
    <col min="25" max="25" width="8" style="643" customWidth="1"/>
    <col min="26" max="26" width="8.5703125" style="643" customWidth="1"/>
    <col min="27" max="27" width="8" style="643" customWidth="1"/>
    <col min="28" max="28" width="9.140625" style="643" customWidth="1"/>
    <col min="29" max="34" width="8" style="643" customWidth="1"/>
    <col min="35" max="35" width="9.42578125" style="643" customWidth="1"/>
    <col min="36" max="36" width="8.28515625" style="643" customWidth="1"/>
    <col min="37" max="37" width="8" style="643" customWidth="1"/>
    <col min="38" max="38" width="8.5703125" style="643" customWidth="1"/>
    <col min="39" max="39" width="8" style="643" customWidth="1"/>
    <col min="40" max="40" width="9.140625" style="643" customWidth="1"/>
    <col min="41" max="46" width="8" style="643" customWidth="1"/>
    <col min="47" max="47" width="9.42578125" style="643" customWidth="1"/>
    <col min="48" max="48" width="8.28515625" style="643" customWidth="1"/>
    <col min="49" max="49" width="8" style="643" customWidth="1"/>
    <col min="50" max="50" width="8.5703125" style="643" customWidth="1"/>
    <col min="51" max="51" width="8" style="643" customWidth="1"/>
    <col min="52" max="52" width="9.140625" style="643" customWidth="1"/>
    <col min="53" max="58" width="8" style="643" customWidth="1"/>
    <col min="59" max="59" width="9.42578125" style="643" customWidth="1"/>
    <col min="60" max="60" width="8.28515625" style="643" customWidth="1"/>
    <col min="61" max="61" width="8" style="643" customWidth="1"/>
    <col min="62" max="62" width="8.5703125" style="643" customWidth="1"/>
    <col min="63" max="63" width="8" style="643" customWidth="1"/>
    <col min="64" max="64" width="9.140625" style="643" customWidth="1"/>
    <col min="65" max="70" width="8" style="643" customWidth="1"/>
    <col min="71" max="71" width="9.42578125" style="643" customWidth="1"/>
    <col min="72" max="72" width="8.28515625" style="643" customWidth="1"/>
    <col min="73" max="73" width="8" style="643" customWidth="1"/>
    <col min="74" max="74" width="8.5703125" style="643" customWidth="1"/>
    <col min="75" max="235" width="9.140625" style="643"/>
    <col min="236" max="236" width="38" style="643" customWidth="1"/>
    <col min="237" max="237" width="18.7109375" style="643" customWidth="1"/>
    <col min="238" max="238" width="8" style="643" customWidth="1"/>
    <col min="239" max="239" width="9.140625" style="643" customWidth="1"/>
    <col min="240" max="240" width="6.42578125" style="643" customWidth="1"/>
    <col min="241" max="245" width="8" style="643" customWidth="1"/>
    <col min="246" max="246" width="9.42578125" style="643" customWidth="1"/>
    <col min="247" max="247" width="8.28515625" style="643" customWidth="1"/>
    <col min="248" max="248" width="8" style="643" customWidth="1"/>
    <col min="249" max="249" width="8.5703125" style="643" customWidth="1"/>
    <col min="250" max="250" width="8" style="643" customWidth="1"/>
    <col min="251" max="251" width="9.140625" style="643" customWidth="1"/>
    <col min="252" max="257" width="8" style="643" customWidth="1"/>
    <col min="258" max="258" width="9.42578125" style="643" customWidth="1"/>
    <col min="259" max="259" width="8.28515625" style="643" customWidth="1"/>
    <col min="260" max="260" width="8" style="643" customWidth="1"/>
    <col min="261" max="261" width="8.5703125" style="643" customWidth="1"/>
    <col min="262" max="262" width="8" style="643" customWidth="1"/>
    <col min="263" max="263" width="9.140625" style="643" customWidth="1"/>
    <col min="264" max="269" width="8" style="643" customWidth="1"/>
    <col min="270" max="270" width="9.42578125" style="643" customWidth="1"/>
    <col min="271" max="271" width="8.28515625" style="643" customWidth="1"/>
    <col min="272" max="272" width="8" style="643" customWidth="1"/>
    <col min="273" max="273" width="8.5703125" style="643" customWidth="1"/>
    <col min="274" max="274" width="8" style="643" customWidth="1"/>
    <col min="275" max="275" width="9.140625" style="643" customWidth="1"/>
    <col min="276" max="281" width="8" style="643" customWidth="1"/>
    <col min="282" max="282" width="9.42578125" style="643" customWidth="1"/>
    <col min="283" max="283" width="8.28515625" style="643" customWidth="1"/>
    <col min="284" max="284" width="8" style="643" customWidth="1"/>
    <col min="285" max="285" width="8.5703125" style="643" customWidth="1"/>
    <col min="286" max="286" width="8" style="643" customWidth="1"/>
    <col min="287" max="287" width="9.140625" style="643" customWidth="1"/>
    <col min="288" max="293" width="8" style="643" customWidth="1"/>
    <col min="294" max="294" width="9.42578125" style="643" customWidth="1"/>
    <col min="295" max="295" width="8.28515625" style="643" customWidth="1"/>
    <col min="296" max="296" width="8" style="643" customWidth="1"/>
    <col min="297" max="297" width="8.5703125" style="643" customWidth="1"/>
    <col min="298" max="298" width="8" style="643" customWidth="1"/>
    <col min="299" max="299" width="9.140625" style="643" customWidth="1"/>
    <col min="300" max="305" width="8" style="643" customWidth="1"/>
    <col min="306" max="306" width="9.42578125" style="643" customWidth="1"/>
    <col min="307" max="307" width="8.28515625" style="643" customWidth="1"/>
    <col min="308" max="308" width="8" style="643" customWidth="1"/>
    <col min="309" max="309" width="8.5703125" style="643" customWidth="1"/>
    <col min="310" max="310" width="8" style="643" customWidth="1"/>
    <col min="311" max="311" width="9.140625" style="643" customWidth="1"/>
    <col min="312" max="314" width="8" style="643" customWidth="1"/>
    <col min="315" max="491" width="9.140625" style="643"/>
    <col min="492" max="492" width="38" style="643" customWidth="1"/>
    <col min="493" max="493" width="18.7109375" style="643" customWidth="1"/>
    <col min="494" max="494" width="8" style="643" customWidth="1"/>
    <col min="495" max="495" width="9.140625" style="643" customWidth="1"/>
    <col min="496" max="496" width="6.42578125" style="643" customWidth="1"/>
    <col min="497" max="501" width="8" style="643" customWidth="1"/>
    <col min="502" max="502" width="9.42578125" style="643" customWidth="1"/>
    <col min="503" max="503" width="8.28515625" style="643" customWidth="1"/>
    <col min="504" max="504" width="8" style="643" customWidth="1"/>
    <col min="505" max="505" width="8.5703125" style="643" customWidth="1"/>
    <col min="506" max="506" width="8" style="643" customWidth="1"/>
    <col min="507" max="507" width="9.140625" style="643" customWidth="1"/>
    <col min="508" max="513" width="8" style="643" customWidth="1"/>
    <col min="514" max="514" width="9.42578125" style="643" customWidth="1"/>
    <col min="515" max="515" width="8.28515625" style="643" customWidth="1"/>
    <col min="516" max="516" width="8" style="643" customWidth="1"/>
    <col min="517" max="517" width="8.5703125" style="643" customWidth="1"/>
    <col min="518" max="518" width="8" style="643" customWidth="1"/>
    <col min="519" max="519" width="9.140625" style="643" customWidth="1"/>
    <col min="520" max="525" width="8" style="643" customWidth="1"/>
    <col min="526" max="526" width="9.42578125" style="643" customWidth="1"/>
    <col min="527" max="527" width="8.28515625" style="643" customWidth="1"/>
    <col min="528" max="528" width="8" style="643" customWidth="1"/>
    <col min="529" max="529" width="8.5703125" style="643" customWidth="1"/>
    <col min="530" max="530" width="8" style="643" customWidth="1"/>
    <col min="531" max="531" width="9.140625" style="643" customWidth="1"/>
    <col min="532" max="537" width="8" style="643" customWidth="1"/>
    <col min="538" max="538" width="9.42578125" style="643" customWidth="1"/>
    <col min="539" max="539" width="8.28515625" style="643" customWidth="1"/>
    <col min="540" max="540" width="8" style="643" customWidth="1"/>
    <col min="541" max="541" width="8.5703125" style="643" customWidth="1"/>
    <col min="542" max="542" width="8" style="643" customWidth="1"/>
    <col min="543" max="543" width="9.140625" style="643" customWidth="1"/>
    <col min="544" max="549" width="8" style="643" customWidth="1"/>
    <col min="550" max="550" width="9.42578125" style="643" customWidth="1"/>
    <col min="551" max="551" width="8.28515625" style="643" customWidth="1"/>
    <col min="552" max="552" width="8" style="643" customWidth="1"/>
    <col min="553" max="553" width="8.5703125" style="643" customWidth="1"/>
    <col min="554" max="554" width="8" style="643" customWidth="1"/>
    <col min="555" max="555" width="9.140625" style="643" customWidth="1"/>
    <col min="556" max="561" width="8" style="643" customWidth="1"/>
    <col min="562" max="562" width="9.42578125" style="643" customWidth="1"/>
    <col min="563" max="563" width="8.28515625" style="643" customWidth="1"/>
    <col min="564" max="564" width="8" style="643" customWidth="1"/>
    <col min="565" max="565" width="8.5703125" style="643" customWidth="1"/>
    <col min="566" max="566" width="8" style="643" customWidth="1"/>
    <col min="567" max="567" width="9.140625" style="643" customWidth="1"/>
    <col min="568" max="570" width="8" style="643" customWidth="1"/>
    <col min="571" max="747" width="9.140625" style="643"/>
    <col min="748" max="748" width="38" style="643" customWidth="1"/>
    <col min="749" max="749" width="18.7109375" style="643" customWidth="1"/>
    <col min="750" max="750" width="8" style="643" customWidth="1"/>
    <col min="751" max="751" width="9.140625" style="643" customWidth="1"/>
    <col min="752" max="752" width="6.42578125" style="643" customWidth="1"/>
    <col min="753" max="757" width="8" style="643" customWidth="1"/>
    <col min="758" max="758" width="9.42578125" style="643" customWidth="1"/>
    <col min="759" max="759" width="8.28515625" style="643" customWidth="1"/>
    <col min="760" max="760" width="8" style="643" customWidth="1"/>
    <col min="761" max="761" width="8.5703125" style="643" customWidth="1"/>
    <col min="762" max="762" width="8" style="643" customWidth="1"/>
    <col min="763" max="763" width="9.140625" style="643" customWidth="1"/>
    <col min="764" max="769" width="8" style="643" customWidth="1"/>
    <col min="770" max="770" width="9.42578125" style="643" customWidth="1"/>
    <col min="771" max="771" width="8.28515625" style="643" customWidth="1"/>
    <col min="772" max="772" width="8" style="643" customWidth="1"/>
    <col min="773" max="773" width="8.5703125" style="643" customWidth="1"/>
    <col min="774" max="774" width="8" style="643" customWidth="1"/>
    <col min="775" max="775" width="9.140625" style="643" customWidth="1"/>
    <col min="776" max="781" width="8" style="643" customWidth="1"/>
    <col min="782" max="782" width="9.42578125" style="643" customWidth="1"/>
    <col min="783" max="783" width="8.28515625" style="643" customWidth="1"/>
    <col min="784" max="784" width="8" style="643" customWidth="1"/>
    <col min="785" max="785" width="8.5703125" style="643" customWidth="1"/>
    <col min="786" max="786" width="8" style="643" customWidth="1"/>
    <col min="787" max="787" width="9.140625" style="643" customWidth="1"/>
    <col min="788" max="793" width="8" style="643" customWidth="1"/>
    <col min="794" max="794" width="9.42578125" style="643" customWidth="1"/>
    <col min="795" max="795" width="8.28515625" style="643" customWidth="1"/>
    <col min="796" max="796" width="8" style="643" customWidth="1"/>
    <col min="797" max="797" width="8.5703125" style="643" customWidth="1"/>
    <col min="798" max="798" width="8" style="643" customWidth="1"/>
    <col min="799" max="799" width="9.140625" style="643" customWidth="1"/>
    <col min="800" max="805" width="8" style="643" customWidth="1"/>
    <col min="806" max="806" width="9.42578125" style="643" customWidth="1"/>
    <col min="807" max="807" width="8.28515625" style="643" customWidth="1"/>
    <col min="808" max="808" width="8" style="643" customWidth="1"/>
    <col min="809" max="809" width="8.5703125" style="643" customWidth="1"/>
    <col min="810" max="810" width="8" style="643" customWidth="1"/>
    <col min="811" max="811" width="9.140625" style="643" customWidth="1"/>
    <col min="812" max="817" width="8" style="643" customWidth="1"/>
    <col min="818" max="818" width="9.42578125" style="643" customWidth="1"/>
    <col min="819" max="819" width="8.28515625" style="643" customWidth="1"/>
    <col min="820" max="820" width="8" style="643" customWidth="1"/>
    <col min="821" max="821" width="8.5703125" style="643" customWidth="1"/>
    <col min="822" max="822" width="8" style="643" customWidth="1"/>
    <col min="823" max="823" width="9.140625" style="643" customWidth="1"/>
    <col min="824" max="826" width="8" style="643" customWidth="1"/>
    <col min="827" max="1003" width="9.140625" style="643"/>
    <col min="1004" max="1004" width="38" style="643" customWidth="1"/>
    <col min="1005" max="1005" width="18.7109375" style="643" customWidth="1"/>
    <col min="1006" max="1006" width="8" style="643" customWidth="1"/>
    <col min="1007" max="1007" width="9.140625" style="643" customWidth="1"/>
    <col min="1008" max="1008" width="6.42578125" style="643" customWidth="1"/>
    <col min="1009" max="1013" width="8" style="643" customWidth="1"/>
    <col min="1014" max="1014" width="9.42578125" style="643" customWidth="1"/>
    <col min="1015" max="1015" width="8.28515625" style="643" customWidth="1"/>
    <col min="1016" max="1016" width="8" style="643" customWidth="1"/>
    <col min="1017" max="1017" width="8.5703125" style="643" customWidth="1"/>
    <col min="1018" max="1018" width="8" style="643" customWidth="1"/>
    <col min="1019" max="1019" width="9.140625" style="643" customWidth="1"/>
    <col min="1020" max="1025" width="8" style="643" customWidth="1"/>
    <col min="1026" max="1026" width="9.42578125" style="643" customWidth="1"/>
    <col min="1027" max="1027" width="8.28515625" style="643" customWidth="1"/>
    <col min="1028" max="1028" width="8" style="643" customWidth="1"/>
    <col min="1029" max="1029" width="8.5703125" style="643" customWidth="1"/>
    <col min="1030" max="1030" width="8" style="643" customWidth="1"/>
    <col min="1031" max="1031" width="9.140625" style="643" customWidth="1"/>
    <col min="1032" max="1037" width="8" style="643" customWidth="1"/>
    <col min="1038" max="1038" width="9.42578125" style="643" customWidth="1"/>
    <col min="1039" max="1039" width="8.28515625" style="643" customWidth="1"/>
    <col min="1040" max="1040" width="8" style="643" customWidth="1"/>
    <col min="1041" max="1041" width="8.5703125" style="643" customWidth="1"/>
    <col min="1042" max="1042" width="8" style="643" customWidth="1"/>
    <col min="1043" max="1043" width="9.140625" style="643" customWidth="1"/>
    <col min="1044" max="1049" width="8" style="643" customWidth="1"/>
    <col min="1050" max="1050" width="9.42578125" style="643" customWidth="1"/>
    <col min="1051" max="1051" width="8.28515625" style="643" customWidth="1"/>
    <col min="1052" max="1052" width="8" style="643" customWidth="1"/>
    <col min="1053" max="1053" width="8.5703125" style="643" customWidth="1"/>
    <col min="1054" max="1054" width="8" style="643" customWidth="1"/>
    <col min="1055" max="1055" width="9.140625" style="643" customWidth="1"/>
    <col min="1056" max="1061" width="8" style="643" customWidth="1"/>
    <col min="1062" max="1062" width="9.42578125" style="643" customWidth="1"/>
    <col min="1063" max="1063" width="8.28515625" style="643" customWidth="1"/>
    <col min="1064" max="1064" width="8" style="643" customWidth="1"/>
    <col min="1065" max="1065" width="8.5703125" style="643" customWidth="1"/>
    <col min="1066" max="1066" width="8" style="643" customWidth="1"/>
    <col min="1067" max="1067" width="9.140625" style="643" customWidth="1"/>
    <col min="1068" max="1073" width="8" style="643" customWidth="1"/>
    <col min="1074" max="1074" width="9.42578125" style="643" customWidth="1"/>
    <col min="1075" max="1075" width="8.28515625" style="643" customWidth="1"/>
    <col min="1076" max="1076" width="8" style="643" customWidth="1"/>
    <col min="1077" max="1077" width="8.5703125" style="643" customWidth="1"/>
    <col min="1078" max="1078" width="8" style="643" customWidth="1"/>
    <col min="1079" max="1079" width="9.140625" style="643" customWidth="1"/>
    <col min="1080" max="1082" width="8" style="643" customWidth="1"/>
    <col min="1083" max="1259" width="9.140625" style="643"/>
    <col min="1260" max="1260" width="38" style="643" customWidth="1"/>
    <col min="1261" max="1261" width="18.7109375" style="643" customWidth="1"/>
    <col min="1262" max="1262" width="8" style="643" customWidth="1"/>
    <col min="1263" max="1263" width="9.140625" style="643" customWidth="1"/>
    <col min="1264" max="1264" width="6.42578125" style="643" customWidth="1"/>
    <col min="1265" max="1269" width="8" style="643" customWidth="1"/>
    <col min="1270" max="1270" width="9.42578125" style="643" customWidth="1"/>
    <col min="1271" max="1271" width="8.28515625" style="643" customWidth="1"/>
    <col min="1272" max="1272" width="8" style="643" customWidth="1"/>
    <col min="1273" max="1273" width="8.5703125" style="643" customWidth="1"/>
    <col min="1274" max="1274" width="8" style="643" customWidth="1"/>
    <col min="1275" max="1275" width="9.140625" style="643" customWidth="1"/>
    <col min="1276" max="1281" width="8" style="643" customWidth="1"/>
    <col min="1282" max="1282" width="9.42578125" style="643" customWidth="1"/>
    <col min="1283" max="1283" width="8.28515625" style="643" customWidth="1"/>
    <col min="1284" max="1284" width="8" style="643" customWidth="1"/>
    <col min="1285" max="1285" width="8.5703125" style="643" customWidth="1"/>
    <col min="1286" max="1286" width="8" style="643" customWidth="1"/>
    <col min="1287" max="1287" width="9.140625" style="643" customWidth="1"/>
    <col min="1288" max="1293" width="8" style="643" customWidth="1"/>
    <col min="1294" max="1294" width="9.42578125" style="643" customWidth="1"/>
    <col min="1295" max="1295" width="8.28515625" style="643" customWidth="1"/>
    <col min="1296" max="1296" width="8" style="643" customWidth="1"/>
    <col min="1297" max="1297" width="8.5703125" style="643" customWidth="1"/>
    <col min="1298" max="1298" width="8" style="643" customWidth="1"/>
    <col min="1299" max="1299" width="9.140625" style="643" customWidth="1"/>
    <col min="1300" max="1305" width="8" style="643" customWidth="1"/>
    <col min="1306" max="1306" width="9.42578125" style="643" customWidth="1"/>
    <col min="1307" max="1307" width="8.28515625" style="643" customWidth="1"/>
    <col min="1308" max="1308" width="8" style="643" customWidth="1"/>
    <col min="1309" max="1309" width="8.5703125" style="643" customWidth="1"/>
    <col min="1310" max="1310" width="8" style="643" customWidth="1"/>
    <col min="1311" max="1311" width="9.140625" style="643" customWidth="1"/>
    <col min="1312" max="1317" width="8" style="643" customWidth="1"/>
    <col min="1318" max="1318" width="9.42578125" style="643" customWidth="1"/>
    <col min="1319" max="1319" width="8.28515625" style="643" customWidth="1"/>
    <col min="1320" max="1320" width="8" style="643" customWidth="1"/>
    <col min="1321" max="1321" width="8.5703125" style="643" customWidth="1"/>
    <col min="1322" max="1322" width="8" style="643" customWidth="1"/>
    <col min="1323" max="1323" width="9.140625" style="643" customWidth="1"/>
    <col min="1324" max="1329" width="8" style="643" customWidth="1"/>
    <col min="1330" max="1330" width="9.42578125" style="643" customWidth="1"/>
    <col min="1331" max="1331" width="8.28515625" style="643" customWidth="1"/>
    <col min="1332" max="1332" width="8" style="643" customWidth="1"/>
    <col min="1333" max="1333" width="8.5703125" style="643" customWidth="1"/>
    <col min="1334" max="1334" width="8" style="643" customWidth="1"/>
    <col min="1335" max="1335" width="9.140625" style="643" customWidth="1"/>
    <col min="1336" max="1338" width="8" style="643" customWidth="1"/>
    <col min="1339" max="1515" width="9.140625" style="643"/>
    <col min="1516" max="1516" width="38" style="643" customWidth="1"/>
    <col min="1517" max="1517" width="18.7109375" style="643" customWidth="1"/>
    <col min="1518" max="1518" width="8" style="643" customWidth="1"/>
    <col min="1519" max="1519" width="9.140625" style="643" customWidth="1"/>
    <col min="1520" max="1520" width="6.42578125" style="643" customWidth="1"/>
    <col min="1521" max="1525" width="8" style="643" customWidth="1"/>
    <col min="1526" max="1526" width="9.42578125" style="643" customWidth="1"/>
    <col min="1527" max="1527" width="8.28515625" style="643" customWidth="1"/>
    <col min="1528" max="1528" width="8" style="643" customWidth="1"/>
    <col min="1529" max="1529" width="8.5703125" style="643" customWidth="1"/>
    <col min="1530" max="1530" width="8" style="643" customWidth="1"/>
    <col min="1531" max="1531" width="9.140625" style="643" customWidth="1"/>
    <col min="1532" max="1537" width="8" style="643" customWidth="1"/>
    <col min="1538" max="1538" width="9.42578125" style="643" customWidth="1"/>
    <col min="1539" max="1539" width="8.28515625" style="643" customWidth="1"/>
    <col min="1540" max="1540" width="8" style="643" customWidth="1"/>
    <col min="1541" max="1541" width="8.5703125" style="643" customWidth="1"/>
    <col min="1542" max="1542" width="8" style="643" customWidth="1"/>
    <col min="1543" max="1543" width="9.140625" style="643" customWidth="1"/>
    <col min="1544" max="1549" width="8" style="643" customWidth="1"/>
    <col min="1550" max="1550" width="9.42578125" style="643" customWidth="1"/>
    <col min="1551" max="1551" width="8.28515625" style="643" customWidth="1"/>
    <col min="1552" max="1552" width="8" style="643" customWidth="1"/>
    <col min="1553" max="1553" width="8.5703125" style="643" customWidth="1"/>
    <col min="1554" max="1554" width="8" style="643" customWidth="1"/>
    <col min="1555" max="1555" width="9.140625" style="643" customWidth="1"/>
    <col min="1556" max="1561" width="8" style="643" customWidth="1"/>
    <col min="1562" max="1562" width="9.42578125" style="643" customWidth="1"/>
    <col min="1563" max="1563" width="8.28515625" style="643" customWidth="1"/>
    <col min="1564" max="1564" width="8" style="643" customWidth="1"/>
    <col min="1565" max="1565" width="8.5703125" style="643" customWidth="1"/>
    <col min="1566" max="1566" width="8" style="643" customWidth="1"/>
    <col min="1567" max="1567" width="9.140625" style="643" customWidth="1"/>
    <col min="1568" max="1573" width="8" style="643" customWidth="1"/>
    <col min="1574" max="1574" width="9.42578125" style="643" customWidth="1"/>
    <col min="1575" max="1575" width="8.28515625" style="643" customWidth="1"/>
    <col min="1576" max="1576" width="8" style="643" customWidth="1"/>
    <col min="1577" max="1577" width="8.5703125" style="643" customWidth="1"/>
    <col min="1578" max="1578" width="8" style="643" customWidth="1"/>
    <col min="1579" max="1579" width="9.140625" style="643" customWidth="1"/>
    <col min="1580" max="1585" width="8" style="643" customWidth="1"/>
    <col min="1586" max="1586" width="9.42578125" style="643" customWidth="1"/>
    <col min="1587" max="1587" width="8.28515625" style="643" customWidth="1"/>
    <col min="1588" max="1588" width="8" style="643" customWidth="1"/>
    <col min="1589" max="1589" width="8.5703125" style="643" customWidth="1"/>
    <col min="1590" max="1590" width="8" style="643" customWidth="1"/>
    <col min="1591" max="1591" width="9.140625" style="643" customWidth="1"/>
    <col min="1592" max="1594" width="8" style="643" customWidth="1"/>
    <col min="1595" max="1771" width="9.140625" style="643"/>
    <col min="1772" max="1772" width="38" style="643" customWidth="1"/>
    <col min="1773" max="1773" width="18.7109375" style="643" customWidth="1"/>
    <col min="1774" max="1774" width="8" style="643" customWidth="1"/>
    <col min="1775" max="1775" width="9.140625" style="643" customWidth="1"/>
    <col min="1776" max="1776" width="6.42578125" style="643" customWidth="1"/>
    <col min="1777" max="1781" width="8" style="643" customWidth="1"/>
    <col min="1782" max="1782" width="9.42578125" style="643" customWidth="1"/>
    <col min="1783" max="1783" width="8.28515625" style="643" customWidth="1"/>
    <col min="1784" max="1784" width="8" style="643" customWidth="1"/>
    <col min="1785" max="1785" width="8.5703125" style="643" customWidth="1"/>
    <col min="1786" max="1786" width="8" style="643" customWidth="1"/>
    <col min="1787" max="1787" width="9.140625" style="643" customWidth="1"/>
    <col min="1788" max="1793" width="8" style="643" customWidth="1"/>
    <col min="1794" max="1794" width="9.42578125" style="643" customWidth="1"/>
    <col min="1795" max="1795" width="8.28515625" style="643" customWidth="1"/>
    <col min="1796" max="1796" width="8" style="643" customWidth="1"/>
    <col min="1797" max="1797" width="8.5703125" style="643" customWidth="1"/>
    <col min="1798" max="1798" width="8" style="643" customWidth="1"/>
    <col min="1799" max="1799" width="9.140625" style="643" customWidth="1"/>
    <col min="1800" max="1805" width="8" style="643" customWidth="1"/>
    <col min="1806" max="1806" width="9.42578125" style="643" customWidth="1"/>
    <col min="1807" max="1807" width="8.28515625" style="643" customWidth="1"/>
    <col min="1808" max="1808" width="8" style="643" customWidth="1"/>
    <col min="1809" max="1809" width="8.5703125" style="643" customWidth="1"/>
    <col min="1810" max="1810" width="8" style="643" customWidth="1"/>
    <col min="1811" max="1811" width="9.140625" style="643" customWidth="1"/>
    <col min="1812" max="1817" width="8" style="643" customWidth="1"/>
    <col min="1818" max="1818" width="9.42578125" style="643" customWidth="1"/>
    <col min="1819" max="1819" width="8.28515625" style="643" customWidth="1"/>
    <col min="1820" max="1820" width="8" style="643" customWidth="1"/>
    <col min="1821" max="1821" width="8.5703125" style="643" customWidth="1"/>
    <col min="1822" max="1822" width="8" style="643" customWidth="1"/>
    <col min="1823" max="1823" width="9.140625" style="643" customWidth="1"/>
    <col min="1824" max="1829" width="8" style="643" customWidth="1"/>
    <col min="1830" max="1830" width="9.42578125" style="643" customWidth="1"/>
    <col min="1831" max="1831" width="8.28515625" style="643" customWidth="1"/>
    <col min="1832" max="1832" width="8" style="643" customWidth="1"/>
    <col min="1833" max="1833" width="8.5703125" style="643" customWidth="1"/>
    <col min="1834" max="1834" width="8" style="643" customWidth="1"/>
    <col min="1835" max="1835" width="9.140625" style="643" customWidth="1"/>
    <col min="1836" max="1841" width="8" style="643" customWidth="1"/>
    <col min="1842" max="1842" width="9.42578125" style="643" customWidth="1"/>
    <col min="1843" max="1843" width="8.28515625" style="643" customWidth="1"/>
    <col min="1844" max="1844" width="8" style="643" customWidth="1"/>
    <col min="1845" max="1845" width="8.5703125" style="643" customWidth="1"/>
    <col min="1846" max="1846" width="8" style="643" customWidth="1"/>
    <col min="1847" max="1847" width="9.140625" style="643" customWidth="1"/>
    <col min="1848" max="1850" width="8" style="643" customWidth="1"/>
    <col min="1851" max="2027" width="9.140625" style="643"/>
    <col min="2028" max="2028" width="38" style="643" customWidth="1"/>
    <col min="2029" max="2029" width="18.7109375" style="643" customWidth="1"/>
    <col min="2030" max="2030" width="8" style="643" customWidth="1"/>
    <col min="2031" max="2031" width="9.140625" style="643" customWidth="1"/>
    <col min="2032" max="2032" width="6.42578125" style="643" customWidth="1"/>
    <col min="2033" max="2037" width="8" style="643" customWidth="1"/>
    <col min="2038" max="2038" width="9.42578125" style="643" customWidth="1"/>
    <col min="2039" max="2039" width="8.28515625" style="643" customWidth="1"/>
    <col min="2040" max="2040" width="8" style="643" customWidth="1"/>
    <col min="2041" max="2041" width="8.5703125" style="643" customWidth="1"/>
    <col min="2042" max="2042" width="8" style="643" customWidth="1"/>
    <col min="2043" max="2043" width="9.140625" style="643" customWidth="1"/>
    <col min="2044" max="2049" width="8" style="643" customWidth="1"/>
    <col min="2050" max="2050" width="9.42578125" style="643" customWidth="1"/>
    <col min="2051" max="2051" width="8.28515625" style="643" customWidth="1"/>
    <col min="2052" max="2052" width="8" style="643" customWidth="1"/>
    <col min="2053" max="2053" width="8.5703125" style="643" customWidth="1"/>
    <col min="2054" max="2054" width="8" style="643" customWidth="1"/>
    <col min="2055" max="2055" width="9.140625" style="643" customWidth="1"/>
    <col min="2056" max="2061" width="8" style="643" customWidth="1"/>
    <col min="2062" max="2062" width="9.42578125" style="643" customWidth="1"/>
    <col min="2063" max="2063" width="8.28515625" style="643" customWidth="1"/>
    <col min="2064" max="2064" width="8" style="643" customWidth="1"/>
    <col min="2065" max="2065" width="8.5703125" style="643" customWidth="1"/>
    <col min="2066" max="2066" width="8" style="643" customWidth="1"/>
    <col min="2067" max="2067" width="9.140625" style="643" customWidth="1"/>
    <col min="2068" max="2073" width="8" style="643" customWidth="1"/>
    <col min="2074" max="2074" width="9.42578125" style="643" customWidth="1"/>
    <col min="2075" max="2075" width="8.28515625" style="643" customWidth="1"/>
    <col min="2076" max="2076" width="8" style="643" customWidth="1"/>
    <col min="2077" max="2077" width="8.5703125" style="643" customWidth="1"/>
    <col min="2078" max="2078" width="8" style="643" customWidth="1"/>
    <col min="2079" max="2079" width="9.140625" style="643" customWidth="1"/>
    <col min="2080" max="2085" width="8" style="643" customWidth="1"/>
    <col min="2086" max="2086" width="9.42578125" style="643" customWidth="1"/>
    <col min="2087" max="2087" width="8.28515625" style="643" customWidth="1"/>
    <col min="2088" max="2088" width="8" style="643" customWidth="1"/>
    <col min="2089" max="2089" width="8.5703125" style="643" customWidth="1"/>
    <col min="2090" max="2090" width="8" style="643" customWidth="1"/>
    <col min="2091" max="2091" width="9.140625" style="643" customWidth="1"/>
    <col min="2092" max="2097" width="8" style="643" customWidth="1"/>
    <col min="2098" max="2098" width="9.42578125" style="643" customWidth="1"/>
    <col min="2099" max="2099" width="8.28515625" style="643" customWidth="1"/>
    <col min="2100" max="2100" width="8" style="643" customWidth="1"/>
    <col min="2101" max="2101" width="8.5703125" style="643" customWidth="1"/>
    <col min="2102" max="2102" width="8" style="643" customWidth="1"/>
    <col min="2103" max="2103" width="9.140625" style="643" customWidth="1"/>
    <col min="2104" max="2106" width="8" style="643" customWidth="1"/>
    <col min="2107" max="2283" width="9.140625" style="643"/>
    <col min="2284" max="2284" width="38" style="643" customWidth="1"/>
    <col min="2285" max="2285" width="18.7109375" style="643" customWidth="1"/>
    <col min="2286" max="2286" width="8" style="643" customWidth="1"/>
    <col min="2287" max="2287" width="9.140625" style="643" customWidth="1"/>
    <col min="2288" max="2288" width="6.42578125" style="643" customWidth="1"/>
    <col min="2289" max="2293" width="8" style="643" customWidth="1"/>
    <col min="2294" max="2294" width="9.42578125" style="643" customWidth="1"/>
    <col min="2295" max="2295" width="8.28515625" style="643" customWidth="1"/>
    <col min="2296" max="2296" width="8" style="643" customWidth="1"/>
    <col min="2297" max="2297" width="8.5703125" style="643" customWidth="1"/>
    <col min="2298" max="2298" width="8" style="643" customWidth="1"/>
    <col min="2299" max="2299" width="9.140625" style="643" customWidth="1"/>
    <col min="2300" max="2305" width="8" style="643" customWidth="1"/>
    <col min="2306" max="2306" width="9.42578125" style="643" customWidth="1"/>
    <col min="2307" max="2307" width="8.28515625" style="643" customWidth="1"/>
    <col min="2308" max="2308" width="8" style="643" customWidth="1"/>
    <col min="2309" max="2309" width="8.5703125" style="643" customWidth="1"/>
    <col min="2310" max="2310" width="8" style="643" customWidth="1"/>
    <col min="2311" max="2311" width="9.140625" style="643" customWidth="1"/>
    <col min="2312" max="2317" width="8" style="643" customWidth="1"/>
    <col min="2318" max="2318" width="9.42578125" style="643" customWidth="1"/>
    <col min="2319" max="2319" width="8.28515625" style="643" customWidth="1"/>
    <col min="2320" max="2320" width="8" style="643" customWidth="1"/>
    <col min="2321" max="2321" width="8.5703125" style="643" customWidth="1"/>
    <col min="2322" max="2322" width="8" style="643" customWidth="1"/>
    <col min="2323" max="2323" width="9.140625" style="643" customWidth="1"/>
    <col min="2324" max="2329" width="8" style="643" customWidth="1"/>
    <col min="2330" max="2330" width="9.42578125" style="643" customWidth="1"/>
    <col min="2331" max="2331" width="8.28515625" style="643" customWidth="1"/>
    <col min="2332" max="2332" width="8" style="643" customWidth="1"/>
    <col min="2333" max="2333" width="8.5703125" style="643" customWidth="1"/>
    <col min="2334" max="2334" width="8" style="643" customWidth="1"/>
    <col min="2335" max="2335" width="9.140625" style="643" customWidth="1"/>
    <col min="2336" max="2341" width="8" style="643" customWidth="1"/>
    <col min="2342" max="2342" width="9.42578125" style="643" customWidth="1"/>
    <col min="2343" max="2343" width="8.28515625" style="643" customWidth="1"/>
    <col min="2344" max="2344" width="8" style="643" customWidth="1"/>
    <col min="2345" max="2345" width="8.5703125" style="643" customWidth="1"/>
    <col min="2346" max="2346" width="8" style="643" customWidth="1"/>
    <col min="2347" max="2347" width="9.140625" style="643" customWidth="1"/>
    <col min="2348" max="2353" width="8" style="643" customWidth="1"/>
    <col min="2354" max="2354" width="9.42578125" style="643" customWidth="1"/>
    <col min="2355" max="2355" width="8.28515625" style="643" customWidth="1"/>
    <col min="2356" max="2356" width="8" style="643" customWidth="1"/>
    <col min="2357" max="2357" width="8.5703125" style="643" customWidth="1"/>
    <col min="2358" max="2358" width="8" style="643" customWidth="1"/>
    <col min="2359" max="2359" width="9.140625" style="643" customWidth="1"/>
    <col min="2360" max="2362" width="8" style="643" customWidth="1"/>
    <col min="2363" max="2539" width="9.140625" style="643"/>
    <col min="2540" max="2540" width="38" style="643" customWidth="1"/>
    <col min="2541" max="2541" width="18.7109375" style="643" customWidth="1"/>
    <col min="2542" max="2542" width="8" style="643" customWidth="1"/>
    <col min="2543" max="2543" width="9.140625" style="643" customWidth="1"/>
    <col min="2544" max="2544" width="6.42578125" style="643" customWidth="1"/>
    <col min="2545" max="2549" width="8" style="643" customWidth="1"/>
    <col min="2550" max="2550" width="9.42578125" style="643" customWidth="1"/>
    <col min="2551" max="2551" width="8.28515625" style="643" customWidth="1"/>
    <col min="2552" max="2552" width="8" style="643" customWidth="1"/>
    <col min="2553" max="2553" width="8.5703125" style="643" customWidth="1"/>
    <col min="2554" max="2554" width="8" style="643" customWidth="1"/>
    <col min="2555" max="2555" width="9.140625" style="643" customWidth="1"/>
    <col min="2556" max="2561" width="8" style="643" customWidth="1"/>
    <col min="2562" max="2562" width="9.42578125" style="643" customWidth="1"/>
    <col min="2563" max="2563" width="8.28515625" style="643" customWidth="1"/>
    <col min="2564" max="2564" width="8" style="643" customWidth="1"/>
    <col min="2565" max="2565" width="8.5703125" style="643" customWidth="1"/>
    <col min="2566" max="2566" width="8" style="643" customWidth="1"/>
    <col min="2567" max="2567" width="9.140625" style="643" customWidth="1"/>
    <col min="2568" max="2573" width="8" style="643" customWidth="1"/>
    <col min="2574" max="2574" width="9.42578125" style="643" customWidth="1"/>
    <col min="2575" max="2575" width="8.28515625" style="643" customWidth="1"/>
    <col min="2576" max="2576" width="8" style="643" customWidth="1"/>
    <col min="2577" max="2577" width="8.5703125" style="643" customWidth="1"/>
    <col min="2578" max="2578" width="8" style="643" customWidth="1"/>
    <col min="2579" max="2579" width="9.140625" style="643" customWidth="1"/>
    <col min="2580" max="2585" width="8" style="643" customWidth="1"/>
    <col min="2586" max="2586" width="9.42578125" style="643" customWidth="1"/>
    <col min="2587" max="2587" width="8.28515625" style="643" customWidth="1"/>
    <col min="2588" max="2588" width="8" style="643" customWidth="1"/>
    <col min="2589" max="2589" width="8.5703125" style="643" customWidth="1"/>
    <col min="2590" max="2590" width="8" style="643" customWidth="1"/>
    <col min="2591" max="2591" width="9.140625" style="643" customWidth="1"/>
    <col min="2592" max="2597" width="8" style="643" customWidth="1"/>
    <col min="2598" max="2598" width="9.42578125" style="643" customWidth="1"/>
    <col min="2599" max="2599" width="8.28515625" style="643" customWidth="1"/>
    <col min="2600" max="2600" width="8" style="643" customWidth="1"/>
    <col min="2601" max="2601" width="8.5703125" style="643" customWidth="1"/>
    <col min="2602" max="2602" width="8" style="643" customWidth="1"/>
    <col min="2603" max="2603" width="9.140625" style="643" customWidth="1"/>
    <col min="2604" max="2609" width="8" style="643" customWidth="1"/>
    <col min="2610" max="2610" width="9.42578125" style="643" customWidth="1"/>
    <col min="2611" max="2611" width="8.28515625" style="643" customWidth="1"/>
    <col min="2612" max="2612" width="8" style="643" customWidth="1"/>
    <col min="2613" max="2613" width="8.5703125" style="643" customWidth="1"/>
    <col min="2614" max="2614" width="8" style="643" customWidth="1"/>
    <col min="2615" max="2615" width="9.140625" style="643" customWidth="1"/>
    <col min="2616" max="2618" width="8" style="643" customWidth="1"/>
    <col min="2619" max="2795" width="9.140625" style="643"/>
    <col min="2796" max="2796" width="38" style="643" customWidth="1"/>
    <col min="2797" max="2797" width="18.7109375" style="643" customWidth="1"/>
    <col min="2798" max="2798" width="8" style="643" customWidth="1"/>
    <col min="2799" max="2799" width="9.140625" style="643" customWidth="1"/>
    <col min="2800" max="2800" width="6.42578125" style="643" customWidth="1"/>
    <col min="2801" max="2805" width="8" style="643" customWidth="1"/>
    <col min="2806" max="2806" width="9.42578125" style="643" customWidth="1"/>
    <col min="2807" max="2807" width="8.28515625" style="643" customWidth="1"/>
    <col min="2808" max="2808" width="8" style="643" customWidth="1"/>
    <col min="2809" max="2809" width="8.5703125" style="643" customWidth="1"/>
    <col min="2810" max="2810" width="8" style="643" customWidth="1"/>
    <col min="2811" max="2811" width="9.140625" style="643" customWidth="1"/>
    <col min="2812" max="2817" width="8" style="643" customWidth="1"/>
    <col min="2818" max="2818" width="9.42578125" style="643" customWidth="1"/>
    <col min="2819" max="2819" width="8.28515625" style="643" customWidth="1"/>
    <col min="2820" max="2820" width="8" style="643" customWidth="1"/>
    <col min="2821" max="2821" width="8.5703125" style="643" customWidth="1"/>
    <col min="2822" max="2822" width="8" style="643" customWidth="1"/>
    <col min="2823" max="2823" width="9.140625" style="643" customWidth="1"/>
    <col min="2824" max="2829" width="8" style="643" customWidth="1"/>
    <col min="2830" max="2830" width="9.42578125" style="643" customWidth="1"/>
    <col min="2831" max="2831" width="8.28515625" style="643" customWidth="1"/>
    <col min="2832" max="2832" width="8" style="643" customWidth="1"/>
    <col min="2833" max="2833" width="8.5703125" style="643" customWidth="1"/>
    <col min="2834" max="2834" width="8" style="643" customWidth="1"/>
    <col min="2835" max="2835" width="9.140625" style="643" customWidth="1"/>
    <col min="2836" max="2841" width="8" style="643" customWidth="1"/>
    <col min="2842" max="2842" width="9.42578125" style="643" customWidth="1"/>
    <col min="2843" max="2843" width="8.28515625" style="643" customWidth="1"/>
    <col min="2844" max="2844" width="8" style="643" customWidth="1"/>
    <col min="2845" max="2845" width="8.5703125" style="643" customWidth="1"/>
    <col min="2846" max="2846" width="8" style="643" customWidth="1"/>
    <col min="2847" max="2847" width="9.140625" style="643" customWidth="1"/>
    <col min="2848" max="2853" width="8" style="643" customWidth="1"/>
    <col min="2854" max="2854" width="9.42578125" style="643" customWidth="1"/>
    <col min="2855" max="2855" width="8.28515625" style="643" customWidth="1"/>
    <col min="2856" max="2856" width="8" style="643" customWidth="1"/>
    <col min="2857" max="2857" width="8.5703125" style="643" customWidth="1"/>
    <col min="2858" max="2858" width="8" style="643" customWidth="1"/>
    <col min="2859" max="2859" width="9.140625" style="643" customWidth="1"/>
    <col min="2860" max="2865" width="8" style="643" customWidth="1"/>
    <col min="2866" max="2866" width="9.42578125" style="643" customWidth="1"/>
    <col min="2867" max="2867" width="8.28515625" style="643" customWidth="1"/>
    <col min="2868" max="2868" width="8" style="643" customWidth="1"/>
    <col min="2869" max="2869" width="8.5703125" style="643" customWidth="1"/>
    <col min="2870" max="2870" width="8" style="643" customWidth="1"/>
    <col min="2871" max="2871" width="9.140625" style="643" customWidth="1"/>
    <col min="2872" max="2874" width="8" style="643" customWidth="1"/>
    <col min="2875" max="3051" width="9.140625" style="643"/>
    <col min="3052" max="3052" width="38" style="643" customWidth="1"/>
    <col min="3053" max="3053" width="18.7109375" style="643" customWidth="1"/>
    <col min="3054" max="3054" width="8" style="643" customWidth="1"/>
    <col min="3055" max="3055" width="9.140625" style="643" customWidth="1"/>
    <col min="3056" max="3056" width="6.42578125" style="643" customWidth="1"/>
    <col min="3057" max="3061" width="8" style="643" customWidth="1"/>
    <col min="3062" max="3062" width="9.42578125" style="643" customWidth="1"/>
    <col min="3063" max="3063" width="8.28515625" style="643" customWidth="1"/>
    <col min="3064" max="3064" width="8" style="643" customWidth="1"/>
    <col min="3065" max="3065" width="8.5703125" style="643" customWidth="1"/>
    <col min="3066" max="3066" width="8" style="643" customWidth="1"/>
    <col min="3067" max="3067" width="9.140625" style="643" customWidth="1"/>
    <col min="3068" max="3073" width="8" style="643" customWidth="1"/>
    <col min="3074" max="3074" width="9.42578125" style="643" customWidth="1"/>
    <col min="3075" max="3075" width="8.28515625" style="643" customWidth="1"/>
    <col min="3076" max="3076" width="8" style="643" customWidth="1"/>
    <col min="3077" max="3077" width="8.5703125" style="643" customWidth="1"/>
    <col min="3078" max="3078" width="8" style="643" customWidth="1"/>
    <col min="3079" max="3079" width="9.140625" style="643" customWidth="1"/>
    <col min="3080" max="3085" width="8" style="643" customWidth="1"/>
    <col min="3086" max="3086" width="9.42578125" style="643" customWidth="1"/>
    <col min="3087" max="3087" width="8.28515625" style="643" customWidth="1"/>
    <col min="3088" max="3088" width="8" style="643" customWidth="1"/>
    <col min="3089" max="3089" width="8.5703125" style="643" customWidth="1"/>
    <col min="3090" max="3090" width="8" style="643" customWidth="1"/>
    <col min="3091" max="3091" width="9.140625" style="643" customWidth="1"/>
    <col min="3092" max="3097" width="8" style="643" customWidth="1"/>
    <col min="3098" max="3098" width="9.42578125" style="643" customWidth="1"/>
    <col min="3099" max="3099" width="8.28515625" style="643" customWidth="1"/>
    <col min="3100" max="3100" width="8" style="643" customWidth="1"/>
    <col min="3101" max="3101" width="8.5703125" style="643" customWidth="1"/>
    <col min="3102" max="3102" width="8" style="643" customWidth="1"/>
    <col min="3103" max="3103" width="9.140625" style="643" customWidth="1"/>
    <col min="3104" max="3109" width="8" style="643" customWidth="1"/>
    <col min="3110" max="3110" width="9.42578125" style="643" customWidth="1"/>
    <col min="3111" max="3111" width="8.28515625" style="643" customWidth="1"/>
    <col min="3112" max="3112" width="8" style="643" customWidth="1"/>
    <col min="3113" max="3113" width="8.5703125" style="643" customWidth="1"/>
    <col min="3114" max="3114" width="8" style="643" customWidth="1"/>
    <col min="3115" max="3115" width="9.140625" style="643" customWidth="1"/>
    <col min="3116" max="3121" width="8" style="643" customWidth="1"/>
    <col min="3122" max="3122" width="9.42578125" style="643" customWidth="1"/>
    <col min="3123" max="3123" width="8.28515625" style="643" customWidth="1"/>
    <col min="3124" max="3124" width="8" style="643" customWidth="1"/>
    <col min="3125" max="3125" width="8.5703125" style="643" customWidth="1"/>
    <col min="3126" max="3126" width="8" style="643" customWidth="1"/>
    <col min="3127" max="3127" width="9.140625" style="643" customWidth="1"/>
    <col min="3128" max="3130" width="8" style="643" customWidth="1"/>
    <col min="3131" max="3307" width="9.140625" style="643"/>
    <col min="3308" max="3308" width="38" style="643" customWidth="1"/>
    <col min="3309" max="3309" width="18.7109375" style="643" customWidth="1"/>
    <col min="3310" max="3310" width="8" style="643" customWidth="1"/>
    <col min="3311" max="3311" width="9.140625" style="643" customWidth="1"/>
    <col min="3312" max="3312" width="6.42578125" style="643" customWidth="1"/>
    <col min="3313" max="3317" width="8" style="643" customWidth="1"/>
    <col min="3318" max="3318" width="9.42578125" style="643" customWidth="1"/>
    <col min="3319" max="3319" width="8.28515625" style="643" customWidth="1"/>
    <col min="3320" max="3320" width="8" style="643" customWidth="1"/>
    <col min="3321" max="3321" width="8.5703125" style="643" customWidth="1"/>
    <col min="3322" max="3322" width="8" style="643" customWidth="1"/>
    <col min="3323" max="3323" width="9.140625" style="643" customWidth="1"/>
    <col min="3324" max="3329" width="8" style="643" customWidth="1"/>
    <col min="3330" max="3330" width="9.42578125" style="643" customWidth="1"/>
    <col min="3331" max="3331" width="8.28515625" style="643" customWidth="1"/>
    <col min="3332" max="3332" width="8" style="643" customWidth="1"/>
    <col min="3333" max="3333" width="8.5703125" style="643" customWidth="1"/>
    <col min="3334" max="3334" width="8" style="643" customWidth="1"/>
    <col min="3335" max="3335" width="9.140625" style="643" customWidth="1"/>
    <col min="3336" max="3341" width="8" style="643" customWidth="1"/>
    <col min="3342" max="3342" width="9.42578125" style="643" customWidth="1"/>
    <col min="3343" max="3343" width="8.28515625" style="643" customWidth="1"/>
    <col min="3344" max="3344" width="8" style="643" customWidth="1"/>
    <col min="3345" max="3345" width="8.5703125" style="643" customWidth="1"/>
    <col min="3346" max="3346" width="8" style="643" customWidth="1"/>
    <col min="3347" max="3347" width="9.140625" style="643" customWidth="1"/>
    <col min="3348" max="3353" width="8" style="643" customWidth="1"/>
    <col min="3354" max="3354" width="9.42578125" style="643" customWidth="1"/>
    <col min="3355" max="3355" width="8.28515625" style="643" customWidth="1"/>
    <col min="3356" max="3356" width="8" style="643" customWidth="1"/>
    <col min="3357" max="3357" width="8.5703125" style="643" customWidth="1"/>
    <col min="3358" max="3358" width="8" style="643" customWidth="1"/>
    <col min="3359" max="3359" width="9.140625" style="643" customWidth="1"/>
    <col min="3360" max="3365" width="8" style="643" customWidth="1"/>
    <col min="3366" max="3366" width="9.42578125" style="643" customWidth="1"/>
    <col min="3367" max="3367" width="8.28515625" style="643" customWidth="1"/>
    <col min="3368" max="3368" width="8" style="643" customWidth="1"/>
    <col min="3369" max="3369" width="8.5703125" style="643" customWidth="1"/>
    <col min="3370" max="3370" width="8" style="643" customWidth="1"/>
    <col min="3371" max="3371" width="9.140625" style="643" customWidth="1"/>
    <col min="3372" max="3377" width="8" style="643" customWidth="1"/>
    <col min="3378" max="3378" width="9.42578125" style="643" customWidth="1"/>
    <col min="3379" max="3379" width="8.28515625" style="643" customWidth="1"/>
    <col min="3380" max="3380" width="8" style="643" customWidth="1"/>
    <col min="3381" max="3381" width="8.5703125" style="643" customWidth="1"/>
    <col min="3382" max="3382" width="8" style="643" customWidth="1"/>
    <col min="3383" max="3383" width="9.140625" style="643" customWidth="1"/>
    <col min="3384" max="3386" width="8" style="643" customWidth="1"/>
    <col min="3387" max="3563" width="9.140625" style="643"/>
    <col min="3564" max="3564" width="38" style="643" customWidth="1"/>
    <col min="3565" max="3565" width="18.7109375" style="643" customWidth="1"/>
    <col min="3566" max="3566" width="8" style="643" customWidth="1"/>
    <col min="3567" max="3567" width="9.140625" style="643" customWidth="1"/>
    <col min="3568" max="3568" width="6.42578125" style="643" customWidth="1"/>
    <col min="3569" max="3573" width="8" style="643" customWidth="1"/>
    <col min="3574" max="3574" width="9.42578125" style="643" customWidth="1"/>
    <col min="3575" max="3575" width="8.28515625" style="643" customWidth="1"/>
    <col min="3576" max="3576" width="8" style="643" customWidth="1"/>
    <col min="3577" max="3577" width="8.5703125" style="643" customWidth="1"/>
    <col min="3578" max="3578" width="8" style="643" customWidth="1"/>
    <col min="3579" max="3579" width="9.140625" style="643" customWidth="1"/>
    <col min="3580" max="3585" width="8" style="643" customWidth="1"/>
    <col min="3586" max="3586" width="9.42578125" style="643" customWidth="1"/>
    <col min="3587" max="3587" width="8.28515625" style="643" customWidth="1"/>
    <col min="3588" max="3588" width="8" style="643" customWidth="1"/>
    <col min="3589" max="3589" width="8.5703125" style="643" customWidth="1"/>
    <col min="3590" max="3590" width="8" style="643" customWidth="1"/>
    <col min="3591" max="3591" width="9.140625" style="643" customWidth="1"/>
    <col min="3592" max="3597" width="8" style="643" customWidth="1"/>
    <col min="3598" max="3598" width="9.42578125" style="643" customWidth="1"/>
    <col min="3599" max="3599" width="8.28515625" style="643" customWidth="1"/>
    <col min="3600" max="3600" width="8" style="643" customWidth="1"/>
    <col min="3601" max="3601" width="8.5703125" style="643" customWidth="1"/>
    <col min="3602" max="3602" width="8" style="643" customWidth="1"/>
    <col min="3603" max="3603" width="9.140625" style="643" customWidth="1"/>
    <col min="3604" max="3609" width="8" style="643" customWidth="1"/>
    <col min="3610" max="3610" width="9.42578125" style="643" customWidth="1"/>
    <col min="3611" max="3611" width="8.28515625" style="643" customWidth="1"/>
    <col min="3612" max="3612" width="8" style="643" customWidth="1"/>
    <col min="3613" max="3613" width="8.5703125" style="643" customWidth="1"/>
    <col min="3614" max="3614" width="8" style="643" customWidth="1"/>
    <col min="3615" max="3615" width="9.140625" style="643" customWidth="1"/>
    <col min="3616" max="3621" width="8" style="643" customWidth="1"/>
    <col min="3622" max="3622" width="9.42578125" style="643" customWidth="1"/>
    <col min="3623" max="3623" width="8.28515625" style="643" customWidth="1"/>
    <col min="3624" max="3624" width="8" style="643" customWidth="1"/>
    <col min="3625" max="3625" width="8.5703125" style="643" customWidth="1"/>
    <col min="3626" max="3626" width="8" style="643" customWidth="1"/>
    <col min="3627" max="3627" width="9.140625" style="643" customWidth="1"/>
    <col min="3628" max="3633" width="8" style="643" customWidth="1"/>
    <col min="3634" max="3634" width="9.42578125" style="643" customWidth="1"/>
    <col min="3635" max="3635" width="8.28515625" style="643" customWidth="1"/>
    <col min="3636" max="3636" width="8" style="643" customWidth="1"/>
    <col min="3637" max="3637" width="8.5703125" style="643" customWidth="1"/>
    <col min="3638" max="3638" width="8" style="643" customWidth="1"/>
    <col min="3639" max="3639" width="9.140625" style="643" customWidth="1"/>
    <col min="3640" max="3642" width="8" style="643" customWidth="1"/>
    <col min="3643" max="3819" width="9.140625" style="643"/>
    <col min="3820" max="3820" width="38" style="643" customWidth="1"/>
    <col min="3821" max="3821" width="18.7109375" style="643" customWidth="1"/>
    <col min="3822" max="3822" width="8" style="643" customWidth="1"/>
    <col min="3823" max="3823" width="9.140625" style="643" customWidth="1"/>
    <col min="3824" max="3824" width="6.42578125" style="643" customWidth="1"/>
    <col min="3825" max="3829" width="8" style="643" customWidth="1"/>
    <col min="3830" max="3830" width="9.42578125" style="643" customWidth="1"/>
    <col min="3831" max="3831" width="8.28515625" style="643" customWidth="1"/>
    <col min="3832" max="3832" width="8" style="643" customWidth="1"/>
    <col min="3833" max="3833" width="8.5703125" style="643" customWidth="1"/>
    <col min="3834" max="3834" width="8" style="643" customWidth="1"/>
    <col min="3835" max="3835" width="9.140625" style="643" customWidth="1"/>
    <col min="3836" max="3841" width="8" style="643" customWidth="1"/>
    <col min="3842" max="3842" width="9.42578125" style="643" customWidth="1"/>
    <col min="3843" max="3843" width="8.28515625" style="643" customWidth="1"/>
    <col min="3844" max="3844" width="8" style="643" customWidth="1"/>
    <col min="3845" max="3845" width="8.5703125" style="643" customWidth="1"/>
    <col min="3846" max="3846" width="8" style="643" customWidth="1"/>
    <col min="3847" max="3847" width="9.140625" style="643" customWidth="1"/>
    <col min="3848" max="3853" width="8" style="643" customWidth="1"/>
    <col min="3854" max="3854" width="9.42578125" style="643" customWidth="1"/>
    <col min="3855" max="3855" width="8.28515625" style="643" customWidth="1"/>
    <col min="3856" max="3856" width="8" style="643" customWidth="1"/>
    <col min="3857" max="3857" width="8.5703125" style="643" customWidth="1"/>
    <col min="3858" max="3858" width="8" style="643" customWidth="1"/>
    <col min="3859" max="3859" width="9.140625" style="643" customWidth="1"/>
    <col min="3860" max="3865" width="8" style="643" customWidth="1"/>
    <col min="3866" max="3866" width="9.42578125" style="643" customWidth="1"/>
    <col min="3867" max="3867" width="8.28515625" style="643" customWidth="1"/>
    <col min="3868" max="3868" width="8" style="643" customWidth="1"/>
    <col min="3869" max="3869" width="8.5703125" style="643" customWidth="1"/>
    <col min="3870" max="3870" width="8" style="643" customWidth="1"/>
    <col min="3871" max="3871" width="9.140625" style="643" customWidth="1"/>
    <col min="3872" max="3877" width="8" style="643" customWidth="1"/>
    <col min="3878" max="3878" width="9.42578125" style="643" customWidth="1"/>
    <col min="3879" max="3879" width="8.28515625" style="643" customWidth="1"/>
    <col min="3880" max="3880" width="8" style="643" customWidth="1"/>
    <col min="3881" max="3881" width="8.5703125" style="643" customWidth="1"/>
    <col min="3882" max="3882" width="8" style="643" customWidth="1"/>
    <col min="3883" max="3883" width="9.140625" style="643" customWidth="1"/>
    <col min="3884" max="3889" width="8" style="643" customWidth="1"/>
    <col min="3890" max="3890" width="9.42578125" style="643" customWidth="1"/>
    <col min="3891" max="3891" width="8.28515625" style="643" customWidth="1"/>
    <col min="3892" max="3892" width="8" style="643" customWidth="1"/>
    <col min="3893" max="3893" width="8.5703125" style="643" customWidth="1"/>
    <col min="3894" max="3894" width="8" style="643" customWidth="1"/>
    <col min="3895" max="3895" width="9.140625" style="643" customWidth="1"/>
    <col min="3896" max="3898" width="8" style="643" customWidth="1"/>
    <col min="3899" max="4075" width="9.140625" style="643"/>
    <col min="4076" max="4076" width="38" style="643" customWidth="1"/>
    <col min="4077" max="4077" width="18.7109375" style="643" customWidth="1"/>
    <col min="4078" max="4078" width="8" style="643" customWidth="1"/>
    <col min="4079" max="4079" width="9.140625" style="643" customWidth="1"/>
    <col min="4080" max="4080" width="6.42578125" style="643" customWidth="1"/>
    <col min="4081" max="4085" width="8" style="643" customWidth="1"/>
    <col min="4086" max="4086" width="9.42578125" style="643" customWidth="1"/>
    <col min="4087" max="4087" width="8.28515625" style="643" customWidth="1"/>
    <col min="4088" max="4088" width="8" style="643" customWidth="1"/>
    <col min="4089" max="4089" width="8.5703125" style="643" customWidth="1"/>
    <col min="4090" max="4090" width="8" style="643" customWidth="1"/>
    <col min="4091" max="4091" width="9.140625" style="643" customWidth="1"/>
    <col min="4092" max="4097" width="8" style="643" customWidth="1"/>
    <col min="4098" max="4098" width="9.42578125" style="643" customWidth="1"/>
    <col min="4099" max="4099" width="8.28515625" style="643" customWidth="1"/>
    <col min="4100" max="4100" width="8" style="643" customWidth="1"/>
    <col min="4101" max="4101" width="8.5703125" style="643" customWidth="1"/>
    <col min="4102" max="4102" width="8" style="643" customWidth="1"/>
    <col min="4103" max="4103" width="9.140625" style="643" customWidth="1"/>
    <col min="4104" max="4109" width="8" style="643" customWidth="1"/>
    <col min="4110" max="4110" width="9.42578125" style="643" customWidth="1"/>
    <col min="4111" max="4111" width="8.28515625" style="643" customWidth="1"/>
    <col min="4112" max="4112" width="8" style="643" customWidth="1"/>
    <col min="4113" max="4113" width="8.5703125" style="643" customWidth="1"/>
    <col min="4114" max="4114" width="8" style="643" customWidth="1"/>
    <col min="4115" max="4115" width="9.140625" style="643" customWidth="1"/>
    <col min="4116" max="4121" width="8" style="643" customWidth="1"/>
    <col min="4122" max="4122" width="9.42578125" style="643" customWidth="1"/>
    <col min="4123" max="4123" width="8.28515625" style="643" customWidth="1"/>
    <col min="4124" max="4124" width="8" style="643" customWidth="1"/>
    <col min="4125" max="4125" width="8.5703125" style="643" customWidth="1"/>
    <col min="4126" max="4126" width="8" style="643" customWidth="1"/>
    <col min="4127" max="4127" width="9.140625" style="643" customWidth="1"/>
    <col min="4128" max="4133" width="8" style="643" customWidth="1"/>
    <col min="4134" max="4134" width="9.42578125" style="643" customWidth="1"/>
    <col min="4135" max="4135" width="8.28515625" style="643" customWidth="1"/>
    <col min="4136" max="4136" width="8" style="643" customWidth="1"/>
    <col min="4137" max="4137" width="8.5703125" style="643" customWidth="1"/>
    <col min="4138" max="4138" width="8" style="643" customWidth="1"/>
    <col min="4139" max="4139" width="9.140625" style="643" customWidth="1"/>
    <col min="4140" max="4145" width="8" style="643" customWidth="1"/>
    <col min="4146" max="4146" width="9.42578125" style="643" customWidth="1"/>
    <col min="4147" max="4147" width="8.28515625" style="643" customWidth="1"/>
    <col min="4148" max="4148" width="8" style="643" customWidth="1"/>
    <col min="4149" max="4149" width="8.5703125" style="643" customWidth="1"/>
    <col min="4150" max="4150" width="8" style="643" customWidth="1"/>
    <col min="4151" max="4151" width="9.140625" style="643" customWidth="1"/>
    <col min="4152" max="4154" width="8" style="643" customWidth="1"/>
    <col min="4155" max="4331" width="9.140625" style="643"/>
    <col min="4332" max="4332" width="38" style="643" customWidth="1"/>
    <col min="4333" max="4333" width="18.7109375" style="643" customWidth="1"/>
    <col min="4334" max="4334" width="8" style="643" customWidth="1"/>
    <col min="4335" max="4335" width="9.140625" style="643" customWidth="1"/>
    <col min="4336" max="4336" width="6.42578125" style="643" customWidth="1"/>
    <col min="4337" max="4341" width="8" style="643" customWidth="1"/>
    <col min="4342" max="4342" width="9.42578125" style="643" customWidth="1"/>
    <col min="4343" max="4343" width="8.28515625" style="643" customWidth="1"/>
    <col min="4344" max="4344" width="8" style="643" customWidth="1"/>
    <col min="4345" max="4345" width="8.5703125" style="643" customWidth="1"/>
    <col min="4346" max="4346" width="8" style="643" customWidth="1"/>
    <col min="4347" max="4347" width="9.140625" style="643" customWidth="1"/>
    <col min="4348" max="4353" width="8" style="643" customWidth="1"/>
    <col min="4354" max="4354" width="9.42578125" style="643" customWidth="1"/>
    <col min="4355" max="4355" width="8.28515625" style="643" customWidth="1"/>
    <col min="4356" max="4356" width="8" style="643" customWidth="1"/>
    <col min="4357" max="4357" width="8.5703125" style="643" customWidth="1"/>
    <col min="4358" max="4358" width="8" style="643" customWidth="1"/>
    <col min="4359" max="4359" width="9.140625" style="643" customWidth="1"/>
    <col min="4360" max="4365" width="8" style="643" customWidth="1"/>
    <col min="4366" max="4366" width="9.42578125" style="643" customWidth="1"/>
    <col min="4367" max="4367" width="8.28515625" style="643" customWidth="1"/>
    <col min="4368" max="4368" width="8" style="643" customWidth="1"/>
    <col min="4369" max="4369" width="8.5703125" style="643" customWidth="1"/>
    <col min="4370" max="4370" width="8" style="643" customWidth="1"/>
    <col min="4371" max="4371" width="9.140625" style="643" customWidth="1"/>
    <col min="4372" max="4377" width="8" style="643" customWidth="1"/>
    <col min="4378" max="4378" width="9.42578125" style="643" customWidth="1"/>
    <col min="4379" max="4379" width="8.28515625" style="643" customWidth="1"/>
    <col min="4380" max="4380" width="8" style="643" customWidth="1"/>
    <col min="4381" max="4381" width="8.5703125" style="643" customWidth="1"/>
    <col min="4382" max="4382" width="8" style="643" customWidth="1"/>
    <col min="4383" max="4383" width="9.140625" style="643" customWidth="1"/>
    <col min="4384" max="4389" width="8" style="643" customWidth="1"/>
    <col min="4390" max="4390" width="9.42578125" style="643" customWidth="1"/>
    <col min="4391" max="4391" width="8.28515625" style="643" customWidth="1"/>
    <col min="4392" max="4392" width="8" style="643" customWidth="1"/>
    <col min="4393" max="4393" width="8.5703125" style="643" customWidth="1"/>
    <col min="4394" max="4394" width="8" style="643" customWidth="1"/>
    <col min="4395" max="4395" width="9.140625" style="643" customWidth="1"/>
    <col min="4396" max="4401" width="8" style="643" customWidth="1"/>
    <col min="4402" max="4402" width="9.42578125" style="643" customWidth="1"/>
    <col min="4403" max="4403" width="8.28515625" style="643" customWidth="1"/>
    <col min="4404" max="4404" width="8" style="643" customWidth="1"/>
    <col min="4405" max="4405" width="8.5703125" style="643" customWidth="1"/>
    <col min="4406" max="4406" width="8" style="643" customWidth="1"/>
    <col min="4407" max="4407" width="9.140625" style="643" customWidth="1"/>
    <col min="4408" max="4410" width="8" style="643" customWidth="1"/>
    <col min="4411" max="4587" width="9.140625" style="643"/>
    <col min="4588" max="4588" width="38" style="643" customWidth="1"/>
    <col min="4589" max="4589" width="18.7109375" style="643" customWidth="1"/>
    <col min="4590" max="4590" width="8" style="643" customWidth="1"/>
    <col min="4591" max="4591" width="9.140625" style="643" customWidth="1"/>
    <col min="4592" max="4592" width="6.42578125" style="643" customWidth="1"/>
    <col min="4593" max="4597" width="8" style="643" customWidth="1"/>
    <col min="4598" max="4598" width="9.42578125" style="643" customWidth="1"/>
    <col min="4599" max="4599" width="8.28515625" style="643" customWidth="1"/>
    <col min="4600" max="4600" width="8" style="643" customWidth="1"/>
    <col min="4601" max="4601" width="8.5703125" style="643" customWidth="1"/>
    <col min="4602" max="4602" width="8" style="643" customWidth="1"/>
    <col min="4603" max="4603" width="9.140625" style="643" customWidth="1"/>
    <col min="4604" max="4609" width="8" style="643" customWidth="1"/>
    <col min="4610" max="4610" width="9.42578125" style="643" customWidth="1"/>
    <col min="4611" max="4611" width="8.28515625" style="643" customWidth="1"/>
    <col min="4612" max="4612" width="8" style="643" customWidth="1"/>
    <col min="4613" max="4613" width="8.5703125" style="643" customWidth="1"/>
    <col min="4614" max="4614" width="8" style="643" customWidth="1"/>
    <col min="4615" max="4615" width="9.140625" style="643" customWidth="1"/>
    <col min="4616" max="4621" width="8" style="643" customWidth="1"/>
    <col min="4622" max="4622" width="9.42578125" style="643" customWidth="1"/>
    <col min="4623" max="4623" width="8.28515625" style="643" customWidth="1"/>
    <col min="4624" max="4624" width="8" style="643" customWidth="1"/>
    <col min="4625" max="4625" width="8.5703125" style="643" customWidth="1"/>
    <col min="4626" max="4626" width="8" style="643" customWidth="1"/>
    <col min="4627" max="4627" width="9.140625" style="643" customWidth="1"/>
    <col min="4628" max="4633" width="8" style="643" customWidth="1"/>
    <col min="4634" max="4634" width="9.42578125" style="643" customWidth="1"/>
    <col min="4635" max="4635" width="8.28515625" style="643" customWidth="1"/>
    <col min="4636" max="4636" width="8" style="643" customWidth="1"/>
    <col min="4637" max="4637" width="8.5703125" style="643" customWidth="1"/>
    <col min="4638" max="4638" width="8" style="643" customWidth="1"/>
    <col min="4639" max="4639" width="9.140625" style="643" customWidth="1"/>
    <col min="4640" max="4645" width="8" style="643" customWidth="1"/>
    <col min="4646" max="4646" width="9.42578125" style="643" customWidth="1"/>
    <col min="4647" max="4647" width="8.28515625" style="643" customWidth="1"/>
    <col min="4648" max="4648" width="8" style="643" customWidth="1"/>
    <col min="4649" max="4649" width="8.5703125" style="643" customWidth="1"/>
    <col min="4650" max="4650" width="8" style="643" customWidth="1"/>
    <col min="4651" max="4651" width="9.140625" style="643" customWidth="1"/>
    <col min="4652" max="4657" width="8" style="643" customWidth="1"/>
    <col min="4658" max="4658" width="9.42578125" style="643" customWidth="1"/>
    <col min="4659" max="4659" width="8.28515625" style="643" customWidth="1"/>
    <col min="4660" max="4660" width="8" style="643" customWidth="1"/>
    <col min="4661" max="4661" width="8.5703125" style="643" customWidth="1"/>
    <col min="4662" max="4662" width="8" style="643" customWidth="1"/>
    <col min="4663" max="4663" width="9.140625" style="643" customWidth="1"/>
    <col min="4664" max="4666" width="8" style="643" customWidth="1"/>
    <col min="4667" max="4843" width="9.140625" style="643"/>
    <col min="4844" max="4844" width="38" style="643" customWidth="1"/>
    <col min="4845" max="4845" width="18.7109375" style="643" customWidth="1"/>
    <col min="4846" max="4846" width="8" style="643" customWidth="1"/>
    <col min="4847" max="4847" width="9.140625" style="643" customWidth="1"/>
    <col min="4848" max="4848" width="6.42578125" style="643" customWidth="1"/>
    <col min="4849" max="4853" width="8" style="643" customWidth="1"/>
    <col min="4854" max="4854" width="9.42578125" style="643" customWidth="1"/>
    <col min="4855" max="4855" width="8.28515625" style="643" customWidth="1"/>
    <col min="4856" max="4856" width="8" style="643" customWidth="1"/>
    <col min="4857" max="4857" width="8.5703125" style="643" customWidth="1"/>
    <col min="4858" max="4858" width="8" style="643" customWidth="1"/>
    <col min="4859" max="4859" width="9.140625" style="643" customWidth="1"/>
    <col min="4860" max="4865" width="8" style="643" customWidth="1"/>
    <col min="4866" max="4866" width="9.42578125" style="643" customWidth="1"/>
    <col min="4867" max="4867" width="8.28515625" style="643" customWidth="1"/>
    <col min="4868" max="4868" width="8" style="643" customWidth="1"/>
    <col min="4869" max="4869" width="8.5703125" style="643" customWidth="1"/>
    <col min="4870" max="4870" width="8" style="643" customWidth="1"/>
    <col min="4871" max="4871" width="9.140625" style="643" customWidth="1"/>
    <col min="4872" max="4877" width="8" style="643" customWidth="1"/>
    <col min="4878" max="4878" width="9.42578125" style="643" customWidth="1"/>
    <col min="4879" max="4879" width="8.28515625" style="643" customWidth="1"/>
    <col min="4880" max="4880" width="8" style="643" customWidth="1"/>
    <col min="4881" max="4881" width="8.5703125" style="643" customWidth="1"/>
    <col min="4882" max="4882" width="8" style="643" customWidth="1"/>
    <col min="4883" max="4883" width="9.140625" style="643" customWidth="1"/>
    <col min="4884" max="4889" width="8" style="643" customWidth="1"/>
    <col min="4890" max="4890" width="9.42578125" style="643" customWidth="1"/>
    <col min="4891" max="4891" width="8.28515625" style="643" customWidth="1"/>
    <col min="4892" max="4892" width="8" style="643" customWidth="1"/>
    <col min="4893" max="4893" width="8.5703125" style="643" customWidth="1"/>
    <col min="4894" max="4894" width="8" style="643" customWidth="1"/>
    <col min="4895" max="4895" width="9.140625" style="643" customWidth="1"/>
    <col min="4896" max="4901" width="8" style="643" customWidth="1"/>
    <col min="4902" max="4902" width="9.42578125" style="643" customWidth="1"/>
    <col min="4903" max="4903" width="8.28515625" style="643" customWidth="1"/>
    <col min="4904" max="4904" width="8" style="643" customWidth="1"/>
    <col min="4905" max="4905" width="8.5703125" style="643" customWidth="1"/>
    <col min="4906" max="4906" width="8" style="643" customWidth="1"/>
    <col min="4907" max="4907" width="9.140625" style="643" customWidth="1"/>
    <col min="4908" max="4913" width="8" style="643" customWidth="1"/>
    <col min="4914" max="4914" width="9.42578125" style="643" customWidth="1"/>
    <col min="4915" max="4915" width="8.28515625" style="643" customWidth="1"/>
    <col min="4916" max="4916" width="8" style="643" customWidth="1"/>
    <col min="4917" max="4917" width="8.5703125" style="643" customWidth="1"/>
    <col min="4918" max="4918" width="8" style="643" customWidth="1"/>
    <col min="4919" max="4919" width="9.140625" style="643" customWidth="1"/>
    <col min="4920" max="4922" width="8" style="643" customWidth="1"/>
    <col min="4923" max="5099" width="9.140625" style="643"/>
    <col min="5100" max="5100" width="38" style="643" customWidth="1"/>
    <col min="5101" max="5101" width="18.7109375" style="643" customWidth="1"/>
    <col min="5102" max="5102" width="8" style="643" customWidth="1"/>
    <col min="5103" max="5103" width="9.140625" style="643" customWidth="1"/>
    <col min="5104" max="5104" width="6.42578125" style="643" customWidth="1"/>
    <col min="5105" max="5109" width="8" style="643" customWidth="1"/>
    <col min="5110" max="5110" width="9.42578125" style="643" customWidth="1"/>
    <col min="5111" max="5111" width="8.28515625" style="643" customWidth="1"/>
    <col min="5112" max="5112" width="8" style="643" customWidth="1"/>
    <col min="5113" max="5113" width="8.5703125" style="643" customWidth="1"/>
    <col min="5114" max="5114" width="8" style="643" customWidth="1"/>
    <col min="5115" max="5115" width="9.140625" style="643" customWidth="1"/>
    <col min="5116" max="5121" width="8" style="643" customWidth="1"/>
    <col min="5122" max="5122" width="9.42578125" style="643" customWidth="1"/>
    <col min="5123" max="5123" width="8.28515625" style="643" customWidth="1"/>
    <col min="5124" max="5124" width="8" style="643" customWidth="1"/>
    <col min="5125" max="5125" width="8.5703125" style="643" customWidth="1"/>
    <col min="5126" max="5126" width="8" style="643" customWidth="1"/>
    <col min="5127" max="5127" width="9.140625" style="643" customWidth="1"/>
    <col min="5128" max="5133" width="8" style="643" customWidth="1"/>
    <col min="5134" max="5134" width="9.42578125" style="643" customWidth="1"/>
    <col min="5135" max="5135" width="8.28515625" style="643" customWidth="1"/>
    <col min="5136" max="5136" width="8" style="643" customWidth="1"/>
    <col min="5137" max="5137" width="8.5703125" style="643" customWidth="1"/>
    <col min="5138" max="5138" width="8" style="643" customWidth="1"/>
    <col min="5139" max="5139" width="9.140625" style="643" customWidth="1"/>
    <col min="5140" max="5145" width="8" style="643" customWidth="1"/>
    <col min="5146" max="5146" width="9.42578125" style="643" customWidth="1"/>
    <col min="5147" max="5147" width="8.28515625" style="643" customWidth="1"/>
    <col min="5148" max="5148" width="8" style="643" customWidth="1"/>
    <col min="5149" max="5149" width="8.5703125" style="643" customWidth="1"/>
    <col min="5150" max="5150" width="8" style="643" customWidth="1"/>
    <col min="5151" max="5151" width="9.140625" style="643" customWidth="1"/>
    <col min="5152" max="5157" width="8" style="643" customWidth="1"/>
    <col min="5158" max="5158" width="9.42578125" style="643" customWidth="1"/>
    <col min="5159" max="5159" width="8.28515625" style="643" customWidth="1"/>
    <col min="5160" max="5160" width="8" style="643" customWidth="1"/>
    <col min="5161" max="5161" width="8.5703125" style="643" customWidth="1"/>
    <col min="5162" max="5162" width="8" style="643" customWidth="1"/>
    <col min="5163" max="5163" width="9.140625" style="643" customWidth="1"/>
    <col min="5164" max="5169" width="8" style="643" customWidth="1"/>
    <col min="5170" max="5170" width="9.42578125" style="643" customWidth="1"/>
    <col min="5171" max="5171" width="8.28515625" style="643" customWidth="1"/>
    <col min="5172" max="5172" width="8" style="643" customWidth="1"/>
    <col min="5173" max="5173" width="8.5703125" style="643" customWidth="1"/>
    <col min="5174" max="5174" width="8" style="643" customWidth="1"/>
    <col min="5175" max="5175" width="9.140625" style="643" customWidth="1"/>
    <col min="5176" max="5178" width="8" style="643" customWidth="1"/>
    <col min="5179" max="5355" width="9.140625" style="643"/>
    <col min="5356" max="5356" width="38" style="643" customWidth="1"/>
    <col min="5357" max="5357" width="18.7109375" style="643" customWidth="1"/>
    <col min="5358" max="5358" width="8" style="643" customWidth="1"/>
    <col min="5359" max="5359" width="9.140625" style="643" customWidth="1"/>
    <col min="5360" max="5360" width="6.42578125" style="643" customWidth="1"/>
    <col min="5361" max="5365" width="8" style="643" customWidth="1"/>
    <col min="5366" max="5366" width="9.42578125" style="643" customWidth="1"/>
    <col min="5367" max="5367" width="8.28515625" style="643" customWidth="1"/>
    <col min="5368" max="5368" width="8" style="643" customWidth="1"/>
    <col min="5369" max="5369" width="8.5703125" style="643" customWidth="1"/>
    <col min="5370" max="5370" width="8" style="643" customWidth="1"/>
    <col min="5371" max="5371" width="9.140625" style="643" customWidth="1"/>
    <col min="5372" max="5377" width="8" style="643" customWidth="1"/>
    <col min="5378" max="5378" width="9.42578125" style="643" customWidth="1"/>
    <col min="5379" max="5379" width="8.28515625" style="643" customWidth="1"/>
    <col min="5380" max="5380" width="8" style="643" customWidth="1"/>
    <col min="5381" max="5381" width="8.5703125" style="643" customWidth="1"/>
    <col min="5382" max="5382" width="8" style="643" customWidth="1"/>
    <col min="5383" max="5383" width="9.140625" style="643" customWidth="1"/>
    <col min="5384" max="5389" width="8" style="643" customWidth="1"/>
    <col min="5390" max="5390" width="9.42578125" style="643" customWidth="1"/>
    <col min="5391" max="5391" width="8.28515625" style="643" customWidth="1"/>
    <col min="5392" max="5392" width="8" style="643" customWidth="1"/>
    <col min="5393" max="5393" width="8.5703125" style="643" customWidth="1"/>
    <col min="5394" max="5394" width="8" style="643" customWidth="1"/>
    <col min="5395" max="5395" width="9.140625" style="643" customWidth="1"/>
    <col min="5396" max="5401" width="8" style="643" customWidth="1"/>
    <col min="5402" max="5402" width="9.42578125" style="643" customWidth="1"/>
    <col min="5403" max="5403" width="8.28515625" style="643" customWidth="1"/>
    <col min="5404" max="5404" width="8" style="643" customWidth="1"/>
    <col min="5405" max="5405" width="8.5703125" style="643" customWidth="1"/>
    <col min="5406" max="5406" width="8" style="643" customWidth="1"/>
    <col min="5407" max="5407" width="9.140625" style="643" customWidth="1"/>
    <col min="5408" max="5413" width="8" style="643" customWidth="1"/>
    <col min="5414" max="5414" width="9.42578125" style="643" customWidth="1"/>
    <col min="5415" max="5415" width="8.28515625" style="643" customWidth="1"/>
    <col min="5416" max="5416" width="8" style="643" customWidth="1"/>
    <col min="5417" max="5417" width="8.5703125" style="643" customWidth="1"/>
    <col min="5418" max="5418" width="8" style="643" customWidth="1"/>
    <col min="5419" max="5419" width="9.140625" style="643" customWidth="1"/>
    <col min="5420" max="5425" width="8" style="643" customWidth="1"/>
    <col min="5426" max="5426" width="9.42578125" style="643" customWidth="1"/>
    <col min="5427" max="5427" width="8.28515625" style="643" customWidth="1"/>
    <col min="5428" max="5428" width="8" style="643" customWidth="1"/>
    <col min="5429" max="5429" width="8.5703125" style="643" customWidth="1"/>
    <col min="5430" max="5430" width="8" style="643" customWidth="1"/>
    <col min="5431" max="5431" width="9.140625" style="643" customWidth="1"/>
    <col min="5432" max="5434" width="8" style="643" customWidth="1"/>
    <col min="5435" max="5611" width="9.140625" style="643"/>
    <col min="5612" max="5612" width="38" style="643" customWidth="1"/>
    <col min="5613" max="5613" width="18.7109375" style="643" customWidth="1"/>
    <col min="5614" max="5614" width="8" style="643" customWidth="1"/>
    <col min="5615" max="5615" width="9.140625" style="643" customWidth="1"/>
    <col min="5616" max="5616" width="6.42578125" style="643" customWidth="1"/>
    <col min="5617" max="5621" width="8" style="643" customWidth="1"/>
    <col min="5622" max="5622" width="9.42578125" style="643" customWidth="1"/>
    <col min="5623" max="5623" width="8.28515625" style="643" customWidth="1"/>
    <col min="5624" max="5624" width="8" style="643" customWidth="1"/>
    <col min="5625" max="5625" width="8.5703125" style="643" customWidth="1"/>
    <col min="5626" max="5626" width="8" style="643" customWidth="1"/>
    <col min="5627" max="5627" width="9.140625" style="643" customWidth="1"/>
    <col min="5628" max="5633" width="8" style="643" customWidth="1"/>
    <col min="5634" max="5634" width="9.42578125" style="643" customWidth="1"/>
    <col min="5635" max="5635" width="8.28515625" style="643" customWidth="1"/>
    <col min="5636" max="5636" width="8" style="643" customWidth="1"/>
    <col min="5637" max="5637" width="8.5703125" style="643" customWidth="1"/>
    <col min="5638" max="5638" width="8" style="643" customWidth="1"/>
    <col min="5639" max="5639" width="9.140625" style="643" customWidth="1"/>
    <col min="5640" max="5645" width="8" style="643" customWidth="1"/>
    <col min="5646" max="5646" width="9.42578125" style="643" customWidth="1"/>
    <col min="5647" max="5647" width="8.28515625" style="643" customWidth="1"/>
    <col min="5648" max="5648" width="8" style="643" customWidth="1"/>
    <col min="5649" max="5649" width="8.5703125" style="643" customWidth="1"/>
    <col min="5650" max="5650" width="8" style="643" customWidth="1"/>
    <col min="5651" max="5651" width="9.140625" style="643" customWidth="1"/>
    <col min="5652" max="5657" width="8" style="643" customWidth="1"/>
    <col min="5658" max="5658" width="9.42578125" style="643" customWidth="1"/>
    <col min="5659" max="5659" width="8.28515625" style="643" customWidth="1"/>
    <col min="5660" max="5660" width="8" style="643" customWidth="1"/>
    <col min="5661" max="5661" width="8.5703125" style="643" customWidth="1"/>
    <col min="5662" max="5662" width="8" style="643" customWidth="1"/>
    <col min="5663" max="5663" width="9.140625" style="643" customWidth="1"/>
    <col min="5664" max="5669" width="8" style="643" customWidth="1"/>
    <col min="5670" max="5670" width="9.42578125" style="643" customWidth="1"/>
    <col min="5671" max="5671" width="8.28515625" style="643" customWidth="1"/>
    <col min="5672" max="5672" width="8" style="643" customWidth="1"/>
    <col min="5673" max="5673" width="8.5703125" style="643" customWidth="1"/>
    <col min="5674" max="5674" width="8" style="643" customWidth="1"/>
    <col min="5675" max="5675" width="9.140625" style="643" customWidth="1"/>
    <col min="5676" max="5681" width="8" style="643" customWidth="1"/>
    <col min="5682" max="5682" width="9.42578125" style="643" customWidth="1"/>
    <col min="5683" max="5683" width="8.28515625" style="643" customWidth="1"/>
    <col min="5684" max="5684" width="8" style="643" customWidth="1"/>
    <col min="5685" max="5685" width="8.5703125" style="643" customWidth="1"/>
    <col min="5686" max="5686" width="8" style="643" customWidth="1"/>
    <col min="5687" max="5687" width="9.140625" style="643" customWidth="1"/>
    <col min="5688" max="5690" width="8" style="643" customWidth="1"/>
    <col min="5691" max="5867" width="9.140625" style="643"/>
    <col min="5868" max="5868" width="38" style="643" customWidth="1"/>
    <col min="5869" max="5869" width="18.7109375" style="643" customWidth="1"/>
    <col min="5870" max="5870" width="8" style="643" customWidth="1"/>
    <col min="5871" max="5871" width="9.140625" style="643" customWidth="1"/>
    <col min="5872" max="5872" width="6.42578125" style="643" customWidth="1"/>
    <col min="5873" max="5877" width="8" style="643" customWidth="1"/>
    <col min="5878" max="5878" width="9.42578125" style="643" customWidth="1"/>
    <col min="5879" max="5879" width="8.28515625" style="643" customWidth="1"/>
    <col min="5880" max="5880" width="8" style="643" customWidth="1"/>
    <col min="5881" max="5881" width="8.5703125" style="643" customWidth="1"/>
    <col min="5882" max="5882" width="8" style="643" customWidth="1"/>
    <col min="5883" max="5883" width="9.140625" style="643" customWidth="1"/>
    <col min="5884" max="5889" width="8" style="643" customWidth="1"/>
    <col min="5890" max="5890" width="9.42578125" style="643" customWidth="1"/>
    <col min="5891" max="5891" width="8.28515625" style="643" customWidth="1"/>
    <col min="5892" max="5892" width="8" style="643" customWidth="1"/>
    <col min="5893" max="5893" width="8.5703125" style="643" customWidth="1"/>
    <col min="5894" max="5894" width="8" style="643" customWidth="1"/>
    <col min="5895" max="5895" width="9.140625" style="643" customWidth="1"/>
    <col min="5896" max="5901" width="8" style="643" customWidth="1"/>
    <col min="5902" max="5902" width="9.42578125" style="643" customWidth="1"/>
    <col min="5903" max="5903" width="8.28515625" style="643" customWidth="1"/>
    <col min="5904" max="5904" width="8" style="643" customWidth="1"/>
    <col min="5905" max="5905" width="8.5703125" style="643" customWidth="1"/>
    <col min="5906" max="5906" width="8" style="643" customWidth="1"/>
    <col min="5907" max="5907" width="9.140625" style="643" customWidth="1"/>
    <col min="5908" max="5913" width="8" style="643" customWidth="1"/>
    <col min="5914" max="5914" width="9.42578125" style="643" customWidth="1"/>
    <col min="5915" max="5915" width="8.28515625" style="643" customWidth="1"/>
    <col min="5916" max="5916" width="8" style="643" customWidth="1"/>
    <col min="5917" max="5917" width="8.5703125" style="643" customWidth="1"/>
    <col min="5918" max="5918" width="8" style="643" customWidth="1"/>
    <col min="5919" max="5919" width="9.140625" style="643" customWidth="1"/>
    <col min="5920" max="5925" width="8" style="643" customWidth="1"/>
    <col min="5926" max="5926" width="9.42578125" style="643" customWidth="1"/>
    <col min="5927" max="5927" width="8.28515625" style="643" customWidth="1"/>
    <col min="5928" max="5928" width="8" style="643" customWidth="1"/>
    <col min="5929" max="5929" width="8.5703125" style="643" customWidth="1"/>
    <col min="5930" max="5930" width="8" style="643" customWidth="1"/>
    <col min="5931" max="5931" width="9.140625" style="643" customWidth="1"/>
    <col min="5932" max="5937" width="8" style="643" customWidth="1"/>
    <col min="5938" max="5938" width="9.42578125" style="643" customWidth="1"/>
    <col min="5939" max="5939" width="8.28515625" style="643" customWidth="1"/>
    <col min="5940" max="5940" width="8" style="643" customWidth="1"/>
    <col min="5941" max="5941" width="8.5703125" style="643" customWidth="1"/>
    <col min="5942" max="5942" width="8" style="643" customWidth="1"/>
    <col min="5943" max="5943" width="9.140625" style="643" customWidth="1"/>
    <col min="5944" max="5946" width="8" style="643" customWidth="1"/>
    <col min="5947" max="6123" width="9.140625" style="643"/>
    <col min="6124" max="6124" width="38" style="643" customWidth="1"/>
    <col min="6125" max="6125" width="18.7109375" style="643" customWidth="1"/>
    <col min="6126" max="6126" width="8" style="643" customWidth="1"/>
    <col min="6127" max="6127" width="9.140625" style="643" customWidth="1"/>
    <col min="6128" max="6128" width="6.42578125" style="643" customWidth="1"/>
    <col min="6129" max="6133" width="8" style="643" customWidth="1"/>
    <col min="6134" max="6134" width="9.42578125" style="643" customWidth="1"/>
    <col min="6135" max="6135" width="8.28515625" style="643" customWidth="1"/>
    <col min="6136" max="6136" width="8" style="643" customWidth="1"/>
    <col min="6137" max="6137" width="8.5703125" style="643" customWidth="1"/>
    <col min="6138" max="6138" width="8" style="643" customWidth="1"/>
    <col min="6139" max="6139" width="9.140625" style="643" customWidth="1"/>
    <col min="6140" max="6145" width="8" style="643" customWidth="1"/>
    <col min="6146" max="6146" width="9.42578125" style="643" customWidth="1"/>
    <col min="6147" max="6147" width="8.28515625" style="643" customWidth="1"/>
    <col min="6148" max="6148" width="8" style="643" customWidth="1"/>
    <col min="6149" max="6149" width="8.5703125" style="643" customWidth="1"/>
    <col min="6150" max="6150" width="8" style="643" customWidth="1"/>
    <col min="6151" max="6151" width="9.140625" style="643" customWidth="1"/>
    <col min="6152" max="6157" width="8" style="643" customWidth="1"/>
    <col min="6158" max="6158" width="9.42578125" style="643" customWidth="1"/>
    <col min="6159" max="6159" width="8.28515625" style="643" customWidth="1"/>
    <col min="6160" max="6160" width="8" style="643" customWidth="1"/>
    <col min="6161" max="6161" width="8.5703125" style="643" customWidth="1"/>
    <col min="6162" max="6162" width="8" style="643" customWidth="1"/>
    <col min="6163" max="6163" width="9.140625" style="643" customWidth="1"/>
    <col min="6164" max="6169" width="8" style="643" customWidth="1"/>
    <col min="6170" max="6170" width="9.42578125" style="643" customWidth="1"/>
    <col min="6171" max="6171" width="8.28515625" style="643" customWidth="1"/>
    <col min="6172" max="6172" width="8" style="643" customWidth="1"/>
    <col min="6173" max="6173" width="8.5703125" style="643" customWidth="1"/>
    <col min="6174" max="6174" width="8" style="643" customWidth="1"/>
    <col min="6175" max="6175" width="9.140625" style="643" customWidth="1"/>
    <col min="6176" max="6181" width="8" style="643" customWidth="1"/>
    <col min="6182" max="6182" width="9.42578125" style="643" customWidth="1"/>
    <col min="6183" max="6183" width="8.28515625" style="643" customWidth="1"/>
    <col min="6184" max="6184" width="8" style="643" customWidth="1"/>
    <col min="6185" max="6185" width="8.5703125" style="643" customWidth="1"/>
    <col min="6186" max="6186" width="8" style="643" customWidth="1"/>
    <col min="6187" max="6187" width="9.140625" style="643" customWidth="1"/>
    <col min="6188" max="6193" width="8" style="643" customWidth="1"/>
    <col min="6194" max="6194" width="9.42578125" style="643" customWidth="1"/>
    <col min="6195" max="6195" width="8.28515625" style="643" customWidth="1"/>
    <col min="6196" max="6196" width="8" style="643" customWidth="1"/>
    <col min="6197" max="6197" width="8.5703125" style="643" customWidth="1"/>
    <col min="6198" max="6198" width="8" style="643" customWidth="1"/>
    <col min="6199" max="6199" width="9.140625" style="643" customWidth="1"/>
    <col min="6200" max="6202" width="8" style="643" customWidth="1"/>
    <col min="6203" max="6379" width="9.140625" style="643"/>
    <col min="6380" max="6380" width="38" style="643" customWidth="1"/>
    <col min="6381" max="6381" width="18.7109375" style="643" customWidth="1"/>
    <col min="6382" max="6382" width="8" style="643" customWidth="1"/>
    <col min="6383" max="6383" width="9.140625" style="643" customWidth="1"/>
    <col min="6384" max="6384" width="6.42578125" style="643" customWidth="1"/>
    <col min="6385" max="6389" width="8" style="643" customWidth="1"/>
    <col min="6390" max="6390" width="9.42578125" style="643" customWidth="1"/>
    <col min="6391" max="6391" width="8.28515625" style="643" customWidth="1"/>
    <col min="6392" max="6392" width="8" style="643" customWidth="1"/>
    <col min="6393" max="6393" width="8.5703125" style="643" customWidth="1"/>
    <col min="6394" max="6394" width="8" style="643" customWidth="1"/>
    <col min="6395" max="6395" width="9.140625" style="643" customWidth="1"/>
    <col min="6396" max="6401" width="8" style="643" customWidth="1"/>
    <col min="6402" max="6402" width="9.42578125" style="643" customWidth="1"/>
    <col min="6403" max="6403" width="8.28515625" style="643" customWidth="1"/>
    <col min="6404" max="6404" width="8" style="643" customWidth="1"/>
    <col min="6405" max="6405" width="8.5703125" style="643" customWidth="1"/>
    <col min="6406" max="6406" width="8" style="643" customWidth="1"/>
    <col min="6407" max="6407" width="9.140625" style="643" customWidth="1"/>
    <col min="6408" max="6413" width="8" style="643" customWidth="1"/>
    <col min="6414" max="6414" width="9.42578125" style="643" customWidth="1"/>
    <col min="6415" max="6415" width="8.28515625" style="643" customWidth="1"/>
    <col min="6416" max="6416" width="8" style="643" customWidth="1"/>
    <col min="6417" max="6417" width="8.5703125" style="643" customWidth="1"/>
    <col min="6418" max="6418" width="8" style="643" customWidth="1"/>
    <col min="6419" max="6419" width="9.140625" style="643" customWidth="1"/>
    <col min="6420" max="6425" width="8" style="643" customWidth="1"/>
    <col min="6426" max="6426" width="9.42578125" style="643" customWidth="1"/>
    <col min="6427" max="6427" width="8.28515625" style="643" customWidth="1"/>
    <col min="6428" max="6428" width="8" style="643" customWidth="1"/>
    <col min="6429" max="6429" width="8.5703125" style="643" customWidth="1"/>
    <col min="6430" max="6430" width="8" style="643" customWidth="1"/>
    <col min="6431" max="6431" width="9.140625" style="643" customWidth="1"/>
    <col min="6432" max="6437" width="8" style="643" customWidth="1"/>
    <col min="6438" max="6438" width="9.42578125" style="643" customWidth="1"/>
    <col min="6439" max="6439" width="8.28515625" style="643" customWidth="1"/>
    <col min="6440" max="6440" width="8" style="643" customWidth="1"/>
    <col min="6441" max="6441" width="8.5703125" style="643" customWidth="1"/>
    <col min="6442" max="6442" width="8" style="643" customWidth="1"/>
    <col min="6443" max="6443" width="9.140625" style="643" customWidth="1"/>
    <col min="6444" max="6449" width="8" style="643" customWidth="1"/>
    <col min="6450" max="6450" width="9.42578125" style="643" customWidth="1"/>
    <col min="6451" max="6451" width="8.28515625" style="643" customWidth="1"/>
    <col min="6452" max="6452" width="8" style="643" customWidth="1"/>
    <col min="6453" max="6453" width="8.5703125" style="643" customWidth="1"/>
    <col min="6454" max="6454" width="8" style="643" customWidth="1"/>
    <col min="6455" max="6455" width="9.140625" style="643" customWidth="1"/>
    <col min="6456" max="6458" width="8" style="643" customWidth="1"/>
    <col min="6459" max="6635" width="9.140625" style="643"/>
    <col min="6636" max="6636" width="38" style="643" customWidth="1"/>
    <col min="6637" max="6637" width="18.7109375" style="643" customWidth="1"/>
    <col min="6638" max="6638" width="8" style="643" customWidth="1"/>
    <col min="6639" max="6639" width="9.140625" style="643" customWidth="1"/>
    <col min="6640" max="6640" width="6.42578125" style="643" customWidth="1"/>
    <col min="6641" max="6645" width="8" style="643" customWidth="1"/>
    <col min="6646" max="6646" width="9.42578125" style="643" customWidth="1"/>
    <col min="6647" max="6647" width="8.28515625" style="643" customWidth="1"/>
    <col min="6648" max="6648" width="8" style="643" customWidth="1"/>
    <col min="6649" max="6649" width="8.5703125" style="643" customWidth="1"/>
    <col min="6650" max="6650" width="8" style="643" customWidth="1"/>
    <col min="6651" max="6651" width="9.140625" style="643" customWidth="1"/>
    <col min="6652" max="6657" width="8" style="643" customWidth="1"/>
    <col min="6658" max="6658" width="9.42578125" style="643" customWidth="1"/>
    <col min="6659" max="6659" width="8.28515625" style="643" customWidth="1"/>
    <col min="6660" max="6660" width="8" style="643" customWidth="1"/>
    <col min="6661" max="6661" width="8.5703125" style="643" customWidth="1"/>
    <col min="6662" max="6662" width="8" style="643" customWidth="1"/>
    <col min="6663" max="6663" width="9.140625" style="643" customWidth="1"/>
    <col min="6664" max="6669" width="8" style="643" customWidth="1"/>
    <col min="6670" max="6670" width="9.42578125" style="643" customWidth="1"/>
    <col min="6671" max="6671" width="8.28515625" style="643" customWidth="1"/>
    <col min="6672" max="6672" width="8" style="643" customWidth="1"/>
    <col min="6673" max="6673" width="8.5703125" style="643" customWidth="1"/>
    <col min="6674" max="6674" width="8" style="643" customWidth="1"/>
    <col min="6675" max="6675" width="9.140625" style="643" customWidth="1"/>
    <col min="6676" max="6681" width="8" style="643" customWidth="1"/>
    <col min="6682" max="6682" width="9.42578125" style="643" customWidth="1"/>
    <col min="6683" max="6683" width="8.28515625" style="643" customWidth="1"/>
    <col min="6684" max="6684" width="8" style="643" customWidth="1"/>
    <col min="6685" max="6685" width="8.5703125" style="643" customWidth="1"/>
    <col min="6686" max="6686" width="8" style="643" customWidth="1"/>
    <col min="6687" max="6687" width="9.140625" style="643" customWidth="1"/>
    <col min="6688" max="6693" width="8" style="643" customWidth="1"/>
    <col min="6694" max="6694" width="9.42578125" style="643" customWidth="1"/>
    <col min="6695" max="6695" width="8.28515625" style="643" customWidth="1"/>
    <col min="6696" max="6696" width="8" style="643" customWidth="1"/>
    <col min="6697" max="6697" width="8.5703125" style="643" customWidth="1"/>
    <col min="6698" max="6698" width="8" style="643" customWidth="1"/>
    <col min="6699" max="6699" width="9.140625" style="643" customWidth="1"/>
    <col min="6700" max="6705" width="8" style="643" customWidth="1"/>
    <col min="6706" max="6706" width="9.42578125" style="643" customWidth="1"/>
    <col min="6707" max="6707" width="8.28515625" style="643" customWidth="1"/>
    <col min="6708" max="6708" width="8" style="643" customWidth="1"/>
    <col min="6709" max="6709" width="8.5703125" style="643" customWidth="1"/>
    <col min="6710" max="6710" width="8" style="643" customWidth="1"/>
    <col min="6711" max="6711" width="9.140625" style="643" customWidth="1"/>
    <col min="6712" max="6714" width="8" style="643" customWidth="1"/>
    <col min="6715" max="6891" width="9.140625" style="643"/>
    <col min="6892" max="6892" width="38" style="643" customWidth="1"/>
    <col min="6893" max="6893" width="18.7109375" style="643" customWidth="1"/>
    <col min="6894" max="6894" width="8" style="643" customWidth="1"/>
    <col min="6895" max="6895" width="9.140625" style="643" customWidth="1"/>
    <col min="6896" max="6896" width="6.42578125" style="643" customWidth="1"/>
    <col min="6897" max="6901" width="8" style="643" customWidth="1"/>
    <col min="6902" max="6902" width="9.42578125" style="643" customWidth="1"/>
    <col min="6903" max="6903" width="8.28515625" style="643" customWidth="1"/>
    <col min="6904" max="6904" width="8" style="643" customWidth="1"/>
    <col min="6905" max="6905" width="8.5703125" style="643" customWidth="1"/>
    <col min="6906" max="6906" width="8" style="643" customWidth="1"/>
    <col min="6907" max="6907" width="9.140625" style="643" customWidth="1"/>
    <col min="6908" max="6913" width="8" style="643" customWidth="1"/>
    <col min="6914" max="6914" width="9.42578125" style="643" customWidth="1"/>
    <col min="6915" max="6915" width="8.28515625" style="643" customWidth="1"/>
    <col min="6916" max="6916" width="8" style="643" customWidth="1"/>
    <col min="6917" max="6917" width="8.5703125" style="643" customWidth="1"/>
    <col min="6918" max="6918" width="8" style="643" customWidth="1"/>
    <col min="6919" max="6919" width="9.140625" style="643" customWidth="1"/>
    <col min="6920" max="6925" width="8" style="643" customWidth="1"/>
    <col min="6926" max="6926" width="9.42578125" style="643" customWidth="1"/>
    <col min="6927" max="6927" width="8.28515625" style="643" customWidth="1"/>
    <col min="6928" max="6928" width="8" style="643" customWidth="1"/>
    <col min="6929" max="6929" width="8.5703125" style="643" customWidth="1"/>
    <col min="6930" max="6930" width="8" style="643" customWidth="1"/>
    <col min="6931" max="6931" width="9.140625" style="643" customWidth="1"/>
    <col min="6932" max="6937" width="8" style="643" customWidth="1"/>
    <col min="6938" max="6938" width="9.42578125" style="643" customWidth="1"/>
    <col min="6939" max="6939" width="8.28515625" style="643" customWidth="1"/>
    <col min="6940" max="6940" width="8" style="643" customWidth="1"/>
    <col min="6941" max="6941" width="8.5703125" style="643" customWidth="1"/>
    <col min="6942" max="6942" width="8" style="643" customWidth="1"/>
    <col min="6943" max="6943" width="9.140625" style="643" customWidth="1"/>
    <col min="6944" max="6949" width="8" style="643" customWidth="1"/>
    <col min="6950" max="6950" width="9.42578125" style="643" customWidth="1"/>
    <col min="6951" max="6951" width="8.28515625" style="643" customWidth="1"/>
    <col min="6952" max="6952" width="8" style="643" customWidth="1"/>
    <col min="6953" max="6953" width="8.5703125" style="643" customWidth="1"/>
    <col min="6954" max="6954" width="8" style="643" customWidth="1"/>
    <col min="6955" max="6955" width="9.140625" style="643" customWidth="1"/>
    <col min="6956" max="6961" width="8" style="643" customWidth="1"/>
    <col min="6962" max="6962" width="9.42578125" style="643" customWidth="1"/>
    <col min="6963" max="6963" width="8.28515625" style="643" customWidth="1"/>
    <col min="6964" max="6964" width="8" style="643" customWidth="1"/>
    <col min="6965" max="6965" width="8.5703125" style="643" customWidth="1"/>
    <col min="6966" max="6966" width="8" style="643" customWidth="1"/>
    <col min="6967" max="6967" width="9.140625" style="643" customWidth="1"/>
    <col min="6968" max="6970" width="8" style="643" customWidth="1"/>
    <col min="6971" max="7147" width="9.140625" style="643"/>
    <col min="7148" max="7148" width="38" style="643" customWidth="1"/>
    <col min="7149" max="7149" width="18.7109375" style="643" customWidth="1"/>
    <col min="7150" max="7150" width="8" style="643" customWidth="1"/>
    <col min="7151" max="7151" width="9.140625" style="643" customWidth="1"/>
    <col min="7152" max="7152" width="6.42578125" style="643" customWidth="1"/>
    <col min="7153" max="7157" width="8" style="643" customWidth="1"/>
    <col min="7158" max="7158" width="9.42578125" style="643" customWidth="1"/>
    <col min="7159" max="7159" width="8.28515625" style="643" customWidth="1"/>
    <col min="7160" max="7160" width="8" style="643" customWidth="1"/>
    <col min="7161" max="7161" width="8.5703125" style="643" customWidth="1"/>
    <col min="7162" max="7162" width="8" style="643" customWidth="1"/>
    <col min="7163" max="7163" width="9.140625" style="643" customWidth="1"/>
    <col min="7164" max="7169" width="8" style="643" customWidth="1"/>
    <col min="7170" max="7170" width="9.42578125" style="643" customWidth="1"/>
    <col min="7171" max="7171" width="8.28515625" style="643" customWidth="1"/>
    <col min="7172" max="7172" width="8" style="643" customWidth="1"/>
    <col min="7173" max="7173" width="8.5703125" style="643" customWidth="1"/>
    <col min="7174" max="7174" width="8" style="643" customWidth="1"/>
    <col min="7175" max="7175" width="9.140625" style="643" customWidth="1"/>
    <col min="7176" max="7181" width="8" style="643" customWidth="1"/>
    <col min="7182" max="7182" width="9.42578125" style="643" customWidth="1"/>
    <col min="7183" max="7183" width="8.28515625" style="643" customWidth="1"/>
    <col min="7184" max="7184" width="8" style="643" customWidth="1"/>
    <col min="7185" max="7185" width="8.5703125" style="643" customWidth="1"/>
    <col min="7186" max="7186" width="8" style="643" customWidth="1"/>
    <col min="7187" max="7187" width="9.140625" style="643" customWidth="1"/>
    <col min="7188" max="7193" width="8" style="643" customWidth="1"/>
    <col min="7194" max="7194" width="9.42578125" style="643" customWidth="1"/>
    <col min="7195" max="7195" width="8.28515625" style="643" customWidth="1"/>
    <col min="7196" max="7196" width="8" style="643" customWidth="1"/>
    <col min="7197" max="7197" width="8.5703125" style="643" customWidth="1"/>
    <col min="7198" max="7198" width="8" style="643" customWidth="1"/>
    <col min="7199" max="7199" width="9.140625" style="643" customWidth="1"/>
    <col min="7200" max="7205" width="8" style="643" customWidth="1"/>
    <col min="7206" max="7206" width="9.42578125" style="643" customWidth="1"/>
    <col min="7207" max="7207" width="8.28515625" style="643" customWidth="1"/>
    <col min="7208" max="7208" width="8" style="643" customWidth="1"/>
    <col min="7209" max="7209" width="8.5703125" style="643" customWidth="1"/>
    <col min="7210" max="7210" width="8" style="643" customWidth="1"/>
    <col min="7211" max="7211" width="9.140625" style="643" customWidth="1"/>
    <col min="7212" max="7217" width="8" style="643" customWidth="1"/>
    <col min="7218" max="7218" width="9.42578125" style="643" customWidth="1"/>
    <col min="7219" max="7219" width="8.28515625" style="643" customWidth="1"/>
    <col min="7220" max="7220" width="8" style="643" customWidth="1"/>
    <col min="7221" max="7221" width="8.5703125" style="643" customWidth="1"/>
    <col min="7222" max="7222" width="8" style="643" customWidth="1"/>
    <col min="7223" max="7223" width="9.140625" style="643" customWidth="1"/>
    <col min="7224" max="7226" width="8" style="643" customWidth="1"/>
    <col min="7227" max="7403" width="9.140625" style="643"/>
    <col min="7404" max="7404" width="38" style="643" customWidth="1"/>
    <col min="7405" max="7405" width="18.7109375" style="643" customWidth="1"/>
    <col min="7406" max="7406" width="8" style="643" customWidth="1"/>
    <col min="7407" max="7407" width="9.140625" style="643" customWidth="1"/>
    <col min="7408" max="7408" width="6.42578125" style="643" customWidth="1"/>
    <col min="7409" max="7413" width="8" style="643" customWidth="1"/>
    <col min="7414" max="7414" width="9.42578125" style="643" customWidth="1"/>
    <col min="7415" max="7415" width="8.28515625" style="643" customWidth="1"/>
    <col min="7416" max="7416" width="8" style="643" customWidth="1"/>
    <col min="7417" max="7417" width="8.5703125" style="643" customWidth="1"/>
    <col min="7418" max="7418" width="8" style="643" customWidth="1"/>
    <col min="7419" max="7419" width="9.140625" style="643" customWidth="1"/>
    <col min="7420" max="7425" width="8" style="643" customWidth="1"/>
    <col min="7426" max="7426" width="9.42578125" style="643" customWidth="1"/>
    <col min="7427" max="7427" width="8.28515625" style="643" customWidth="1"/>
    <col min="7428" max="7428" width="8" style="643" customWidth="1"/>
    <col min="7429" max="7429" width="8.5703125" style="643" customWidth="1"/>
    <col min="7430" max="7430" width="8" style="643" customWidth="1"/>
    <col min="7431" max="7431" width="9.140625" style="643" customWidth="1"/>
    <col min="7432" max="7437" width="8" style="643" customWidth="1"/>
    <col min="7438" max="7438" width="9.42578125" style="643" customWidth="1"/>
    <col min="7439" max="7439" width="8.28515625" style="643" customWidth="1"/>
    <col min="7440" max="7440" width="8" style="643" customWidth="1"/>
    <col min="7441" max="7441" width="8.5703125" style="643" customWidth="1"/>
    <col min="7442" max="7442" width="8" style="643" customWidth="1"/>
    <col min="7443" max="7443" width="9.140625" style="643" customWidth="1"/>
    <col min="7444" max="7449" width="8" style="643" customWidth="1"/>
    <col min="7450" max="7450" width="9.42578125" style="643" customWidth="1"/>
    <col min="7451" max="7451" width="8.28515625" style="643" customWidth="1"/>
    <col min="7452" max="7452" width="8" style="643" customWidth="1"/>
    <col min="7453" max="7453" width="8.5703125" style="643" customWidth="1"/>
    <col min="7454" max="7454" width="8" style="643" customWidth="1"/>
    <col min="7455" max="7455" width="9.140625" style="643" customWidth="1"/>
    <col min="7456" max="7461" width="8" style="643" customWidth="1"/>
    <col min="7462" max="7462" width="9.42578125" style="643" customWidth="1"/>
    <col min="7463" max="7463" width="8.28515625" style="643" customWidth="1"/>
    <col min="7464" max="7464" width="8" style="643" customWidth="1"/>
    <col min="7465" max="7465" width="8.5703125" style="643" customWidth="1"/>
    <col min="7466" max="7466" width="8" style="643" customWidth="1"/>
    <col min="7467" max="7467" width="9.140625" style="643" customWidth="1"/>
    <col min="7468" max="7473" width="8" style="643" customWidth="1"/>
    <col min="7474" max="7474" width="9.42578125" style="643" customWidth="1"/>
    <col min="7475" max="7475" width="8.28515625" style="643" customWidth="1"/>
    <col min="7476" max="7476" width="8" style="643" customWidth="1"/>
    <col min="7477" max="7477" width="8.5703125" style="643" customWidth="1"/>
    <col min="7478" max="7478" width="8" style="643" customWidth="1"/>
    <col min="7479" max="7479" width="9.140625" style="643" customWidth="1"/>
    <col min="7480" max="7482" width="8" style="643" customWidth="1"/>
    <col min="7483" max="7659" width="9.140625" style="643"/>
    <col min="7660" max="7660" width="38" style="643" customWidth="1"/>
    <col min="7661" max="7661" width="18.7109375" style="643" customWidth="1"/>
    <col min="7662" max="7662" width="8" style="643" customWidth="1"/>
    <col min="7663" max="7663" width="9.140625" style="643" customWidth="1"/>
    <col min="7664" max="7664" width="6.42578125" style="643" customWidth="1"/>
    <col min="7665" max="7669" width="8" style="643" customWidth="1"/>
    <col min="7670" max="7670" width="9.42578125" style="643" customWidth="1"/>
    <col min="7671" max="7671" width="8.28515625" style="643" customWidth="1"/>
    <col min="7672" max="7672" width="8" style="643" customWidth="1"/>
    <col min="7673" max="7673" width="8.5703125" style="643" customWidth="1"/>
    <col min="7674" max="7674" width="8" style="643" customWidth="1"/>
    <col min="7675" max="7675" width="9.140625" style="643" customWidth="1"/>
    <col min="7676" max="7681" width="8" style="643" customWidth="1"/>
    <col min="7682" max="7682" width="9.42578125" style="643" customWidth="1"/>
    <col min="7683" max="7683" width="8.28515625" style="643" customWidth="1"/>
    <col min="7684" max="7684" width="8" style="643" customWidth="1"/>
    <col min="7685" max="7685" width="8.5703125" style="643" customWidth="1"/>
    <col min="7686" max="7686" width="8" style="643" customWidth="1"/>
    <col min="7687" max="7687" width="9.140625" style="643" customWidth="1"/>
    <col min="7688" max="7693" width="8" style="643" customWidth="1"/>
    <col min="7694" max="7694" width="9.42578125" style="643" customWidth="1"/>
    <col min="7695" max="7695" width="8.28515625" style="643" customWidth="1"/>
    <col min="7696" max="7696" width="8" style="643" customWidth="1"/>
    <col min="7697" max="7697" width="8.5703125" style="643" customWidth="1"/>
    <col min="7698" max="7698" width="8" style="643" customWidth="1"/>
    <col min="7699" max="7699" width="9.140625" style="643" customWidth="1"/>
    <col min="7700" max="7705" width="8" style="643" customWidth="1"/>
    <col min="7706" max="7706" width="9.42578125" style="643" customWidth="1"/>
    <col min="7707" max="7707" width="8.28515625" style="643" customWidth="1"/>
    <col min="7708" max="7708" width="8" style="643" customWidth="1"/>
    <col min="7709" max="7709" width="8.5703125" style="643" customWidth="1"/>
    <col min="7710" max="7710" width="8" style="643" customWidth="1"/>
    <col min="7711" max="7711" width="9.140625" style="643" customWidth="1"/>
    <col min="7712" max="7717" width="8" style="643" customWidth="1"/>
    <col min="7718" max="7718" width="9.42578125" style="643" customWidth="1"/>
    <col min="7719" max="7719" width="8.28515625" style="643" customWidth="1"/>
    <col min="7720" max="7720" width="8" style="643" customWidth="1"/>
    <col min="7721" max="7721" width="8.5703125" style="643" customWidth="1"/>
    <col min="7722" max="7722" width="8" style="643" customWidth="1"/>
    <col min="7723" max="7723" width="9.140625" style="643" customWidth="1"/>
    <col min="7724" max="7729" width="8" style="643" customWidth="1"/>
    <col min="7730" max="7730" width="9.42578125" style="643" customWidth="1"/>
    <col min="7731" max="7731" width="8.28515625" style="643" customWidth="1"/>
    <col min="7732" max="7732" width="8" style="643" customWidth="1"/>
    <col min="7733" max="7733" width="8.5703125" style="643" customWidth="1"/>
    <col min="7734" max="7734" width="8" style="643" customWidth="1"/>
    <col min="7735" max="7735" width="9.140625" style="643" customWidth="1"/>
    <col min="7736" max="7738" width="8" style="643" customWidth="1"/>
    <col min="7739" max="7915" width="9.140625" style="643"/>
    <col min="7916" max="7916" width="38" style="643" customWidth="1"/>
    <col min="7917" max="7917" width="18.7109375" style="643" customWidth="1"/>
    <col min="7918" max="7918" width="8" style="643" customWidth="1"/>
    <col min="7919" max="7919" width="9.140625" style="643" customWidth="1"/>
    <col min="7920" max="7920" width="6.42578125" style="643" customWidth="1"/>
    <col min="7921" max="7925" width="8" style="643" customWidth="1"/>
    <col min="7926" max="7926" width="9.42578125" style="643" customWidth="1"/>
    <col min="7927" max="7927" width="8.28515625" style="643" customWidth="1"/>
    <col min="7928" max="7928" width="8" style="643" customWidth="1"/>
    <col min="7929" max="7929" width="8.5703125" style="643" customWidth="1"/>
    <col min="7930" max="7930" width="8" style="643" customWidth="1"/>
    <col min="7931" max="7931" width="9.140625" style="643" customWidth="1"/>
    <col min="7932" max="7937" width="8" style="643" customWidth="1"/>
    <col min="7938" max="7938" width="9.42578125" style="643" customWidth="1"/>
    <col min="7939" max="7939" width="8.28515625" style="643" customWidth="1"/>
    <col min="7940" max="7940" width="8" style="643" customWidth="1"/>
    <col min="7941" max="7941" width="8.5703125" style="643" customWidth="1"/>
    <col min="7942" max="7942" width="8" style="643" customWidth="1"/>
    <col min="7943" max="7943" width="9.140625" style="643" customWidth="1"/>
    <col min="7944" max="7949" width="8" style="643" customWidth="1"/>
    <col min="7950" max="7950" width="9.42578125" style="643" customWidth="1"/>
    <col min="7951" max="7951" width="8.28515625" style="643" customWidth="1"/>
    <col min="7952" max="7952" width="8" style="643" customWidth="1"/>
    <col min="7953" max="7953" width="8.5703125" style="643" customWidth="1"/>
    <col min="7954" max="7954" width="8" style="643" customWidth="1"/>
    <col min="7955" max="7955" width="9.140625" style="643" customWidth="1"/>
    <col min="7956" max="7961" width="8" style="643" customWidth="1"/>
    <col min="7962" max="7962" width="9.42578125" style="643" customWidth="1"/>
    <col min="7963" max="7963" width="8.28515625" style="643" customWidth="1"/>
    <col min="7964" max="7964" width="8" style="643" customWidth="1"/>
    <col min="7965" max="7965" width="8.5703125" style="643" customWidth="1"/>
    <col min="7966" max="7966" width="8" style="643" customWidth="1"/>
    <col min="7967" max="7967" width="9.140625" style="643" customWidth="1"/>
    <col min="7968" max="7973" width="8" style="643" customWidth="1"/>
    <col min="7974" max="7974" width="9.42578125" style="643" customWidth="1"/>
    <col min="7975" max="7975" width="8.28515625" style="643" customWidth="1"/>
    <col min="7976" max="7976" width="8" style="643" customWidth="1"/>
    <col min="7977" max="7977" width="8.5703125" style="643" customWidth="1"/>
    <col min="7978" max="7978" width="8" style="643" customWidth="1"/>
    <col min="7979" max="7979" width="9.140625" style="643" customWidth="1"/>
    <col min="7980" max="7985" width="8" style="643" customWidth="1"/>
    <col min="7986" max="7986" width="9.42578125" style="643" customWidth="1"/>
    <col min="7987" max="7987" width="8.28515625" style="643" customWidth="1"/>
    <col min="7988" max="7988" width="8" style="643" customWidth="1"/>
    <col min="7989" max="7989" width="8.5703125" style="643" customWidth="1"/>
    <col min="7990" max="7990" width="8" style="643" customWidth="1"/>
    <col min="7991" max="7991" width="9.140625" style="643" customWidth="1"/>
    <col min="7992" max="7994" width="8" style="643" customWidth="1"/>
    <col min="7995" max="8171" width="9.140625" style="643"/>
    <col min="8172" max="8172" width="38" style="643" customWidth="1"/>
    <col min="8173" max="8173" width="18.7109375" style="643" customWidth="1"/>
    <col min="8174" max="8174" width="8" style="643" customWidth="1"/>
    <col min="8175" max="8175" width="9.140625" style="643" customWidth="1"/>
    <col min="8176" max="8176" width="6.42578125" style="643" customWidth="1"/>
    <col min="8177" max="8181" width="8" style="643" customWidth="1"/>
    <col min="8182" max="8182" width="9.42578125" style="643" customWidth="1"/>
    <col min="8183" max="8183" width="8.28515625" style="643" customWidth="1"/>
    <col min="8184" max="8184" width="8" style="643" customWidth="1"/>
    <col min="8185" max="8185" width="8.5703125" style="643" customWidth="1"/>
    <col min="8186" max="8186" width="8" style="643" customWidth="1"/>
    <col min="8187" max="8187" width="9.140625" style="643" customWidth="1"/>
    <col min="8188" max="8193" width="8" style="643" customWidth="1"/>
    <col min="8194" max="8194" width="9.42578125" style="643" customWidth="1"/>
    <col min="8195" max="8195" width="8.28515625" style="643" customWidth="1"/>
    <col min="8196" max="8196" width="8" style="643" customWidth="1"/>
    <col min="8197" max="8197" width="8.5703125" style="643" customWidth="1"/>
    <col min="8198" max="8198" width="8" style="643" customWidth="1"/>
    <col min="8199" max="8199" width="9.140625" style="643" customWidth="1"/>
    <col min="8200" max="8205" width="8" style="643" customWidth="1"/>
    <col min="8206" max="8206" width="9.42578125" style="643" customWidth="1"/>
    <col min="8207" max="8207" width="8.28515625" style="643" customWidth="1"/>
    <col min="8208" max="8208" width="8" style="643" customWidth="1"/>
    <col min="8209" max="8209" width="8.5703125" style="643" customWidth="1"/>
    <col min="8210" max="8210" width="8" style="643" customWidth="1"/>
    <col min="8211" max="8211" width="9.140625" style="643" customWidth="1"/>
    <col min="8212" max="8217" width="8" style="643" customWidth="1"/>
    <col min="8218" max="8218" width="9.42578125" style="643" customWidth="1"/>
    <col min="8219" max="8219" width="8.28515625" style="643" customWidth="1"/>
    <col min="8220" max="8220" width="8" style="643" customWidth="1"/>
    <col min="8221" max="8221" width="8.5703125" style="643" customWidth="1"/>
    <col min="8222" max="8222" width="8" style="643" customWidth="1"/>
    <col min="8223" max="8223" width="9.140625" style="643" customWidth="1"/>
    <col min="8224" max="8229" width="8" style="643" customWidth="1"/>
    <col min="8230" max="8230" width="9.42578125" style="643" customWidth="1"/>
    <col min="8231" max="8231" width="8.28515625" style="643" customWidth="1"/>
    <col min="8232" max="8232" width="8" style="643" customWidth="1"/>
    <col min="8233" max="8233" width="8.5703125" style="643" customWidth="1"/>
    <col min="8234" max="8234" width="8" style="643" customWidth="1"/>
    <col min="8235" max="8235" width="9.140625" style="643" customWidth="1"/>
    <col min="8236" max="8241" width="8" style="643" customWidth="1"/>
    <col min="8242" max="8242" width="9.42578125" style="643" customWidth="1"/>
    <col min="8243" max="8243" width="8.28515625" style="643" customWidth="1"/>
    <col min="8244" max="8244" width="8" style="643" customWidth="1"/>
    <col min="8245" max="8245" width="8.5703125" style="643" customWidth="1"/>
    <col min="8246" max="8246" width="8" style="643" customWidth="1"/>
    <col min="8247" max="8247" width="9.140625" style="643" customWidth="1"/>
    <col min="8248" max="8250" width="8" style="643" customWidth="1"/>
    <col min="8251" max="8427" width="9.140625" style="643"/>
    <col min="8428" max="8428" width="38" style="643" customWidth="1"/>
    <col min="8429" max="8429" width="18.7109375" style="643" customWidth="1"/>
    <col min="8430" max="8430" width="8" style="643" customWidth="1"/>
    <col min="8431" max="8431" width="9.140625" style="643" customWidth="1"/>
    <col min="8432" max="8432" width="6.42578125" style="643" customWidth="1"/>
    <col min="8433" max="8437" width="8" style="643" customWidth="1"/>
    <col min="8438" max="8438" width="9.42578125" style="643" customWidth="1"/>
    <col min="8439" max="8439" width="8.28515625" style="643" customWidth="1"/>
    <col min="8440" max="8440" width="8" style="643" customWidth="1"/>
    <col min="8441" max="8441" width="8.5703125" style="643" customWidth="1"/>
    <col min="8442" max="8442" width="8" style="643" customWidth="1"/>
    <col min="8443" max="8443" width="9.140625" style="643" customWidth="1"/>
    <col min="8444" max="8449" width="8" style="643" customWidth="1"/>
    <col min="8450" max="8450" width="9.42578125" style="643" customWidth="1"/>
    <col min="8451" max="8451" width="8.28515625" style="643" customWidth="1"/>
    <col min="8452" max="8452" width="8" style="643" customWidth="1"/>
    <col min="8453" max="8453" width="8.5703125" style="643" customWidth="1"/>
    <col min="8454" max="8454" width="8" style="643" customWidth="1"/>
    <col min="8455" max="8455" width="9.140625" style="643" customWidth="1"/>
    <col min="8456" max="8461" width="8" style="643" customWidth="1"/>
    <col min="8462" max="8462" width="9.42578125" style="643" customWidth="1"/>
    <col min="8463" max="8463" width="8.28515625" style="643" customWidth="1"/>
    <col min="8464" max="8464" width="8" style="643" customWidth="1"/>
    <col min="8465" max="8465" width="8.5703125" style="643" customWidth="1"/>
    <col min="8466" max="8466" width="8" style="643" customWidth="1"/>
    <col min="8467" max="8467" width="9.140625" style="643" customWidth="1"/>
    <col min="8468" max="8473" width="8" style="643" customWidth="1"/>
    <col min="8474" max="8474" width="9.42578125" style="643" customWidth="1"/>
    <col min="8475" max="8475" width="8.28515625" style="643" customWidth="1"/>
    <col min="8476" max="8476" width="8" style="643" customWidth="1"/>
    <col min="8477" max="8477" width="8.5703125" style="643" customWidth="1"/>
    <col min="8478" max="8478" width="8" style="643" customWidth="1"/>
    <col min="8479" max="8479" width="9.140625" style="643" customWidth="1"/>
    <col min="8480" max="8485" width="8" style="643" customWidth="1"/>
    <col min="8486" max="8486" width="9.42578125" style="643" customWidth="1"/>
    <col min="8487" max="8487" width="8.28515625" style="643" customWidth="1"/>
    <col min="8488" max="8488" width="8" style="643" customWidth="1"/>
    <col min="8489" max="8489" width="8.5703125" style="643" customWidth="1"/>
    <col min="8490" max="8490" width="8" style="643" customWidth="1"/>
    <col min="8491" max="8491" width="9.140625" style="643" customWidth="1"/>
    <col min="8492" max="8497" width="8" style="643" customWidth="1"/>
    <col min="8498" max="8498" width="9.42578125" style="643" customWidth="1"/>
    <col min="8499" max="8499" width="8.28515625" style="643" customWidth="1"/>
    <col min="8500" max="8500" width="8" style="643" customWidth="1"/>
    <col min="8501" max="8501" width="8.5703125" style="643" customWidth="1"/>
    <col min="8502" max="8502" width="8" style="643" customWidth="1"/>
    <col min="8503" max="8503" width="9.140625" style="643" customWidth="1"/>
    <col min="8504" max="8506" width="8" style="643" customWidth="1"/>
    <col min="8507" max="8683" width="9.140625" style="643"/>
    <col min="8684" max="8684" width="38" style="643" customWidth="1"/>
    <col min="8685" max="8685" width="18.7109375" style="643" customWidth="1"/>
    <col min="8686" max="8686" width="8" style="643" customWidth="1"/>
    <col min="8687" max="8687" width="9.140625" style="643" customWidth="1"/>
    <col min="8688" max="8688" width="6.42578125" style="643" customWidth="1"/>
    <col min="8689" max="8693" width="8" style="643" customWidth="1"/>
    <col min="8694" max="8694" width="9.42578125" style="643" customWidth="1"/>
    <col min="8695" max="8695" width="8.28515625" style="643" customWidth="1"/>
    <col min="8696" max="8696" width="8" style="643" customWidth="1"/>
    <col min="8697" max="8697" width="8.5703125" style="643" customWidth="1"/>
    <col min="8698" max="8698" width="8" style="643" customWidth="1"/>
    <col min="8699" max="8699" width="9.140625" style="643" customWidth="1"/>
    <col min="8700" max="8705" width="8" style="643" customWidth="1"/>
    <col min="8706" max="8706" width="9.42578125" style="643" customWidth="1"/>
    <col min="8707" max="8707" width="8.28515625" style="643" customWidth="1"/>
    <col min="8708" max="8708" width="8" style="643" customWidth="1"/>
    <col min="8709" max="8709" width="8.5703125" style="643" customWidth="1"/>
    <col min="8710" max="8710" width="8" style="643" customWidth="1"/>
    <col min="8711" max="8711" width="9.140625" style="643" customWidth="1"/>
    <col min="8712" max="8717" width="8" style="643" customWidth="1"/>
    <col min="8718" max="8718" width="9.42578125" style="643" customWidth="1"/>
    <col min="8719" max="8719" width="8.28515625" style="643" customWidth="1"/>
    <col min="8720" max="8720" width="8" style="643" customWidth="1"/>
    <col min="8721" max="8721" width="8.5703125" style="643" customWidth="1"/>
    <col min="8722" max="8722" width="8" style="643" customWidth="1"/>
    <col min="8723" max="8723" width="9.140625" style="643" customWidth="1"/>
    <col min="8724" max="8729" width="8" style="643" customWidth="1"/>
    <col min="8730" max="8730" width="9.42578125" style="643" customWidth="1"/>
    <col min="8731" max="8731" width="8.28515625" style="643" customWidth="1"/>
    <col min="8732" max="8732" width="8" style="643" customWidth="1"/>
    <col min="8733" max="8733" width="8.5703125" style="643" customWidth="1"/>
    <col min="8734" max="8734" width="8" style="643" customWidth="1"/>
    <col min="8735" max="8735" width="9.140625" style="643" customWidth="1"/>
    <col min="8736" max="8741" width="8" style="643" customWidth="1"/>
    <col min="8742" max="8742" width="9.42578125" style="643" customWidth="1"/>
    <col min="8743" max="8743" width="8.28515625" style="643" customWidth="1"/>
    <col min="8744" max="8744" width="8" style="643" customWidth="1"/>
    <col min="8745" max="8745" width="8.5703125" style="643" customWidth="1"/>
    <col min="8746" max="8746" width="8" style="643" customWidth="1"/>
    <col min="8747" max="8747" width="9.140625" style="643" customWidth="1"/>
    <col min="8748" max="8753" width="8" style="643" customWidth="1"/>
    <col min="8754" max="8754" width="9.42578125" style="643" customWidth="1"/>
    <col min="8755" max="8755" width="8.28515625" style="643" customWidth="1"/>
    <col min="8756" max="8756" width="8" style="643" customWidth="1"/>
    <col min="8757" max="8757" width="8.5703125" style="643" customWidth="1"/>
    <col min="8758" max="8758" width="8" style="643" customWidth="1"/>
    <col min="8759" max="8759" width="9.140625" style="643" customWidth="1"/>
    <col min="8760" max="8762" width="8" style="643" customWidth="1"/>
    <col min="8763" max="8939" width="9.140625" style="643"/>
    <col min="8940" max="8940" width="38" style="643" customWidth="1"/>
    <col min="8941" max="8941" width="18.7109375" style="643" customWidth="1"/>
    <col min="8942" max="8942" width="8" style="643" customWidth="1"/>
    <col min="8943" max="8943" width="9.140625" style="643" customWidth="1"/>
    <col min="8944" max="8944" width="6.42578125" style="643" customWidth="1"/>
    <col min="8945" max="8949" width="8" style="643" customWidth="1"/>
    <col min="8950" max="8950" width="9.42578125" style="643" customWidth="1"/>
    <col min="8951" max="8951" width="8.28515625" style="643" customWidth="1"/>
    <col min="8952" max="8952" width="8" style="643" customWidth="1"/>
    <col min="8953" max="8953" width="8.5703125" style="643" customWidth="1"/>
    <col min="8954" max="8954" width="8" style="643" customWidth="1"/>
    <col min="8955" max="8955" width="9.140625" style="643" customWidth="1"/>
    <col min="8956" max="8961" width="8" style="643" customWidth="1"/>
    <col min="8962" max="8962" width="9.42578125" style="643" customWidth="1"/>
    <col min="8963" max="8963" width="8.28515625" style="643" customWidth="1"/>
    <col min="8964" max="8964" width="8" style="643" customWidth="1"/>
    <col min="8965" max="8965" width="8.5703125" style="643" customWidth="1"/>
    <col min="8966" max="8966" width="8" style="643" customWidth="1"/>
    <col min="8967" max="8967" width="9.140625" style="643" customWidth="1"/>
    <col min="8968" max="8973" width="8" style="643" customWidth="1"/>
    <col min="8974" max="8974" width="9.42578125" style="643" customWidth="1"/>
    <col min="8975" max="8975" width="8.28515625" style="643" customWidth="1"/>
    <col min="8976" max="8976" width="8" style="643" customWidth="1"/>
    <col min="8977" max="8977" width="8.5703125" style="643" customWidth="1"/>
    <col min="8978" max="8978" width="8" style="643" customWidth="1"/>
    <col min="8979" max="8979" width="9.140625" style="643" customWidth="1"/>
    <col min="8980" max="8985" width="8" style="643" customWidth="1"/>
    <col min="8986" max="8986" width="9.42578125" style="643" customWidth="1"/>
    <col min="8987" max="8987" width="8.28515625" style="643" customWidth="1"/>
    <col min="8988" max="8988" width="8" style="643" customWidth="1"/>
    <col min="8989" max="8989" width="8.5703125" style="643" customWidth="1"/>
    <col min="8990" max="8990" width="8" style="643" customWidth="1"/>
    <col min="8991" max="8991" width="9.140625" style="643" customWidth="1"/>
    <col min="8992" max="8997" width="8" style="643" customWidth="1"/>
    <col min="8998" max="8998" width="9.42578125" style="643" customWidth="1"/>
    <col min="8999" max="8999" width="8.28515625" style="643" customWidth="1"/>
    <col min="9000" max="9000" width="8" style="643" customWidth="1"/>
    <col min="9001" max="9001" width="8.5703125" style="643" customWidth="1"/>
    <col min="9002" max="9002" width="8" style="643" customWidth="1"/>
    <col min="9003" max="9003" width="9.140625" style="643" customWidth="1"/>
    <col min="9004" max="9009" width="8" style="643" customWidth="1"/>
    <col min="9010" max="9010" width="9.42578125" style="643" customWidth="1"/>
    <col min="9011" max="9011" width="8.28515625" style="643" customWidth="1"/>
    <col min="9012" max="9012" width="8" style="643" customWidth="1"/>
    <col min="9013" max="9013" width="8.5703125" style="643" customWidth="1"/>
    <col min="9014" max="9014" width="8" style="643" customWidth="1"/>
    <col min="9015" max="9015" width="9.140625" style="643" customWidth="1"/>
    <col min="9016" max="9018" width="8" style="643" customWidth="1"/>
    <col min="9019" max="9195" width="9.140625" style="643"/>
    <col min="9196" max="9196" width="38" style="643" customWidth="1"/>
    <col min="9197" max="9197" width="18.7109375" style="643" customWidth="1"/>
    <col min="9198" max="9198" width="8" style="643" customWidth="1"/>
    <col min="9199" max="9199" width="9.140625" style="643" customWidth="1"/>
    <col min="9200" max="9200" width="6.42578125" style="643" customWidth="1"/>
    <col min="9201" max="9205" width="8" style="643" customWidth="1"/>
    <col min="9206" max="9206" width="9.42578125" style="643" customWidth="1"/>
    <col min="9207" max="9207" width="8.28515625" style="643" customWidth="1"/>
    <col min="9208" max="9208" width="8" style="643" customWidth="1"/>
    <col min="9209" max="9209" width="8.5703125" style="643" customWidth="1"/>
    <col min="9210" max="9210" width="8" style="643" customWidth="1"/>
    <col min="9211" max="9211" width="9.140625" style="643" customWidth="1"/>
    <col min="9212" max="9217" width="8" style="643" customWidth="1"/>
    <col min="9218" max="9218" width="9.42578125" style="643" customWidth="1"/>
    <col min="9219" max="9219" width="8.28515625" style="643" customWidth="1"/>
    <col min="9220" max="9220" width="8" style="643" customWidth="1"/>
    <col min="9221" max="9221" width="8.5703125" style="643" customWidth="1"/>
    <col min="9222" max="9222" width="8" style="643" customWidth="1"/>
    <col min="9223" max="9223" width="9.140625" style="643" customWidth="1"/>
    <col min="9224" max="9229" width="8" style="643" customWidth="1"/>
    <col min="9230" max="9230" width="9.42578125" style="643" customWidth="1"/>
    <col min="9231" max="9231" width="8.28515625" style="643" customWidth="1"/>
    <col min="9232" max="9232" width="8" style="643" customWidth="1"/>
    <col min="9233" max="9233" width="8.5703125" style="643" customWidth="1"/>
    <col min="9234" max="9234" width="8" style="643" customWidth="1"/>
    <col min="9235" max="9235" width="9.140625" style="643" customWidth="1"/>
    <col min="9236" max="9241" width="8" style="643" customWidth="1"/>
    <col min="9242" max="9242" width="9.42578125" style="643" customWidth="1"/>
    <col min="9243" max="9243" width="8.28515625" style="643" customWidth="1"/>
    <col min="9244" max="9244" width="8" style="643" customWidth="1"/>
    <col min="9245" max="9245" width="8.5703125" style="643" customWidth="1"/>
    <col min="9246" max="9246" width="8" style="643" customWidth="1"/>
    <col min="9247" max="9247" width="9.140625" style="643" customWidth="1"/>
    <col min="9248" max="9253" width="8" style="643" customWidth="1"/>
    <col min="9254" max="9254" width="9.42578125" style="643" customWidth="1"/>
    <col min="9255" max="9255" width="8.28515625" style="643" customWidth="1"/>
    <col min="9256" max="9256" width="8" style="643" customWidth="1"/>
    <col min="9257" max="9257" width="8.5703125" style="643" customWidth="1"/>
    <col min="9258" max="9258" width="8" style="643" customWidth="1"/>
    <col min="9259" max="9259" width="9.140625" style="643" customWidth="1"/>
    <col min="9260" max="9265" width="8" style="643" customWidth="1"/>
    <col min="9266" max="9266" width="9.42578125" style="643" customWidth="1"/>
    <col min="9267" max="9267" width="8.28515625" style="643" customWidth="1"/>
    <col min="9268" max="9268" width="8" style="643" customWidth="1"/>
    <col min="9269" max="9269" width="8.5703125" style="643" customWidth="1"/>
    <col min="9270" max="9270" width="8" style="643" customWidth="1"/>
    <col min="9271" max="9271" width="9.140625" style="643" customWidth="1"/>
    <col min="9272" max="9274" width="8" style="643" customWidth="1"/>
    <col min="9275" max="9451" width="9.140625" style="643"/>
    <col min="9452" max="9452" width="38" style="643" customWidth="1"/>
    <col min="9453" max="9453" width="18.7109375" style="643" customWidth="1"/>
    <col min="9454" max="9454" width="8" style="643" customWidth="1"/>
    <col min="9455" max="9455" width="9.140625" style="643" customWidth="1"/>
    <col min="9456" max="9456" width="6.42578125" style="643" customWidth="1"/>
    <col min="9457" max="9461" width="8" style="643" customWidth="1"/>
    <col min="9462" max="9462" width="9.42578125" style="643" customWidth="1"/>
    <col min="9463" max="9463" width="8.28515625" style="643" customWidth="1"/>
    <col min="9464" max="9464" width="8" style="643" customWidth="1"/>
    <col min="9465" max="9465" width="8.5703125" style="643" customWidth="1"/>
    <col min="9466" max="9466" width="8" style="643" customWidth="1"/>
    <col min="9467" max="9467" width="9.140625" style="643" customWidth="1"/>
    <col min="9468" max="9473" width="8" style="643" customWidth="1"/>
    <col min="9474" max="9474" width="9.42578125" style="643" customWidth="1"/>
    <col min="9475" max="9475" width="8.28515625" style="643" customWidth="1"/>
    <col min="9476" max="9476" width="8" style="643" customWidth="1"/>
    <col min="9477" max="9477" width="8.5703125" style="643" customWidth="1"/>
    <col min="9478" max="9478" width="8" style="643" customWidth="1"/>
    <col min="9479" max="9479" width="9.140625" style="643" customWidth="1"/>
    <col min="9480" max="9485" width="8" style="643" customWidth="1"/>
    <col min="9486" max="9486" width="9.42578125" style="643" customWidth="1"/>
    <col min="9487" max="9487" width="8.28515625" style="643" customWidth="1"/>
    <col min="9488" max="9488" width="8" style="643" customWidth="1"/>
    <col min="9489" max="9489" width="8.5703125" style="643" customWidth="1"/>
    <col min="9490" max="9490" width="8" style="643" customWidth="1"/>
    <col min="9491" max="9491" width="9.140625" style="643" customWidth="1"/>
    <col min="9492" max="9497" width="8" style="643" customWidth="1"/>
    <col min="9498" max="9498" width="9.42578125" style="643" customWidth="1"/>
    <col min="9499" max="9499" width="8.28515625" style="643" customWidth="1"/>
    <col min="9500" max="9500" width="8" style="643" customWidth="1"/>
    <col min="9501" max="9501" width="8.5703125" style="643" customWidth="1"/>
    <col min="9502" max="9502" width="8" style="643" customWidth="1"/>
    <col min="9503" max="9503" width="9.140625" style="643" customWidth="1"/>
    <col min="9504" max="9509" width="8" style="643" customWidth="1"/>
    <col min="9510" max="9510" width="9.42578125" style="643" customWidth="1"/>
    <col min="9511" max="9511" width="8.28515625" style="643" customWidth="1"/>
    <col min="9512" max="9512" width="8" style="643" customWidth="1"/>
    <col min="9513" max="9513" width="8.5703125" style="643" customWidth="1"/>
    <col min="9514" max="9514" width="8" style="643" customWidth="1"/>
    <col min="9515" max="9515" width="9.140625" style="643" customWidth="1"/>
    <col min="9516" max="9521" width="8" style="643" customWidth="1"/>
    <col min="9522" max="9522" width="9.42578125" style="643" customWidth="1"/>
    <col min="9523" max="9523" width="8.28515625" style="643" customWidth="1"/>
    <col min="9524" max="9524" width="8" style="643" customWidth="1"/>
    <col min="9525" max="9525" width="8.5703125" style="643" customWidth="1"/>
    <col min="9526" max="9526" width="8" style="643" customWidth="1"/>
    <col min="9527" max="9527" width="9.140625" style="643" customWidth="1"/>
    <col min="9528" max="9530" width="8" style="643" customWidth="1"/>
    <col min="9531" max="9707" width="9.140625" style="643"/>
    <col min="9708" max="9708" width="38" style="643" customWidth="1"/>
    <col min="9709" max="9709" width="18.7109375" style="643" customWidth="1"/>
    <col min="9710" max="9710" width="8" style="643" customWidth="1"/>
    <col min="9711" max="9711" width="9.140625" style="643" customWidth="1"/>
    <col min="9712" max="9712" width="6.42578125" style="643" customWidth="1"/>
    <col min="9713" max="9717" width="8" style="643" customWidth="1"/>
    <col min="9718" max="9718" width="9.42578125" style="643" customWidth="1"/>
    <col min="9719" max="9719" width="8.28515625" style="643" customWidth="1"/>
    <col min="9720" max="9720" width="8" style="643" customWidth="1"/>
    <col min="9721" max="9721" width="8.5703125" style="643" customWidth="1"/>
    <col min="9722" max="9722" width="8" style="643" customWidth="1"/>
    <col min="9723" max="9723" width="9.140625" style="643" customWidth="1"/>
    <col min="9724" max="9729" width="8" style="643" customWidth="1"/>
    <col min="9730" max="9730" width="9.42578125" style="643" customWidth="1"/>
    <col min="9731" max="9731" width="8.28515625" style="643" customWidth="1"/>
    <col min="9732" max="9732" width="8" style="643" customWidth="1"/>
    <col min="9733" max="9733" width="8.5703125" style="643" customWidth="1"/>
    <col min="9734" max="9734" width="8" style="643" customWidth="1"/>
    <col min="9735" max="9735" width="9.140625" style="643" customWidth="1"/>
    <col min="9736" max="9741" width="8" style="643" customWidth="1"/>
    <col min="9742" max="9742" width="9.42578125" style="643" customWidth="1"/>
    <col min="9743" max="9743" width="8.28515625" style="643" customWidth="1"/>
    <col min="9744" max="9744" width="8" style="643" customWidth="1"/>
    <col min="9745" max="9745" width="8.5703125" style="643" customWidth="1"/>
    <col min="9746" max="9746" width="8" style="643" customWidth="1"/>
    <col min="9747" max="9747" width="9.140625" style="643" customWidth="1"/>
    <col min="9748" max="9753" width="8" style="643" customWidth="1"/>
    <col min="9754" max="9754" width="9.42578125" style="643" customWidth="1"/>
    <col min="9755" max="9755" width="8.28515625" style="643" customWidth="1"/>
    <col min="9756" max="9756" width="8" style="643" customWidth="1"/>
    <col min="9757" max="9757" width="8.5703125" style="643" customWidth="1"/>
    <col min="9758" max="9758" width="8" style="643" customWidth="1"/>
    <col min="9759" max="9759" width="9.140625" style="643" customWidth="1"/>
    <col min="9760" max="9765" width="8" style="643" customWidth="1"/>
    <col min="9766" max="9766" width="9.42578125" style="643" customWidth="1"/>
    <col min="9767" max="9767" width="8.28515625" style="643" customWidth="1"/>
    <col min="9768" max="9768" width="8" style="643" customWidth="1"/>
    <col min="9769" max="9769" width="8.5703125" style="643" customWidth="1"/>
    <col min="9770" max="9770" width="8" style="643" customWidth="1"/>
    <col min="9771" max="9771" width="9.140625" style="643" customWidth="1"/>
    <col min="9772" max="9777" width="8" style="643" customWidth="1"/>
    <col min="9778" max="9778" width="9.42578125" style="643" customWidth="1"/>
    <col min="9779" max="9779" width="8.28515625" style="643" customWidth="1"/>
    <col min="9780" max="9780" width="8" style="643" customWidth="1"/>
    <col min="9781" max="9781" width="8.5703125" style="643" customWidth="1"/>
    <col min="9782" max="9782" width="8" style="643" customWidth="1"/>
    <col min="9783" max="9783" width="9.140625" style="643" customWidth="1"/>
    <col min="9784" max="9786" width="8" style="643" customWidth="1"/>
    <col min="9787" max="9963" width="9.140625" style="643"/>
    <col min="9964" max="9964" width="38" style="643" customWidth="1"/>
    <col min="9965" max="9965" width="18.7109375" style="643" customWidth="1"/>
    <col min="9966" max="9966" width="8" style="643" customWidth="1"/>
    <col min="9967" max="9967" width="9.140625" style="643" customWidth="1"/>
    <col min="9968" max="9968" width="6.42578125" style="643" customWidth="1"/>
    <col min="9969" max="9973" width="8" style="643" customWidth="1"/>
    <col min="9974" max="9974" width="9.42578125" style="643" customWidth="1"/>
    <col min="9975" max="9975" width="8.28515625" style="643" customWidth="1"/>
    <col min="9976" max="9976" width="8" style="643" customWidth="1"/>
    <col min="9977" max="9977" width="8.5703125" style="643" customWidth="1"/>
    <col min="9978" max="9978" width="8" style="643" customWidth="1"/>
    <col min="9979" max="9979" width="9.140625" style="643" customWidth="1"/>
    <col min="9980" max="9985" width="8" style="643" customWidth="1"/>
    <col min="9986" max="9986" width="9.42578125" style="643" customWidth="1"/>
    <col min="9987" max="9987" width="8.28515625" style="643" customWidth="1"/>
    <col min="9988" max="9988" width="8" style="643" customWidth="1"/>
    <col min="9989" max="9989" width="8.5703125" style="643" customWidth="1"/>
    <col min="9990" max="9990" width="8" style="643" customWidth="1"/>
    <col min="9991" max="9991" width="9.140625" style="643" customWidth="1"/>
    <col min="9992" max="9997" width="8" style="643" customWidth="1"/>
    <col min="9998" max="9998" width="9.42578125" style="643" customWidth="1"/>
    <col min="9999" max="9999" width="8.28515625" style="643" customWidth="1"/>
    <col min="10000" max="10000" width="8" style="643" customWidth="1"/>
    <col min="10001" max="10001" width="8.5703125" style="643" customWidth="1"/>
    <col min="10002" max="10002" width="8" style="643" customWidth="1"/>
    <col min="10003" max="10003" width="9.140625" style="643" customWidth="1"/>
    <col min="10004" max="10009" width="8" style="643" customWidth="1"/>
    <col min="10010" max="10010" width="9.42578125" style="643" customWidth="1"/>
    <col min="10011" max="10011" width="8.28515625" style="643" customWidth="1"/>
    <col min="10012" max="10012" width="8" style="643" customWidth="1"/>
    <col min="10013" max="10013" width="8.5703125" style="643" customWidth="1"/>
    <col min="10014" max="10014" width="8" style="643" customWidth="1"/>
    <col min="10015" max="10015" width="9.140625" style="643" customWidth="1"/>
    <col min="10016" max="10021" width="8" style="643" customWidth="1"/>
    <col min="10022" max="10022" width="9.42578125" style="643" customWidth="1"/>
    <col min="10023" max="10023" width="8.28515625" style="643" customWidth="1"/>
    <col min="10024" max="10024" width="8" style="643" customWidth="1"/>
    <col min="10025" max="10025" width="8.5703125" style="643" customWidth="1"/>
    <col min="10026" max="10026" width="8" style="643" customWidth="1"/>
    <col min="10027" max="10027" width="9.140625" style="643" customWidth="1"/>
    <col min="10028" max="10033" width="8" style="643" customWidth="1"/>
    <col min="10034" max="10034" width="9.42578125" style="643" customWidth="1"/>
    <col min="10035" max="10035" width="8.28515625" style="643" customWidth="1"/>
    <col min="10036" max="10036" width="8" style="643" customWidth="1"/>
    <col min="10037" max="10037" width="8.5703125" style="643" customWidth="1"/>
    <col min="10038" max="10038" width="8" style="643" customWidth="1"/>
    <col min="10039" max="10039" width="9.140625" style="643" customWidth="1"/>
    <col min="10040" max="10042" width="8" style="643" customWidth="1"/>
    <col min="10043" max="10219" width="9.140625" style="643"/>
    <col min="10220" max="10220" width="38" style="643" customWidth="1"/>
    <col min="10221" max="10221" width="18.7109375" style="643" customWidth="1"/>
    <col min="10222" max="10222" width="8" style="643" customWidth="1"/>
    <col min="10223" max="10223" width="9.140625" style="643" customWidth="1"/>
    <col min="10224" max="10224" width="6.42578125" style="643" customWidth="1"/>
    <col min="10225" max="10229" width="8" style="643" customWidth="1"/>
    <col min="10230" max="10230" width="9.42578125" style="643" customWidth="1"/>
    <col min="10231" max="10231" width="8.28515625" style="643" customWidth="1"/>
    <col min="10232" max="10232" width="8" style="643" customWidth="1"/>
    <col min="10233" max="10233" width="8.5703125" style="643" customWidth="1"/>
    <col min="10234" max="10234" width="8" style="643" customWidth="1"/>
    <col min="10235" max="10235" width="9.140625" style="643" customWidth="1"/>
    <col min="10236" max="10241" width="8" style="643" customWidth="1"/>
    <col min="10242" max="10242" width="9.42578125" style="643" customWidth="1"/>
    <col min="10243" max="10243" width="8.28515625" style="643" customWidth="1"/>
    <col min="10244" max="10244" width="8" style="643" customWidth="1"/>
    <col min="10245" max="10245" width="8.5703125" style="643" customWidth="1"/>
    <col min="10246" max="10246" width="8" style="643" customWidth="1"/>
    <col min="10247" max="10247" width="9.140625" style="643" customWidth="1"/>
    <col min="10248" max="10253" width="8" style="643" customWidth="1"/>
    <col min="10254" max="10254" width="9.42578125" style="643" customWidth="1"/>
    <col min="10255" max="10255" width="8.28515625" style="643" customWidth="1"/>
    <col min="10256" max="10256" width="8" style="643" customWidth="1"/>
    <col min="10257" max="10257" width="8.5703125" style="643" customWidth="1"/>
    <col min="10258" max="10258" width="8" style="643" customWidth="1"/>
    <col min="10259" max="10259" width="9.140625" style="643" customWidth="1"/>
    <col min="10260" max="10265" width="8" style="643" customWidth="1"/>
    <col min="10266" max="10266" width="9.42578125" style="643" customWidth="1"/>
    <col min="10267" max="10267" width="8.28515625" style="643" customWidth="1"/>
    <col min="10268" max="10268" width="8" style="643" customWidth="1"/>
    <col min="10269" max="10269" width="8.5703125" style="643" customWidth="1"/>
    <col min="10270" max="10270" width="8" style="643" customWidth="1"/>
    <col min="10271" max="10271" width="9.140625" style="643" customWidth="1"/>
    <col min="10272" max="10277" width="8" style="643" customWidth="1"/>
    <col min="10278" max="10278" width="9.42578125" style="643" customWidth="1"/>
    <col min="10279" max="10279" width="8.28515625" style="643" customWidth="1"/>
    <col min="10280" max="10280" width="8" style="643" customWidth="1"/>
    <col min="10281" max="10281" width="8.5703125" style="643" customWidth="1"/>
    <col min="10282" max="10282" width="8" style="643" customWidth="1"/>
    <col min="10283" max="10283" width="9.140625" style="643" customWidth="1"/>
    <col min="10284" max="10289" width="8" style="643" customWidth="1"/>
    <col min="10290" max="10290" width="9.42578125" style="643" customWidth="1"/>
    <col min="10291" max="10291" width="8.28515625" style="643" customWidth="1"/>
    <col min="10292" max="10292" width="8" style="643" customWidth="1"/>
    <col min="10293" max="10293" width="8.5703125" style="643" customWidth="1"/>
    <col min="10294" max="10294" width="8" style="643" customWidth="1"/>
    <col min="10295" max="10295" width="9.140625" style="643" customWidth="1"/>
    <col min="10296" max="10298" width="8" style="643" customWidth="1"/>
    <col min="10299" max="10475" width="9.140625" style="643"/>
    <col min="10476" max="10476" width="38" style="643" customWidth="1"/>
    <col min="10477" max="10477" width="18.7109375" style="643" customWidth="1"/>
    <col min="10478" max="10478" width="8" style="643" customWidth="1"/>
    <col min="10479" max="10479" width="9.140625" style="643" customWidth="1"/>
    <col min="10480" max="10480" width="6.42578125" style="643" customWidth="1"/>
    <col min="10481" max="10485" width="8" style="643" customWidth="1"/>
    <col min="10486" max="10486" width="9.42578125" style="643" customWidth="1"/>
    <col min="10487" max="10487" width="8.28515625" style="643" customWidth="1"/>
    <col min="10488" max="10488" width="8" style="643" customWidth="1"/>
    <col min="10489" max="10489" width="8.5703125" style="643" customWidth="1"/>
    <col min="10490" max="10490" width="8" style="643" customWidth="1"/>
    <col min="10491" max="10491" width="9.140625" style="643" customWidth="1"/>
    <col min="10492" max="10497" width="8" style="643" customWidth="1"/>
    <col min="10498" max="10498" width="9.42578125" style="643" customWidth="1"/>
    <col min="10499" max="10499" width="8.28515625" style="643" customWidth="1"/>
    <col min="10500" max="10500" width="8" style="643" customWidth="1"/>
    <col min="10501" max="10501" width="8.5703125" style="643" customWidth="1"/>
    <col min="10502" max="10502" width="8" style="643" customWidth="1"/>
    <col min="10503" max="10503" width="9.140625" style="643" customWidth="1"/>
    <col min="10504" max="10509" width="8" style="643" customWidth="1"/>
    <col min="10510" max="10510" width="9.42578125" style="643" customWidth="1"/>
    <col min="10511" max="10511" width="8.28515625" style="643" customWidth="1"/>
    <col min="10512" max="10512" width="8" style="643" customWidth="1"/>
    <col min="10513" max="10513" width="8.5703125" style="643" customWidth="1"/>
    <col min="10514" max="10514" width="8" style="643" customWidth="1"/>
    <col min="10515" max="10515" width="9.140625" style="643" customWidth="1"/>
    <col min="10516" max="10521" width="8" style="643" customWidth="1"/>
    <col min="10522" max="10522" width="9.42578125" style="643" customWidth="1"/>
    <col min="10523" max="10523" width="8.28515625" style="643" customWidth="1"/>
    <col min="10524" max="10524" width="8" style="643" customWidth="1"/>
    <col min="10525" max="10525" width="8.5703125" style="643" customWidth="1"/>
    <col min="10526" max="10526" width="8" style="643" customWidth="1"/>
    <col min="10527" max="10527" width="9.140625" style="643" customWidth="1"/>
    <col min="10528" max="10533" width="8" style="643" customWidth="1"/>
    <col min="10534" max="10534" width="9.42578125" style="643" customWidth="1"/>
    <col min="10535" max="10535" width="8.28515625" style="643" customWidth="1"/>
    <col min="10536" max="10536" width="8" style="643" customWidth="1"/>
    <col min="10537" max="10537" width="8.5703125" style="643" customWidth="1"/>
    <col min="10538" max="10538" width="8" style="643" customWidth="1"/>
    <col min="10539" max="10539" width="9.140625" style="643" customWidth="1"/>
    <col min="10540" max="10545" width="8" style="643" customWidth="1"/>
    <col min="10546" max="10546" width="9.42578125" style="643" customWidth="1"/>
    <col min="10547" max="10547" width="8.28515625" style="643" customWidth="1"/>
    <col min="10548" max="10548" width="8" style="643" customWidth="1"/>
    <col min="10549" max="10549" width="8.5703125" style="643" customWidth="1"/>
    <col min="10550" max="10550" width="8" style="643" customWidth="1"/>
    <col min="10551" max="10551" width="9.140625" style="643" customWidth="1"/>
    <col min="10552" max="10554" width="8" style="643" customWidth="1"/>
    <col min="10555" max="10731" width="9.140625" style="643"/>
    <col min="10732" max="10732" width="38" style="643" customWidth="1"/>
    <col min="10733" max="10733" width="18.7109375" style="643" customWidth="1"/>
    <col min="10734" max="10734" width="8" style="643" customWidth="1"/>
    <col min="10735" max="10735" width="9.140625" style="643" customWidth="1"/>
    <col min="10736" max="10736" width="6.42578125" style="643" customWidth="1"/>
    <col min="10737" max="10741" width="8" style="643" customWidth="1"/>
    <col min="10742" max="10742" width="9.42578125" style="643" customWidth="1"/>
    <col min="10743" max="10743" width="8.28515625" style="643" customWidth="1"/>
    <col min="10744" max="10744" width="8" style="643" customWidth="1"/>
    <col min="10745" max="10745" width="8.5703125" style="643" customWidth="1"/>
    <col min="10746" max="10746" width="8" style="643" customWidth="1"/>
    <col min="10747" max="10747" width="9.140625" style="643" customWidth="1"/>
    <col min="10748" max="10753" width="8" style="643" customWidth="1"/>
    <col min="10754" max="10754" width="9.42578125" style="643" customWidth="1"/>
    <col min="10755" max="10755" width="8.28515625" style="643" customWidth="1"/>
    <col min="10756" max="10756" width="8" style="643" customWidth="1"/>
    <col min="10757" max="10757" width="8.5703125" style="643" customWidth="1"/>
    <col min="10758" max="10758" width="8" style="643" customWidth="1"/>
    <col min="10759" max="10759" width="9.140625" style="643" customWidth="1"/>
    <col min="10760" max="10765" width="8" style="643" customWidth="1"/>
    <col min="10766" max="10766" width="9.42578125" style="643" customWidth="1"/>
    <col min="10767" max="10767" width="8.28515625" style="643" customWidth="1"/>
    <col min="10768" max="10768" width="8" style="643" customWidth="1"/>
    <col min="10769" max="10769" width="8.5703125" style="643" customWidth="1"/>
    <col min="10770" max="10770" width="8" style="643" customWidth="1"/>
    <col min="10771" max="10771" width="9.140625" style="643" customWidth="1"/>
    <col min="10772" max="10777" width="8" style="643" customWidth="1"/>
    <col min="10778" max="10778" width="9.42578125" style="643" customWidth="1"/>
    <col min="10779" max="10779" width="8.28515625" style="643" customWidth="1"/>
    <col min="10780" max="10780" width="8" style="643" customWidth="1"/>
    <col min="10781" max="10781" width="8.5703125" style="643" customWidth="1"/>
    <col min="10782" max="10782" width="8" style="643" customWidth="1"/>
    <col min="10783" max="10783" width="9.140625" style="643" customWidth="1"/>
    <col min="10784" max="10789" width="8" style="643" customWidth="1"/>
    <col min="10790" max="10790" width="9.42578125" style="643" customWidth="1"/>
    <col min="10791" max="10791" width="8.28515625" style="643" customWidth="1"/>
    <col min="10792" max="10792" width="8" style="643" customWidth="1"/>
    <col min="10793" max="10793" width="8.5703125" style="643" customWidth="1"/>
    <col min="10794" max="10794" width="8" style="643" customWidth="1"/>
    <col min="10795" max="10795" width="9.140625" style="643" customWidth="1"/>
    <col min="10796" max="10801" width="8" style="643" customWidth="1"/>
    <col min="10802" max="10802" width="9.42578125" style="643" customWidth="1"/>
    <col min="10803" max="10803" width="8.28515625" style="643" customWidth="1"/>
    <col min="10804" max="10804" width="8" style="643" customWidth="1"/>
    <col min="10805" max="10805" width="8.5703125" style="643" customWidth="1"/>
    <col min="10806" max="10806" width="8" style="643" customWidth="1"/>
    <col min="10807" max="10807" width="9.140625" style="643" customWidth="1"/>
    <col min="10808" max="10810" width="8" style="643" customWidth="1"/>
    <col min="10811" max="10987" width="9.140625" style="643"/>
    <col min="10988" max="10988" width="38" style="643" customWidth="1"/>
    <col min="10989" max="10989" width="18.7109375" style="643" customWidth="1"/>
    <col min="10990" max="10990" width="8" style="643" customWidth="1"/>
    <col min="10991" max="10991" width="9.140625" style="643" customWidth="1"/>
    <col min="10992" max="10992" width="6.42578125" style="643" customWidth="1"/>
    <col min="10993" max="10997" width="8" style="643" customWidth="1"/>
    <col min="10998" max="10998" width="9.42578125" style="643" customWidth="1"/>
    <col min="10999" max="10999" width="8.28515625" style="643" customWidth="1"/>
    <col min="11000" max="11000" width="8" style="643" customWidth="1"/>
    <col min="11001" max="11001" width="8.5703125" style="643" customWidth="1"/>
    <col min="11002" max="11002" width="8" style="643" customWidth="1"/>
    <col min="11003" max="11003" width="9.140625" style="643" customWidth="1"/>
    <col min="11004" max="11009" width="8" style="643" customWidth="1"/>
    <col min="11010" max="11010" width="9.42578125" style="643" customWidth="1"/>
    <col min="11011" max="11011" width="8.28515625" style="643" customWidth="1"/>
    <col min="11012" max="11012" width="8" style="643" customWidth="1"/>
    <col min="11013" max="11013" width="8.5703125" style="643" customWidth="1"/>
    <col min="11014" max="11014" width="8" style="643" customWidth="1"/>
    <col min="11015" max="11015" width="9.140625" style="643" customWidth="1"/>
    <col min="11016" max="11021" width="8" style="643" customWidth="1"/>
    <col min="11022" max="11022" width="9.42578125" style="643" customWidth="1"/>
    <col min="11023" max="11023" width="8.28515625" style="643" customWidth="1"/>
    <col min="11024" max="11024" width="8" style="643" customWidth="1"/>
    <col min="11025" max="11025" width="8.5703125" style="643" customWidth="1"/>
    <col min="11026" max="11026" width="8" style="643" customWidth="1"/>
    <col min="11027" max="11027" width="9.140625" style="643" customWidth="1"/>
    <col min="11028" max="11033" width="8" style="643" customWidth="1"/>
    <col min="11034" max="11034" width="9.42578125" style="643" customWidth="1"/>
    <col min="11035" max="11035" width="8.28515625" style="643" customWidth="1"/>
    <col min="11036" max="11036" width="8" style="643" customWidth="1"/>
    <col min="11037" max="11037" width="8.5703125" style="643" customWidth="1"/>
    <col min="11038" max="11038" width="8" style="643" customWidth="1"/>
    <col min="11039" max="11039" width="9.140625" style="643" customWidth="1"/>
    <col min="11040" max="11045" width="8" style="643" customWidth="1"/>
    <col min="11046" max="11046" width="9.42578125" style="643" customWidth="1"/>
    <col min="11047" max="11047" width="8.28515625" style="643" customWidth="1"/>
    <col min="11048" max="11048" width="8" style="643" customWidth="1"/>
    <col min="11049" max="11049" width="8.5703125" style="643" customWidth="1"/>
    <col min="11050" max="11050" width="8" style="643" customWidth="1"/>
    <col min="11051" max="11051" width="9.140625" style="643" customWidth="1"/>
    <col min="11052" max="11057" width="8" style="643" customWidth="1"/>
    <col min="11058" max="11058" width="9.42578125" style="643" customWidth="1"/>
    <col min="11059" max="11059" width="8.28515625" style="643" customWidth="1"/>
    <col min="11060" max="11060" width="8" style="643" customWidth="1"/>
    <col min="11061" max="11061" width="8.5703125" style="643" customWidth="1"/>
    <col min="11062" max="11062" width="8" style="643" customWidth="1"/>
    <col min="11063" max="11063" width="9.140625" style="643" customWidth="1"/>
    <col min="11064" max="11066" width="8" style="643" customWidth="1"/>
    <col min="11067" max="11243" width="9.140625" style="643"/>
    <col min="11244" max="11244" width="38" style="643" customWidth="1"/>
    <col min="11245" max="11245" width="18.7109375" style="643" customWidth="1"/>
    <col min="11246" max="11246" width="8" style="643" customWidth="1"/>
    <col min="11247" max="11247" width="9.140625" style="643" customWidth="1"/>
    <col min="11248" max="11248" width="6.42578125" style="643" customWidth="1"/>
    <col min="11249" max="11253" width="8" style="643" customWidth="1"/>
    <col min="11254" max="11254" width="9.42578125" style="643" customWidth="1"/>
    <col min="11255" max="11255" width="8.28515625" style="643" customWidth="1"/>
    <col min="11256" max="11256" width="8" style="643" customWidth="1"/>
    <col min="11257" max="11257" width="8.5703125" style="643" customWidth="1"/>
    <col min="11258" max="11258" width="8" style="643" customWidth="1"/>
    <col min="11259" max="11259" width="9.140625" style="643" customWidth="1"/>
    <col min="11260" max="11265" width="8" style="643" customWidth="1"/>
    <col min="11266" max="11266" width="9.42578125" style="643" customWidth="1"/>
    <col min="11267" max="11267" width="8.28515625" style="643" customWidth="1"/>
    <col min="11268" max="11268" width="8" style="643" customWidth="1"/>
    <col min="11269" max="11269" width="8.5703125" style="643" customWidth="1"/>
    <col min="11270" max="11270" width="8" style="643" customWidth="1"/>
    <col min="11271" max="11271" width="9.140625" style="643" customWidth="1"/>
    <col min="11272" max="11277" width="8" style="643" customWidth="1"/>
    <col min="11278" max="11278" width="9.42578125" style="643" customWidth="1"/>
    <col min="11279" max="11279" width="8.28515625" style="643" customWidth="1"/>
    <col min="11280" max="11280" width="8" style="643" customWidth="1"/>
    <col min="11281" max="11281" width="8.5703125" style="643" customWidth="1"/>
    <col min="11282" max="11282" width="8" style="643" customWidth="1"/>
    <col min="11283" max="11283" width="9.140625" style="643" customWidth="1"/>
    <col min="11284" max="11289" width="8" style="643" customWidth="1"/>
    <col min="11290" max="11290" width="9.42578125" style="643" customWidth="1"/>
    <col min="11291" max="11291" width="8.28515625" style="643" customWidth="1"/>
    <col min="11292" max="11292" width="8" style="643" customWidth="1"/>
    <col min="11293" max="11293" width="8.5703125" style="643" customWidth="1"/>
    <col min="11294" max="11294" width="8" style="643" customWidth="1"/>
    <col min="11295" max="11295" width="9.140625" style="643" customWidth="1"/>
    <col min="11296" max="11301" width="8" style="643" customWidth="1"/>
    <col min="11302" max="11302" width="9.42578125" style="643" customWidth="1"/>
    <col min="11303" max="11303" width="8.28515625" style="643" customWidth="1"/>
    <col min="11304" max="11304" width="8" style="643" customWidth="1"/>
    <col min="11305" max="11305" width="8.5703125" style="643" customWidth="1"/>
    <col min="11306" max="11306" width="8" style="643" customWidth="1"/>
    <col min="11307" max="11307" width="9.140625" style="643" customWidth="1"/>
    <col min="11308" max="11313" width="8" style="643" customWidth="1"/>
    <col min="11314" max="11314" width="9.42578125" style="643" customWidth="1"/>
    <col min="11315" max="11315" width="8.28515625" style="643" customWidth="1"/>
    <col min="11316" max="11316" width="8" style="643" customWidth="1"/>
    <col min="11317" max="11317" width="8.5703125" style="643" customWidth="1"/>
    <col min="11318" max="11318" width="8" style="643" customWidth="1"/>
    <col min="11319" max="11319" width="9.140625" style="643" customWidth="1"/>
    <col min="11320" max="11322" width="8" style="643" customWidth="1"/>
    <col min="11323" max="11499" width="9.140625" style="643"/>
    <col min="11500" max="11500" width="38" style="643" customWidth="1"/>
    <col min="11501" max="11501" width="18.7109375" style="643" customWidth="1"/>
    <col min="11502" max="11502" width="8" style="643" customWidth="1"/>
    <col min="11503" max="11503" width="9.140625" style="643" customWidth="1"/>
    <col min="11504" max="11504" width="6.42578125" style="643" customWidth="1"/>
    <col min="11505" max="11509" width="8" style="643" customWidth="1"/>
    <col min="11510" max="11510" width="9.42578125" style="643" customWidth="1"/>
    <col min="11511" max="11511" width="8.28515625" style="643" customWidth="1"/>
    <col min="11512" max="11512" width="8" style="643" customWidth="1"/>
    <col min="11513" max="11513" width="8.5703125" style="643" customWidth="1"/>
    <col min="11514" max="11514" width="8" style="643" customWidth="1"/>
    <col min="11515" max="11515" width="9.140625" style="643" customWidth="1"/>
    <col min="11516" max="11521" width="8" style="643" customWidth="1"/>
    <col min="11522" max="11522" width="9.42578125" style="643" customWidth="1"/>
    <col min="11523" max="11523" width="8.28515625" style="643" customWidth="1"/>
    <col min="11524" max="11524" width="8" style="643" customWidth="1"/>
    <col min="11525" max="11525" width="8.5703125" style="643" customWidth="1"/>
    <col min="11526" max="11526" width="8" style="643" customWidth="1"/>
    <col min="11527" max="11527" width="9.140625" style="643" customWidth="1"/>
    <col min="11528" max="11533" width="8" style="643" customWidth="1"/>
    <col min="11534" max="11534" width="9.42578125" style="643" customWidth="1"/>
    <col min="11535" max="11535" width="8.28515625" style="643" customWidth="1"/>
    <col min="11536" max="11536" width="8" style="643" customWidth="1"/>
    <col min="11537" max="11537" width="8.5703125" style="643" customWidth="1"/>
    <col min="11538" max="11538" width="8" style="643" customWidth="1"/>
    <col min="11539" max="11539" width="9.140625" style="643" customWidth="1"/>
    <col min="11540" max="11545" width="8" style="643" customWidth="1"/>
    <col min="11546" max="11546" width="9.42578125" style="643" customWidth="1"/>
    <col min="11547" max="11547" width="8.28515625" style="643" customWidth="1"/>
    <col min="11548" max="11548" width="8" style="643" customWidth="1"/>
    <col min="11549" max="11549" width="8.5703125" style="643" customWidth="1"/>
    <col min="11550" max="11550" width="8" style="643" customWidth="1"/>
    <col min="11551" max="11551" width="9.140625" style="643" customWidth="1"/>
    <col min="11552" max="11557" width="8" style="643" customWidth="1"/>
    <col min="11558" max="11558" width="9.42578125" style="643" customWidth="1"/>
    <col min="11559" max="11559" width="8.28515625" style="643" customWidth="1"/>
    <col min="11560" max="11560" width="8" style="643" customWidth="1"/>
    <col min="11561" max="11561" width="8.5703125" style="643" customWidth="1"/>
    <col min="11562" max="11562" width="8" style="643" customWidth="1"/>
    <col min="11563" max="11563" width="9.140625" style="643" customWidth="1"/>
    <col min="11564" max="11569" width="8" style="643" customWidth="1"/>
    <col min="11570" max="11570" width="9.42578125" style="643" customWidth="1"/>
    <col min="11571" max="11571" width="8.28515625" style="643" customWidth="1"/>
    <col min="11572" max="11572" width="8" style="643" customWidth="1"/>
    <col min="11573" max="11573" width="8.5703125" style="643" customWidth="1"/>
    <col min="11574" max="11574" width="8" style="643" customWidth="1"/>
    <col min="11575" max="11575" width="9.140625" style="643" customWidth="1"/>
    <col min="11576" max="11578" width="8" style="643" customWidth="1"/>
    <col min="11579" max="11755" width="9.140625" style="643"/>
    <col min="11756" max="11756" width="38" style="643" customWidth="1"/>
    <col min="11757" max="11757" width="18.7109375" style="643" customWidth="1"/>
    <col min="11758" max="11758" width="8" style="643" customWidth="1"/>
    <col min="11759" max="11759" width="9.140625" style="643" customWidth="1"/>
    <col min="11760" max="11760" width="6.42578125" style="643" customWidth="1"/>
    <col min="11761" max="11765" width="8" style="643" customWidth="1"/>
    <col min="11766" max="11766" width="9.42578125" style="643" customWidth="1"/>
    <col min="11767" max="11767" width="8.28515625" style="643" customWidth="1"/>
    <col min="11768" max="11768" width="8" style="643" customWidth="1"/>
    <col min="11769" max="11769" width="8.5703125" style="643" customWidth="1"/>
    <col min="11770" max="11770" width="8" style="643" customWidth="1"/>
    <col min="11771" max="11771" width="9.140625" style="643" customWidth="1"/>
    <col min="11772" max="11777" width="8" style="643" customWidth="1"/>
    <col min="11778" max="11778" width="9.42578125" style="643" customWidth="1"/>
    <col min="11779" max="11779" width="8.28515625" style="643" customWidth="1"/>
    <col min="11780" max="11780" width="8" style="643" customWidth="1"/>
    <col min="11781" max="11781" width="8.5703125" style="643" customWidth="1"/>
    <col min="11782" max="11782" width="8" style="643" customWidth="1"/>
    <col min="11783" max="11783" width="9.140625" style="643" customWidth="1"/>
    <col min="11784" max="11789" width="8" style="643" customWidth="1"/>
    <col min="11790" max="11790" width="9.42578125" style="643" customWidth="1"/>
    <col min="11791" max="11791" width="8.28515625" style="643" customWidth="1"/>
    <col min="11792" max="11792" width="8" style="643" customWidth="1"/>
    <col min="11793" max="11793" width="8.5703125" style="643" customWidth="1"/>
    <col min="11794" max="11794" width="8" style="643" customWidth="1"/>
    <col min="11795" max="11795" width="9.140625" style="643" customWidth="1"/>
    <col min="11796" max="11801" width="8" style="643" customWidth="1"/>
    <col min="11802" max="11802" width="9.42578125" style="643" customWidth="1"/>
    <col min="11803" max="11803" width="8.28515625" style="643" customWidth="1"/>
    <col min="11804" max="11804" width="8" style="643" customWidth="1"/>
    <col min="11805" max="11805" width="8.5703125" style="643" customWidth="1"/>
    <col min="11806" max="11806" width="8" style="643" customWidth="1"/>
    <col min="11807" max="11807" width="9.140625" style="643" customWidth="1"/>
    <col min="11808" max="11813" width="8" style="643" customWidth="1"/>
    <col min="11814" max="11814" width="9.42578125" style="643" customWidth="1"/>
    <col min="11815" max="11815" width="8.28515625" style="643" customWidth="1"/>
    <col min="11816" max="11816" width="8" style="643" customWidth="1"/>
    <col min="11817" max="11817" width="8.5703125" style="643" customWidth="1"/>
    <col min="11818" max="11818" width="8" style="643" customWidth="1"/>
    <col min="11819" max="11819" width="9.140625" style="643" customWidth="1"/>
    <col min="11820" max="11825" width="8" style="643" customWidth="1"/>
    <col min="11826" max="11826" width="9.42578125" style="643" customWidth="1"/>
    <col min="11827" max="11827" width="8.28515625" style="643" customWidth="1"/>
    <col min="11828" max="11828" width="8" style="643" customWidth="1"/>
    <col min="11829" max="11829" width="8.5703125" style="643" customWidth="1"/>
    <col min="11830" max="11830" width="8" style="643" customWidth="1"/>
    <col min="11831" max="11831" width="9.140625" style="643" customWidth="1"/>
    <col min="11832" max="11834" width="8" style="643" customWidth="1"/>
    <col min="11835" max="12011" width="9.140625" style="643"/>
    <col min="12012" max="12012" width="38" style="643" customWidth="1"/>
    <col min="12013" max="12013" width="18.7109375" style="643" customWidth="1"/>
    <col min="12014" max="12014" width="8" style="643" customWidth="1"/>
    <col min="12015" max="12015" width="9.140625" style="643" customWidth="1"/>
    <col min="12016" max="12016" width="6.42578125" style="643" customWidth="1"/>
    <col min="12017" max="12021" width="8" style="643" customWidth="1"/>
    <col min="12022" max="12022" width="9.42578125" style="643" customWidth="1"/>
    <col min="12023" max="12023" width="8.28515625" style="643" customWidth="1"/>
    <col min="12024" max="12024" width="8" style="643" customWidth="1"/>
    <col min="12025" max="12025" width="8.5703125" style="643" customWidth="1"/>
    <col min="12026" max="12026" width="8" style="643" customWidth="1"/>
    <col min="12027" max="12027" width="9.140625" style="643" customWidth="1"/>
    <col min="12028" max="12033" width="8" style="643" customWidth="1"/>
    <col min="12034" max="12034" width="9.42578125" style="643" customWidth="1"/>
    <col min="12035" max="12035" width="8.28515625" style="643" customWidth="1"/>
    <col min="12036" max="12036" width="8" style="643" customWidth="1"/>
    <col min="12037" max="12037" width="8.5703125" style="643" customWidth="1"/>
    <col min="12038" max="12038" width="8" style="643" customWidth="1"/>
    <col min="12039" max="12039" width="9.140625" style="643" customWidth="1"/>
    <col min="12040" max="12045" width="8" style="643" customWidth="1"/>
    <col min="12046" max="12046" width="9.42578125" style="643" customWidth="1"/>
    <col min="12047" max="12047" width="8.28515625" style="643" customWidth="1"/>
    <col min="12048" max="12048" width="8" style="643" customWidth="1"/>
    <col min="12049" max="12049" width="8.5703125" style="643" customWidth="1"/>
    <col min="12050" max="12050" width="8" style="643" customWidth="1"/>
    <col min="12051" max="12051" width="9.140625" style="643" customWidth="1"/>
    <col min="12052" max="12057" width="8" style="643" customWidth="1"/>
    <col min="12058" max="12058" width="9.42578125" style="643" customWidth="1"/>
    <col min="12059" max="12059" width="8.28515625" style="643" customWidth="1"/>
    <col min="12060" max="12060" width="8" style="643" customWidth="1"/>
    <col min="12061" max="12061" width="8.5703125" style="643" customWidth="1"/>
    <col min="12062" max="12062" width="8" style="643" customWidth="1"/>
    <col min="12063" max="12063" width="9.140625" style="643" customWidth="1"/>
    <col min="12064" max="12069" width="8" style="643" customWidth="1"/>
    <col min="12070" max="12070" width="9.42578125" style="643" customWidth="1"/>
    <col min="12071" max="12071" width="8.28515625" style="643" customWidth="1"/>
    <col min="12072" max="12072" width="8" style="643" customWidth="1"/>
    <col min="12073" max="12073" width="8.5703125" style="643" customWidth="1"/>
    <col min="12074" max="12074" width="8" style="643" customWidth="1"/>
    <col min="12075" max="12075" width="9.140625" style="643" customWidth="1"/>
    <col min="12076" max="12081" width="8" style="643" customWidth="1"/>
    <col min="12082" max="12082" width="9.42578125" style="643" customWidth="1"/>
    <col min="12083" max="12083" width="8.28515625" style="643" customWidth="1"/>
    <col min="12084" max="12084" width="8" style="643" customWidth="1"/>
    <col min="12085" max="12085" width="8.5703125" style="643" customWidth="1"/>
    <col min="12086" max="12086" width="8" style="643" customWidth="1"/>
    <col min="12087" max="12087" width="9.140625" style="643" customWidth="1"/>
    <col min="12088" max="12090" width="8" style="643" customWidth="1"/>
    <col min="12091" max="12267" width="9.140625" style="643"/>
    <col min="12268" max="12268" width="38" style="643" customWidth="1"/>
    <col min="12269" max="12269" width="18.7109375" style="643" customWidth="1"/>
    <col min="12270" max="12270" width="8" style="643" customWidth="1"/>
    <col min="12271" max="12271" width="9.140625" style="643" customWidth="1"/>
    <col min="12272" max="12272" width="6.42578125" style="643" customWidth="1"/>
    <col min="12273" max="12277" width="8" style="643" customWidth="1"/>
    <col min="12278" max="12278" width="9.42578125" style="643" customWidth="1"/>
    <col min="12279" max="12279" width="8.28515625" style="643" customWidth="1"/>
    <col min="12280" max="12280" width="8" style="643" customWidth="1"/>
    <col min="12281" max="12281" width="8.5703125" style="643" customWidth="1"/>
    <col min="12282" max="12282" width="8" style="643" customWidth="1"/>
    <col min="12283" max="12283" width="9.140625" style="643" customWidth="1"/>
    <col min="12284" max="12289" width="8" style="643" customWidth="1"/>
    <col min="12290" max="12290" width="9.42578125" style="643" customWidth="1"/>
    <col min="12291" max="12291" width="8.28515625" style="643" customWidth="1"/>
    <col min="12292" max="12292" width="8" style="643" customWidth="1"/>
    <col min="12293" max="12293" width="8.5703125" style="643" customWidth="1"/>
    <col min="12294" max="12294" width="8" style="643" customWidth="1"/>
    <col min="12295" max="12295" width="9.140625" style="643" customWidth="1"/>
    <col min="12296" max="12301" width="8" style="643" customWidth="1"/>
    <col min="12302" max="12302" width="9.42578125" style="643" customWidth="1"/>
    <col min="12303" max="12303" width="8.28515625" style="643" customWidth="1"/>
    <col min="12304" max="12304" width="8" style="643" customWidth="1"/>
    <col min="12305" max="12305" width="8.5703125" style="643" customWidth="1"/>
    <col min="12306" max="12306" width="8" style="643" customWidth="1"/>
    <col min="12307" max="12307" width="9.140625" style="643" customWidth="1"/>
    <col min="12308" max="12313" width="8" style="643" customWidth="1"/>
    <col min="12314" max="12314" width="9.42578125" style="643" customWidth="1"/>
    <col min="12315" max="12315" width="8.28515625" style="643" customWidth="1"/>
    <col min="12316" max="12316" width="8" style="643" customWidth="1"/>
    <col min="12317" max="12317" width="8.5703125" style="643" customWidth="1"/>
    <col min="12318" max="12318" width="8" style="643" customWidth="1"/>
    <col min="12319" max="12319" width="9.140625" style="643" customWidth="1"/>
    <col min="12320" max="12325" width="8" style="643" customWidth="1"/>
    <col min="12326" max="12326" width="9.42578125" style="643" customWidth="1"/>
    <col min="12327" max="12327" width="8.28515625" style="643" customWidth="1"/>
    <col min="12328" max="12328" width="8" style="643" customWidth="1"/>
    <col min="12329" max="12329" width="8.5703125" style="643" customWidth="1"/>
    <col min="12330" max="12330" width="8" style="643" customWidth="1"/>
    <col min="12331" max="12331" width="9.140625" style="643" customWidth="1"/>
    <col min="12332" max="12337" width="8" style="643" customWidth="1"/>
    <col min="12338" max="12338" width="9.42578125" style="643" customWidth="1"/>
    <col min="12339" max="12339" width="8.28515625" style="643" customWidth="1"/>
    <col min="12340" max="12340" width="8" style="643" customWidth="1"/>
    <col min="12341" max="12341" width="8.5703125" style="643" customWidth="1"/>
    <col min="12342" max="12342" width="8" style="643" customWidth="1"/>
    <col min="12343" max="12343" width="9.140625" style="643" customWidth="1"/>
    <col min="12344" max="12346" width="8" style="643" customWidth="1"/>
    <col min="12347" max="12523" width="9.140625" style="643"/>
    <col min="12524" max="12524" width="38" style="643" customWidth="1"/>
    <col min="12525" max="12525" width="18.7109375" style="643" customWidth="1"/>
    <col min="12526" max="12526" width="8" style="643" customWidth="1"/>
    <col min="12527" max="12527" width="9.140625" style="643" customWidth="1"/>
    <col min="12528" max="12528" width="6.42578125" style="643" customWidth="1"/>
    <col min="12529" max="12533" width="8" style="643" customWidth="1"/>
    <col min="12534" max="12534" width="9.42578125" style="643" customWidth="1"/>
    <col min="12535" max="12535" width="8.28515625" style="643" customWidth="1"/>
    <col min="12536" max="12536" width="8" style="643" customWidth="1"/>
    <col min="12537" max="12537" width="8.5703125" style="643" customWidth="1"/>
    <col min="12538" max="12538" width="8" style="643" customWidth="1"/>
    <col min="12539" max="12539" width="9.140625" style="643" customWidth="1"/>
    <col min="12540" max="12545" width="8" style="643" customWidth="1"/>
    <col min="12546" max="12546" width="9.42578125" style="643" customWidth="1"/>
    <col min="12547" max="12547" width="8.28515625" style="643" customWidth="1"/>
    <col min="12548" max="12548" width="8" style="643" customWidth="1"/>
    <col min="12549" max="12549" width="8.5703125" style="643" customWidth="1"/>
    <col min="12550" max="12550" width="8" style="643" customWidth="1"/>
    <col min="12551" max="12551" width="9.140625" style="643" customWidth="1"/>
    <col min="12552" max="12557" width="8" style="643" customWidth="1"/>
    <col min="12558" max="12558" width="9.42578125" style="643" customWidth="1"/>
    <col min="12559" max="12559" width="8.28515625" style="643" customWidth="1"/>
    <col min="12560" max="12560" width="8" style="643" customWidth="1"/>
    <col min="12561" max="12561" width="8.5703125" style="643" customWidth="1"/>
    <col min="12562" max="12562" width="8" style="643" customWidth="1"/>
    <col min="12563" max="12563" width="9.140625" style="643" customWidth="1"/>
    <col min="12564" max="12569" width="8" style="643" customWidth="1"/>
    <col min="12570" max="12570" width="9.42578125" style="643" customWidth="1"/>
    <col min="12571" max="12571" width="8.28515625" style="643" customWidth="1"/>
    <col min="12572" max="12572" width="8" style="643" customWidth="1"/>
    <col min="12573" max="12573" width="8.5703125" style="643" customWidth="1"/>
    <col min="12574" max="12574" width="8" style="643" customWidth="1"/>
    <col min="12575" max="12575" width="9.140625" style="643" customWidth="1"/>
    <col min="12576" max="12581" width="8" style="643" customWidth="1"/>
    <col min="12582" max="12582" width="9.42578125" style="643" customWidth="1"/>
    <col min="12583" max="12583" width="8.28515625" style="643" customWidth="1"/>
    <col min="12584" max="12584" width="8" style="643" customWidth="1"/>
    <col min="12585" max="12585" width="8.5703125" style="643" customWidth="1"/>
    <col min="12586" max="12586" width="8" style="643" customWidth="1"/>
    <col min="12587" max="12587" width="9.140625" style="643" customWidth="1"/>
    <col min="12588" max="12593" width="8" style="643" customWidth="1"/>
    <col min="12594" max="12594" width="9.42578125" style="643" customWidth="1"/>
    <col min="12595" max="12595" width="8.28515625" style="643" customWidth="1"/>
    <col min="12596" max="12596" width="8" style="643" customWidth="1"/>
    <col min="12597" max="12597" width="8.5703125" style="643" customWidth="1"/>
    <col min="12598" max="12598" width="8" style="643" customWidth="1"/>
    <col min="12599" max="12599" width="9.140625" style="643" customWidth="1"/>
    <col min="12600" max="12602" width="8" style="643" customWidth="1"/>
    <col min="12603" max="12779" width="9.140625" style="643"/>
    <col min="12780" max="12780" width="38" style="643" customWidth="1"/>
    <col min="12781" max="12781" width="18.7109375" style="643" customWidth="1"/>
    <col min="12782" max="12782" width="8" style="643" customWidth="1"/>
    <col min="12783" max="12783" width="9.140625" style="643" customWidth="1"/>
    <col min="12784" max="12784" width="6.42578125" style="643" customWidth="1"/>
    <col min="12785" max="12789" width="8" style="643" customWidth="1"/>
    <col min="12790" max="12790" width="9.42578125" style="643" customWidth="1"/>
    <col min="12791" max="12791" width="8.28515625" style="643" customWidth="1"/>
    <col min="12792" max="12792" width="8" style="643" customWidth="1"/>
    <col min="12793" max="12793" width="8.5703125" style="643" customWidth="1"/>
    <col min="12794" max="12794" width="8" style="643" customWidth="1"/>
    <col min="12795" max="12795" width="9.140625" style="643" customWidth="1"/>
    <col min="12796" max="12801" width="8" style="643" customWidth="1"/>
    <col min="12802" max="12802" width="9.42578125" style="643" customWidth="1"/>
    <col min="12803" max="12803" width="8.28515625" style="643" customWidth="1"/>
    <col min="12804" max="12804" width="8" style="643" customWidth="1"/>
    <col min="12805" max="12805" width="8.5703125" style="643" customWidth="1"/>
    <col min="12806" max="12806" width="8" style="643" customWidth="1"/>
    <col min="12807" max="12807" width="9.140625" style="643" customWidth="1"/>
    <col min="12808" max="12813" width="8" style="643" customWidth="1"/>
    <col min="12814" max="12814" width="9.42578125" style="643" customWidth="1"/>
    <col min="12815" max="12815" width="8.28515625" style="643" customWidth="1"/>
    <col min="12816" max="12816" width="8" style="643" customWidth="1"/>
    <col min="12817" max="12817" width="8.5703125" style="643" customWidth="1"/>
    <col min="12818" max="12818" width="8" style="643" customWidth="1"/>
    <col min="12819" max="12819" width="9.140625" style="643" customWidth="1"/>
    <col min="12820" max="12825" width="8" style="643" customWidth="1"/>
    <col min="12826" max="12826" width="9.42578125" style="643" customWidth="1"/>
    <col min="12827" max="12827" width="8.28515625" style="643" customWidth="1"/>
    <col min="12828" max="12828" width="8" style="643" customWidth="1"/>
    <col min="12829" max="12829" width="8.5703125" style="643" customWidth="1"/>
    <col min="12830" max="12830" width="8" style="643" customWidth="1"/>
    <col min="12831" max="12831" width="9.140625" style="643" customWidth="1"/>
    <col min="12832" max="12837" width="8" style="643" customWidth="1"/>
    <col min="12838" max="12838" width="9.42578125" style="643" customWidth="1"/>
    <col min="12839" max="12839" width="8.28515625" style="643" customWidth="1"/>
    <col min="12840" max="12840" width="8" style="643" customWidth="1"/>
    <col min="12841" max="12841" width="8.5703125" style="643" customWidth="1"/>
    <col min="12842" max="12842" width="8" style="643" customWidth="1"/>
    <col min="12843" max="12843" width="9.140625" style="643" customWidth="1"/>
    <col min="12844" max="12849" width="8" style="643" customWidth="1"/>
    <col min="12850" max="12850" width="9.42578125" style="643" customWidth="1"/>
    <col min="12851" max="12851" width="8.28515625" style="643" customWidth="1"/>
    <col min="12852" max="12852" width="8" style="643" customWidth="1"/>
    <col min="12853" max="12853" width="8.5703125" style="643" customWidth="1"/>
    <col min="12854" max="12854" width="8" style="643" customWidth="1"/>
    <col min="12855" max="12855" width="9.140625" style="643" customWidth="1"/>
    <col min="12856" max="12858" width="8" style="643" customWidth="1"/>
    <col min="12859" max="13035" width="9.140625" style="643"/>
    <col min="13036" max="13036" width="38" style="643" customWidth="1"/>
    <col min="13037" max="13037" width="18.7109375" style="643" customWidth="1"/>
    <col min="13038" max="13038" width="8" style="643" customWidth="1"/>
    <col min="13039" max="13039" width="9.140625" style="643" customWidth="1"/>
    <col min="13040" max="13040" width="6.42578125" style="643" customWidth="1"/>
    <col min="13041" max="13045" width="8" style="643" customWidth="1"/>
    <col min="13046" max="13046" width="9.42578125" style="643" customWidth="1"/>
    <col min="13047" max="13047" width="8.28515625" style="643" customWidth="1"/>
    <col min="13048" max="13048" width="8" style="643" customWidth="1"/>
    <col min="13049" max="13049" width="8.5703125" style="643" customWidth="1"/>
    <col min="13050" max="13050" width="8" style="643" customWidth="1"/>
    <col min="13051" max="13051" width="9.140625" style="643" customWidth="1"/>
    <col min="13052" max="13057" width="8" style="643" customWidth="1"/>
    <col min="13058" max="13058" width="9.42578125" style="643" customWidth="1"/>
    <col min="13059" max="13059" width="8.28515625" style="643" customWidth="1"/>
    <col min="13060" max="13060" width="8" style="643" customWidth="1"/>
    <col min="13061" max="13061" width="8.5703125" style="643" customWidth="1"/>
    <col min="13062" max="13062" width="8" style="643" customWidth="1"/>
    <col min="13063" max="13063" width="9.140625" style="643" customWidth="1"/>
    <col min="13064" max="13069" width="8" style="643" customWidth="1"/>
    <col min="13070" max="13070" width="9.42578125" style="643" customWidth="1"/>
    <col min="13071" max="13071" width="8.28515625" style="643" customWidth="1"/>
    <col min="13072" max="13072" width="8" style="643" customWidth="1"/>
    <col min="13073" max="13073" width="8.5703125" style="643" customWidth="1"/>
    <col min="13074" max="13074" width="8" style="643" customWidth="1"/>
    <col min="13075" max="13075" width="9.140625" style="643" customWidth="1"/>
    <col min="13076" max="13081" width="8" style="643" customWidth="1"/>
    <col min="13082" max="13082" width="9.42578125" style="643" customWidth="1"/>
    <col min="13083" max="13083" width="8.28515625" style="643" customWidth="1"/>
    <col min="13084" max="13084" width="8" style="643" customWidth="1"/>
    <col min="13085" max="13085" width="8.5703125" style="643" customWidth="1"/>
    <col min="13086" max="13086" width="8" style="643" customWidth="1"/>
    <col min="13087" max="13087" width="9.140625" style="643" customWidth="1"/>
    <col min="13088" max="13093" width="8" style="643" customWidth="1"/>
    <col min="13094" max="13094" width="9.42578125" style="643" customWidth="1"/>
    <col min="13095" max="13095" width="8.28515625" style="643" customWidth="1"/>
    <col min="13096" max="13096" width="8" style="643" customWidth="1"/>
    <col min="13097" max="13097" width="8.5703125" style="643" customWidth="1"/>
    <col min="13098" max="13098" width="8" style="643" customWidth="1"/>
    <col min="13099" max="13099" width="9.140625" style="643" customWidth="1"/>
    <col min="13100" max="13105" width="8" style="643" customWidth="1"/>
    <col min="13106" max="13106" width="9.42578125" style="643" customWidth="1"/>
    <col min="13107" max="13107" width="8.28515625" style="643" customWidth="1"/>
    <col min="13108" max="13108" width="8" style="643" customWidth="1"/>
    <col min="13109" max="13109" width="8.5703125" style="643" customWidth="1"/>
    <col min="13110" max="13110" width="8" style="643" customWidth="1"/>
    <col min="13111" max="13111" width="9.140625" style="643" customWidth="1"/>
    <col min="13112" max="13114" width="8" style="643" customWidth="1"/>
    <col min="13115" max="13291" width="9.140625" style="643"/>
    <col min="13292" max="13292" width="38" style="643" customWidth="1"/>
    <col min="13293" max="13293" width="18.7109375" style="643" customWidth="1"/>
    <col min="13294" max="13294" width="8" style="643" customWidth="1"/>
    <col min="13295" max="13295" width="9.140625" style="643" customWidth="1"/>
    <col min="13296" max="13296" width="6.42578125" style="643" customWidth="1"/>
    <col min="13297" max="13301" width="8" style="643" customWidth="1"/>
    <col min="13302" max="13302" width="9.42578125" style="643" customWidth="1"/>
    <col min="13303" max="13303" width="8.28515625" style="643" customWidth="1"/>
    <col min="13304" max="13304" width="8" style="643" customWidth="1"/>
    <col min="13305" max="13305" width="8.5703125" style="643" customWidth="1"/>
    <col min="13306" max="13306" width="8" style="643" customWidth="1"/>
    <col min="13307" max="13307" width="9.140625" style="643" customWidth="1"/>
    <col min="13308" max="13313" width="8" style="643" customWidth="1"/>
    <col min="13314" max="13314" width="9.42578125" style="643" customWidth="1"/>
    <col min="13315" max="13315" width="8.28515625" style="643" customWidth="1"/>
    <col min="13316" max="13316" width="8" style="643" customWidth="1"/>
    <col min="13317" max="13317" width="8.5703125" style="643" customWidth="1"/>
    <col min="13318" max="13318" width="8" style="643" customWidth="1"/>
    <col min="13319" max="13319" width="9.140625" style="643" customWidth="1"/>
    <col min="13320" max="13325" width="8" style="643" customWidth="1"/>
    <col min="13326" max="13326" width="9.42578125" style="643" customWidth="1"/>
    <col min="13327" max="13327" width="8.28515625" style="643" customWidth="1"/>
    <col min="13328" max="13328" width="8" style="643" customWidth="1"/>
    <col min="13329" max="13329" width="8.5703125" style="643" customWidth="1"/>
    <col min="13330" max="13330" width="8" style="643" customWidth="1"/>
    <col min="13331" max="13331" width="9.140625" style="643" customWidth="1"/>
    <col min="13332" max="13337" width="8" style="643" customWidth="1"/>
    <col min="13338" max="13338" width="9.42578125" style="643" customWidth="1"/>
    <col min="13339" max="13339" width="8.28515625" style="643" customWidth="1"/>
    <col min="13340" max="13340" width="8" style="643" customWidth="1"/>
    <col min="13341" max="13341" width="8.5703125" style="643" customWidth="1"/>
    <col min="13342" max="13342" width="8" style="643" customWidth="1"/>
    <col min="13343" max="13343" width="9.140625" style="643" customWidth="1"/>
    <col min="13344" max="13349" width="8" style="643" customWidth="1"/>
    <col min="13350" max="13350" width="9.42578125" style="643" customWidth="1"/>
    <col min="13351" max="13351" width="8.28515625" style="643" customWidth="1"/>
    <col min="13352" max="13352" width="8" style="643" customWidth="1"/>
    <col min="13353" max="13353" width="8.5703125" style="643" customWidth="1"/>
    <col min="13354" max="13354" width="8" style="643" customWidth="1"/>
    <col min="13355" max="13355" width="9.140625" style="643" customWidth="1"/>
    <col min="13356" max="13361" width="8" style="643" customWidth="1"/>
    <col min="13362" max="13362" width="9.42578125" style="643" customWidth="1"/>
    <col min="13363" max="13363" width="8.28515625" style="643" customWidth="1"/>
    <col min="13364" max="13364" width="8" style="643" customWidth="1"/>
    <col min="13365" max="13365" width="8.5703125" style="643" customWidth="1"/>
    <col min="13366" max="13366" width="8" style="643" customWidth="1"/>
    <col min="13367" max="13367" width="9.140625" style="643" customWidth="1"/>
    <col min="13368" max="13370" width="8" style="643" customWidth="1"/>
    <col min="13371" max="13547" width="9.140625" style="643"/>
    <col min="13548" max="13548" width="38" style="643" customWidth="1"/>
    <col min="13549" max="13549" width="18.7109375" style="643" customWidth="1"/>
    <col min="13550" max="13550" width="8" style="643" customWidth="1"/>
    <col min="13551" max="13551" width="9.140625" style="643" customWidth="1"/>
    <col min="13552" max="13552" width="6.42578125" style="643" customWidth="1"/>
    <col min="13553" max="13557" width="8" style="643" customWidth="1"/>
    <col min="13558" max="13558" width="9.42578125" style="643" customWidth="1"/>
    <col min="13559" max="13559" width="8.28515625" style="643" customWidth="1"/>
    <col min="13560" max="13560" width="8" style="643" customWidth="1"/>
    <col min="13561" max="13561" width="8.5703125" style="643" customWidth="1"/>
    <col min="13562" max="13562" width="8" style="643" customWidth="1"/>
    <col min="13563" max="13563" width="9.140625" style="643" customWidth="1"/>
    <col min="13564" max="13569" width="8" style="643" customWidth="1"/>
    <col min="13570" max="13570" width="9.42578125" style="643" customWidth="1"/>
    <col min="13571" max="13571" width="8.28515625" style="643" customWidth="1"/>
    <col min="13572" max="13572" width="8" style="643" customWidth="1"/>
    <col min="13573" max="13573" width="8.5703125" style="643" customWidth="1"/>
    <col min="13574" max="13574" width="8" style="643" customWidth="1"/>
    <col min="13575" max="13575" width="9.140625" style="643" customWidth="1"/>
    <col min="13576" max="13581" width="8" style="643" customWidth="1"/>
    <col min="13582" max="13582" width="9.42578125" style="643" customWidth="1"/>
    <col min="13583" max="13583" width="8.28515625" style="643" customWidth="1"/>
    <col min="13584" max="13584" width="8" style="643" customWidth="1"/>
    <col min="13585" max="13585" width="8.5703125" style="643" customWidth="1"/>
    <col min="13586" max="13586" width="8" style="643" customWidth="1"/>
    <col min="13587" max="13587" width="9.140625" style="643" customWidth="1"/>
    <col min="13588" max="13593" width="8" style="643" customWidth="1"/>
    <col min="13594" max="13594" width="9.42578125" style="643" customWidth="1"/>
    <col min="13595" max="13595" width="8.28515625" style="643" customWidth="1"/>
    <col min="13596" max="13596" width="8" style="643" customWidth="1"/>
    <col min="13597" max="13597" width="8.5703125" style="643" customWidth="1"/>
    <col min="13598" max="13598" width="8" style="643" customWidth="1"/>
    <col min="13599" max="13599" width="9.140625" style="643" customWidth="1"/>
    <col min="13600" max="13605" width="8" style="643" customWidth="1"/>
    <col min="13606" max="13606" width="9.42578125" style="643" customWidth="1"/>
    <col min="13607" max="13607" width="8.28515625" style="643" customWidth="1"/>
    <col min="13608" max="13608" width="8" style="643" customWidth="1"/>
    <col min="13609" max="13609" width="8.5703125" style="643" customWidth="1"/>
    <col min="13610" max="13610" width="8" style="643" customWidth="1"/>
    <col min="13611" max="13611" width="9.140625" style="643" customWidth="1"/>
    <col min="13612" max="13617" width="8" style="643" customWidth="1"/>
    <col min="13618" max="13618" width="9.42578125" style="643" customWidth="1"/>
    <col min="13619" max="13619" width="8.28515625" style="643" customWidth="1"/>
    <col min="13620" max="13620" width="8" style="643" customWidth="1"/>
    <col min="13621" max="13621" width="8.5703125" style="643" customWidth="1"/>
    <col min="13622" max="13622" width="8" style="643" customWidth="1"/>
    <col min="13623" max="13623" width="9.140625" style="643" customWidth="1"/>
    <col min="13624" max="13626" width="8" style="643" customWidth="1"/>
    <col min="13627" max="13803" width="9.140625" style="643"/>
    <col min="13804" max="13804" width="38" style="643" customWidth="1"/>
    <col min="13805" max="13805" width="18.7109375" style="643" customWidth="1"/>
    <col min="13806" max="13806" width="8" style="643" customWidth="1"/>
    <col min="13807" max="13807" width="9.140625" style="643" customWidth="1"/>
    <col min="13808" max="13808" width="6.42578125" style="643" customWidth="1"/>
    <col min="13809" max="13813" width="8" style="643" customWidth="1"/>
    <col min="13814" max="13814" width="9.42578125" style="643" customWidth="1"/>
    <col min="13815" max="13815" width="8.28515625" style="643" customWidth="1"/>
    <col min="13816" max="13816" width="8" style="643" customWidth="1"/>
    <col min="13817" max="13817" width="8.5703125" style="643" customWidth="1"/>
    <col min="13818" max="13818" width="8" style="643" customWidth="1"/>
    <col min="13819" max="13819" width="9.140625" style="643" customWidth="1"/>
    <col min="13820" max="13825" width="8" style="643" customWidth="1"/>
    <col min="13826" max="13826" width="9.42578125" style="643" customWidth="1"/>
    <col min="13827" max="13827" width="8.28515625" style="643" customWidth="1"/>
    <col min="13828" max="13828" width="8" style="643" customWidth="1"/>
    <col min="13829" max="13829" width="8.5703125" style="643" customWidth="1"/>
    <col min="13830" max="13830" width="8" style="643" customWidth="1"/>
    <col min="13831" max="13831" width="9.140625" style="643" customWidth="1"/>
    <col min="13832" max="13837" width="8" style="643" customWidth="1"/>
    <col min="13838" max="13838" width="9.42578125" style="643" customWidth="1"/>
    <col min="13839" max="13839" width="8.28515625" style="643" customWidth="1"/>
    <col min="13840" max="13840" width="8" style="643" customWidth="1"/>
    <col min="13841" max="13841" width="8.5703125" style="643" customWidth="1"/>
    <col min="13842" max="13842" width="8" style="643" customWidth="1"/>
    <col min="13843" max="13843" width="9.140625" style="643" customWidth="1"/>
    <col min="13844" max="13849" width="8" style="643" customWidth="1"/>
    <col min="13850" max="13850" width="9.42578125" style="643" customWidth="1"/>
    <col min="13851" max="13851" width="8.28515625" style="643" customWidth="1"/>
    <col min="13852" max="13852" width="8" style="643" customWidth="1"/>
    <col min="13853" max="13853" width="8.5703125" style="643" customWidth="1"/>
    <col min="13854" max="13854" width="8" style="643" customWidth="1"/>
    <col min="13855" max="13855" width="9.140625" style="643" customWidth="1"/>
    <col min="13856" max="13861" width="8" style="643" customWidth="1"/>
    <col min="13862" max="13862" width="9.42578125" style="643" customWidth="1"/>
    <col min="13863" max="13863" width="8.28515625" style="643" customWidth="1"/>
    <col min="13864" max="13864" width="8" style="643" customWidth="1"/>
    <col min="13865" max="13865" width="8.5703125" style="643" customWidth="1"/>
    <col min="13866" max="13866" width="8" style="643" customWidth="1"/>
    <col min="13867" max="13867" width="9.140625" style="643" customWidth="1"/>
    <col min="13868" max="13873" width="8" style="643" customWidth="1"/>
    <col min="13874" max="13874" width="9.42578125" style="643" customWidth="1"/>
    <col min="13875" max="13875" width="8.28515625" style="643" customWidth="1"/>
    <col min="13876" max="13876" width="8" style="643" customWidth="1"/>
    <col min="13877" max="13877" width="8.5703125" style="643" customWidth="1"/>
    <col min="13878" max="13878" width="8" style="643" customWidth="1"/>
    <col min="13879" max="13879" width="9.140625" style="643" customWidth="1"/>
    <col min="13880" max="13882" width="8" style="643" customWidth="1"/>
    <col min="13883" max="14059" width="9.140625" style="643"/>
    <col min="14060" max="14060" width="38" style="643" customWidth="1"/>
    <col min="14061" max="14061" width="18.7109375" style="643" customWidth="1"/>
    <col min="14062" max="14062" width="8" style="643" customWidth="1"/>
    <col min="14063" max="14063" width="9.140625" style="643" customWidth="1"/>
    <col min="14064" max="14064" width="6.42578125" style="643" customWidth="1"/>
    <col min="14065" max="14069" width="8" style="643" customWidth="1"/>
    <col min="14070" max="14070" width="9.42578125" style="643" customWidth="1"/>
    <col min="14071" max="14071" width="8.28515625" style="643" customWidth="1"/>
    <col min="14072" max="14072" width="8" style="643" customWidth="1"/>
    <col min="14073" max="14073" width="8.5703125" style="643" customWidth="1"/>
    <col min="14074" max="14074" width="8" style="643" customWidth="1"/>
    <col min="14075" max="14075" width="9.140625" style="643" customWidth="1"/>
    <col min="14076" max="14081" width="8" style="643" customWidth="1"/>
    <col min="14082" max="14082" width="9.42578125" style="643" customWidth="1"/>
    <col min="14083" max="14083" width="8.28515625" style="643" customWidth="1"/>
    <col min="14084" max="14084" width="8" style="643" customWidth="1"/>
    <col min="14085" max="14085" width="8.5703125" style="643" customWidth="1"/>
    <col min="14086" max="14086" width="8" style="643" customWidth="1"/>
    <col min="14087" max="14087" width="9.140625" style="643" customWidth="1"/>
    <col min="14088" max="14093" width="8" style="643" customWidth="1"/>
    <col min="14094" max="14094" width="9.42578125" style="643" customWidth="1"/>
    <col min="14095" max="14095" width="8.28515625" style="643" customWidth="1"/>
    <col min="14096" max="14096" width="8" style="643" customWidth="1"/>
    <col min="14097" max="14097" width="8.5703125" style="643" customWidth="1"/>
    <col min="14098" max="14098" width="8" style="643" customWidth="1"/>
    <col min="14099" max="14099" width="9.140625" style="643" customWidth="1"/>
    <col min="14100" max="14105" width="8" style="643" customWidth="1"/>
    <col min="14106" max="14106" width="9.42578125" style="643" customWidth="1"/>
    <col min="14107" max="14107" width="8.28515625" style="643" customWidth="1"/>
    <col min="14108" max="14108" width="8" style="643" customWidth="1"/>
    <col min="14109" max="14109" width="8.5703125" style="643" customWidth="1"/>
    <col min="14110" max="14110" width="8" style="643" customWidth="1"/>
    <col min="14111" max="14111" width="9.140625" style="643" customWidth="1"/>
    <col min="14112" max="14117" width="8" style="643" customWidth="1"/>
    <col min="14118" max="14118" width="9.42578125" style="643" customWidth="1"/>
    <col min="14119" max="14119" width="8.28515625" style="643" customWidth="1"/>
    <col min="14120" max="14120" width="8" style="643" customWidth="1"/>
    <col min="14121" max="14121" width="8.5703125" style="643" customWidth="1"/>
    <col min="14122" max="14122" width="8" style="643" customWidth="1"/>
    <col min="14123" max="14123" width="9.140625" style="643" customWidth="1"/>
    <col min="14124" max="14129" width="8" style="643" customWidth="1"/>
    <col min="14130" max="14130" width="9.42578125" style="643" customWidth="1"/>
    <col min="14131" max="14131" width="8.28515625" style="643" customWidth="1"/>
    <col min="14132" max="14132" width="8" style="643" customWidth="1"/>
    <col min="14133" max="14133" width="8.5703125" style="643" customWidth="1"/>
    <col min="14134" max="14134" width="8" style="643" customWidth="1"/>
    <col min="14135" max="14135" width="9.140625" style="643" customWidth="1"/>
    <col min="14136" max="14138" width="8" style="643" customWidth="1"/>
    <col min="14139" max="14315" width="9.140625" style="643"/>
    <col min="14316" max="14316" width="38" style="643" customWidth="1"/>
    <col min="14317" max="14317" width="18.7109375" style="643" customWidth="1"/>
    <col min="14318" max="14318" width="8" style="643" customWidth="1"/>
    <col min="14319" max="14319" width="9.140625" style="643" customWidth="1"/>
    <col min="14320" max="14320" width="6.42578125" style="643" customWidth="1"/>
    <col min="14321" max="14325" width="8" style="643" customWidth="1"/>
    <col min="14326" max="14326" width="9.42578125" style="643" customWidth="1"/>
    <col min="14327" max="14327" width="8.28515625" style="643" customWidth="1"/>
    <col min="14328" max="14328" width="8" style="643" customWidth="1"/>
    <col min="14329" max="14329" width="8.5703125" style="643" customWidth="1"/>
    <col min="14330" max="14330" width="8" style="643" customWidth="1"/>
    <col min="14331" max="14331" width="9.140625" style="643" customWidth="1"/>
    <col min="14332" max="14337" width="8" style="643" customWidth="1"/>
    <col min="14338" max="14338" width="9.42578125" style="643" customWidth="1"/>
    <col min="14339" max="14339" width="8.28515625" style="643" customWidth="1"/>
    <col min="14340" max="14340" width="8" style="643" customWidth="1"/>
    <col min="14341" max="14341" width="8.5703125" style="643" customWidth="1"/>
    <col min="14342" max="14342" width="8" style="643" customWidth="1"/>
    <col min="14343" max="14343" width="9.140625" style="643" customWidth="1"/>
    <col min="14344" max="14349" width="8" style="643" customWidth="1"/>
    <col min="14350" max="14350" width="9.42578125" style="643" customWidth="1"/>
    <col min="14351" max="14351" width="8.28515625" style="643" customWidth="1"/>
    <col min="14352" max="14352" width="8" style="643" customWidth="1"/>
    <col min="14353" max="14353" width="8.5703125" style="643" customWidth="1"/>
    <col min="14354" max="14354" width="8" style="643" customWidth="1"/>
    <col min="14355" max="14355" width="9.140625" style="643" customWidth="1"/>
    <col min="14356" max="14361" width="8" style="643" customWidth="1"/>
    <col min="14362" max="14362" width="9.42578125" style="643" customWidth="1"/>
    <col min="14363" max="14363" width="8.28515625" style="643" customWidth="1"/>
    <col min="14364" max="14364" width="8" style="643" customWidth="1"/>
    <col min="14365" max="14365" width="8.5703125" style="643" customWidth="1"/>
    <col min="14366" max="14366" width="8" style="643" customWidth="1"/>
    <col min="14367" max="14367" width="9.140625" style="643" customWidth="1"/>
    <col min="14368" max="14373" width="8" style="643" customWidth="1"/>
    <col min="14374" max="14374" width="9.42578125" style="643" customWidth="1"/>
    <col min="14375" max="14375" width="8.28515625" style="643" customWidth="1"/>
    <col min="14376" max="14376" width="8" style="643" customWidth="1"/>
    <col min="14377" max="14377" width="8.5703125" style="643" customWidth="1"/>
    <col min="14378" max="14378" width="8" style="643" customWidth="1"/>
    <col min="14379" max="14379" width="9.140625" style="643" customWidth="1"/>
    <col min="14380" max="14385" width="8" style="643" customWidth="1"/>
    <col min="14386" max="14386" width="9.42578125" style="643" customWidth="1"/>
    <col min="14387" max="14387" width="8.28515625" style="643" customWidth="1"/>
    <col min="14388" max="14388" width="8" style="643" customWidth="1"/>
    <col min="14389" max="14389" width="8.5703125" style="643" customWidth="1"/>
    <col min="14390" max="14390" width="8" style="643" customWidth="1"/>
    <col min="14391" max="14391" width="9.140625" style="643" customWidth="1"/>
    <col min="14392" max="14394" width="8" style="643" customWidth="1"/>
    <col min="14395" max="14571" width="9.140625" style="643"/>
    <col min="14572" max="14572" width="38" style="643" customWidth="1"/>
    <col min="14573" max="14573" width="18.7109375" style="643" customWidth="1"/>
    <col min="14574" max="14574" width="8" style="643" customWidth="1"/>
    <col min="14575" max="14575" width="9.140625" style="643" customWidth="1"/>
    <col min="14576" max="14576" width="6.42578125" style="643" customWidth="1"/>
    <col min="14577" max="14581" width="8" style="643" customWidth="1"/>
    <col min="14582" max="14582" width="9.42578125" style="643" customWidth="1"/>
    <col min="14583" max="14583" width="8.28515625" style="643" customWidth="1"/>
    <col min="14584" max="14584" width="8" style="643" customWidth="1"/>
    <col min="14585" max="14585" width="8.5703125" style="643" customWidth="1"/>
    <col min="14586" max="14586" width="8" style="643" customWidth="1"/>
    <col min="14587" max="14587" width="9.140625" style="643" customWidth="1"/>
    <col min="14588" max="14593" width="8" style="643" customWidth="1"/>
    <col min="14594" max="14594" width="9.42578125" style="643" customWidth="1"/>
    <col min="14595" max="14595" width="8.28515625" style="643" customWidth="1"/>
    <col min="14596" max="14596" width="8" style="643" customWidth="1"/>
    <col min="14597" max="14597" width="8.5703125" style="643" customWidth="1"/>
    <col min="14598" max="14598" width="8" style="643" customWidth="1"/>
    <col min="14599" max="14599" width="9.140625" style="643" customWidth="1"/>
    <col min="14600" max="14605" width="8" style="643" customWidth="1"/>
    <col min="14606" max="14606" width="9.42578125" style="643" customWidth="1"/>
    <col min="14607" max="14607" width="8.28515625" style="643" customWidth="1"/>
    <col min="14608" max="14608" width="8" style="643" customWidth="1"/>
    <col min="14609" max="14609" width="8.5703125" style="643" customWidth="1"/>
    <col min="14610" max="14610" width="8" style="643" customWidth="1"/>
    <col min="14611" max="14611" width="9.140625" style="643" customWidth="1"/>
    <col min="14612" max="14617" width="8" style="643" customWidth="1"/>
    <col min="14618" max="14618" width="9.42578125" style="643" customWidth="1"/>
    <col min="14619" max="14619" width="8.28515625" style="643" customWidth="1"/>
    <col min="14620" max="14620" width="8" style="643" customWidth="1"/>
    <col min="14621" max="14621" width="8.5703125" style="643" customWidth="1"/>
    <col min="14622" max="14622" width="8" style="643" customWidth="1"/>
    <col min="14623" max="14623" width="9.140625" style="643" customWidth="1"/>
    <col min="14624" max="14629" width="8" style="643" customWidth="1"/>
    <col min="14630" max="14630" width="9.42578125" style="643" customWidth="1"/>
    <col min="14631" max="14631" width="8.28515625" style="643" customWidth="1"/>
    <col min="14632" max="14632" width="8" style="643" customWidth="1"/>
    <col min="14633" max="14633" width="8.5703125" style="643" customWidth="1"/>
    <col min="14634" max="14634" width="8" style="643" customWidth="1"/>
    <col min="14635" max="14635" width="9.140625" style="643" customWidth="1"/>
    <col min="14636" max="14641" width="8" style="643" customWidth="1"/>
    <col min="14642" max="14642" width="9.42578125" style="643" customWidth="1"/>
    <col min="14643" max="14643" width="8.28515625" style="643" customWidth="1"/>
    <col min="14644" max="14644" width="8" style="643" customWidth="1"/>
    <col min="14645" max="14645" width="8.5703125" style="643" customWidth="1"/>
    <col min="14646" max="14646" width="8" style="643" customWidth="1"/>
    <col min="14647" max="14647" width="9.140625" style="643" customWidth="1"/>
    <col min="14648" max="14650" width="8" style="643" customWidth="1"/>
    <col min="14651" max="14827" width="9.140625" style="643"/>
    <col min="14828" max="14828" width="38" style="643" customWidth="1"/>
    <col min="14829" max="14829" width="18.7109375" style="643" customWidth="1"/>
    <col min="14830" max="14830" width="8" style="643" customWidth="1"/>
    <col min="14831" max="14831" width="9.140625" style="643" customWidth="1"/>
    <col min="14832" max="14832" width="6.42578125" style="643" customWidth="1"/>
    <col min="14833" max="14837" width="8" style="643" customWidth="1"/>
    <col min="14838" max="14838" width="9.42578125" style="643" customWidth="1"/>
    <col min="14839" max="14839" width="8.28515625" style="643" customWidth="1"/>
    <col min="14840" max="14840" width="8" style="643" customWidth="1"/>
    <col min="14841" max="14841" width="8.5703125" style="643" customWidth="1"/>
    <col min="14842" max="14842" width="8" style="643" customWidth="1"/>
    <col min="14843" max="14843" width="9.140625" style="643" customWidth="1"/>
    <col min="14844" max="14849" width="8" style="643" customWidth="1"/>
    <col min="14850" max="14850" width="9.42578125" style="643" customWidth="1"/>
    <col min="14851" max="14851" width="8.28515625" style="643" customWidth="1"/>
    <col min="14852" max="14852" width="8" style="643" customWidth="1"/>
    <col min="14853" max="14853" width="8.5703125" style="643" customWidth="1"/>
    <col min="14854" max="14854" width="8" style="643" customWidth="1"/>
    <col min="14855" max="14855" width="9.140625" style="643" customWidth="1"/>
    <col min="14856" max="14861" width="8" style="643" customWidth="1"/>
    <col min="14862" max="14862" width="9.42578125" style="643" customWidth="1"/>
    <col min="14863" max="14863" width="8.28515625" style="643" customWidth="1"/>
    <col min="14864" max="14864" width="8" style="643" customWidth="1"/>
    <col min="14865" max="14865" width="8.5703125" style="643" customWidth="1"/>
    <col min="14866" max="14866" width="8" style="643" customWidth="1"/>
    <col min="14867" max="14867" width="9.140625" style="643" customWidth="1"/>
    <col min="14868" max="14873" width="8" style="643" customWidth="1"/>
    <col min="14874" max="14874" width="9.42578125" style="643" customWidth="1"/>
    <col min="14875" max="14875" width="8.28515625" style="643" customWidth="1"/>
    <col min="14876" max="14876" width="8" style="643" customWidth="1"/>
    <col min="14877" max="14877" width="8.5703125" style="643" customWidth="1"/>
    <col min="14878" max="14878" width="8" style="643" customWidth="1"/>
    <col min="14879" max="14879" width="9.140625" style="643" customWidth="1"/>
    <col min="14880" max="14885" width="8" style="643" customWidth="1"/>
    <col min="14886" max="14886" width="9.42578125" style="643" customWidth="1"/>
    <col min="14887" max="14887" width="8.28515625" style="643" customWidth="1"/>
    <col min="14888" max="14888" width="8" style="643" customWidth="1"/>
    <col min="14889" max="14889" width="8.5703125" style="643" customWidth="1"/>
    <col min="14890" max="14890" width="8" style="643" customWidth="1"/>
    <col min="14891" max="14891" width="9.140625" style="643" customWidth="1"/>
    <col min="14892" max="14897" width="8" style="643" customWidth="1"/>
    <col min="14898" max="14898" width="9.42578125" style="643" customWidth="1"/>
    <col min="14899" max="14899" width="8.28515625" style="643" customWidth="1"/>
    <col min="14900" max="14900" width="8" style="643" customWidth="1"/>
    <col min="14901" max="14901" width="8.5703125" style="643" customWidth="1"/>
    <col min="14902" max="14902" width="8" style="643" customWidth="1"/>
    <col min="14903" max="14903" width="9.140625" style="643" customWidth="1"/>
    <col min="14904" max="14906" width="8" style="643" customWidth="1"/>
    <col min="14907" max="15083" width="9.140625" style="643"/>
    <col min="15084" max="15084" width="38" style="643" customWidth="1"/>
    <col min="15085" max="15085" width="18.7109375" style="643" customWidth="1"/>
    <col min="15086" max="15086" width="8" style="643" customWidth="1"/>
    <col min="15087" max="15087" width="9.140625" style="643" customWidth="1"/>
    <col min="15088" max="15088" width="6.42578125" style="643" customWidth="1"/>
    <col min="15089" max="15093" width="8" style="643" customWidth="1"/>
    <col min="15094" max="15094" width="9.42578125" style="643" customWidth="1"/>
    <col min="15095" max="15095" width="8.28515625" style="643" customWidth="1"/>
    <col min="15096" max="15096" width="8" style="643" customWidth="1"/>
    <col min="15097" max="15097" width="8.5703125" style="643" customWidth="1"/>
    <col min="15098" max="15098" width="8" style="643" customWidth="1"/>
    <col min="15099" max="15099" width="9.140625" style="643" customWidth="1"/>
    <col min="15100" max="15105" width="8" style="643" customWidth="1"/>
    <col min="15106" max="15106" width="9.42578125" style="643" customWidth="1"/>
    <col min="15107" max="15107" width="8.28515625" style="643" customWidth="1"/>
    <col min="15108" max="15108" width="8" style="643" customWidth="1"/>
    <col min="15109" max="15109" width="8.5703125" style="643" customWidth="1"/>
    <col min="15110" max="15110" width="8" style="643" customWidth="1"/>
    <col min="15111" max="15111" width="9.140625" style="643" customWidth="1"/>
    <col min="15112" max="15117" width="8" style="643" customWidth="1"/>
    <col min="15118" max="15118" width="9.42578125" style="643" customWidth="1"/>
    <col min="15119" max="15119" width="8.28515625" style="643" customWidth="1"/>
    <col min="15120" max="15120" width="8" style="643" customWidth="1"/>
    <col min="15121" max="15121" width="8.5703125" style="643" customWidth="1"/>
    <col min="15122" max="15122" width="8" style="643" customWidth="1"/>
    <col min="15123" max="15123" width="9.140625" style="643" customWidth="1"/>
    <col min="15124" max="15129" width="8" style="643" customWidth="1"/>
    <col min="15130" max="15130" width="9.42578125" style="643" customWidth="1"/>
    <col min="15131" max="15131" width="8.28515625" style="643" customWidth="1"/>
    <col min="15132" max="15132" width="8" style="643" customWidth="1"/>
    <col min="15133" max="15133" width="8.5703125" style="643" customWidth="1"/>
    <col min="15134" max="15134" width="8" style="643" customWidth="1"/>
    <col min="15135" max="15135" width="9.140625" style="643" customWidth="1"/>
    <col min="15136" max="15141" width="8" style="643" customWidth="1"/>
    <col min="15142" max="15142" width="9.42578125" style="643" customWidth="1"/>
    <col min="15143" max="15143" width="8.28515625" style="643" customWidth="1"/>
    <col min="15144" max="15144" width="8" style="643" customWidth="1"/>
    <col min="15145" max="15145" width="8.5703125" style="643" customWidth="1"/>
    <col min="15146" max="15146" width="8" style="643" customWidth="1"/>
    <col min="15147" max="15147" width="9.140625" style="643" customWidth="1"/>
    <col min="15148" max="15153" width="8" style="643" customWidth="1"/>
    <col min="15154" max="15154" width="9.42578125" style="643" customWidth="1"/>
    <col min="15155" max="15155" width="8.28515625" style="643" customWidth="1"/>
    <col min="15156" max="15156" width="8" style="643" customWidth="1"/>
    <col min="15157" max="15157" width="8.5703125" style="643" customWidth="1"/>
    <col min="15158" max="15158" width="8" style="643" customWidth="1"/>
    <col min="15159" max="15159" width="9.140625" style="643" customWidth="1"/>
    <col min="15160" max="15162" width="8" style="643" customWidth="1"/>
    <col min="15163" max="15339" width="9.140625" style="643"/>
    <col min="15340" max="15340" width="38" style="643" customWidth="1"/>
    <col min="15341" max="15341" width="18.7109375" style="643" customWidth="1"/>
    <col min="15342" max="15342" width="8" style="643" customWidth="1"/>
    <col min="15343" max="15343" width="9.140625" style="643" customWidth="1"/>
    <col min="15344" max="15344" width="6.42578125" style="643" customWidth="1"/>
    <col min="15345" max="15349" width="8" style="643" customWidth="1"/>
    <col min="15350" max="15350" width="9.42578125" style="643" customWidth="1"/>
    <col min="15351" max="15351" width="8.28515625" style="643" customWidth="1"/>
    <col min="15352" max="15352" width="8" style="643" customWidth="1"/>
    <col min="15353" max="15353" width="8.5703125" style="643" customWidth="1"/>
    <col min="15354" max="15354" width="8" style="643" customWidth="1"/>
    <col min="15355" max="15355" width="9.140625" style="643" customWidth="1"/>
    <col min="15356" max="15361" width="8" style="643" customWidth="1"/>
    <col min="15362" max="15362" width="9.42578125" style="643" customWidth="1"/>
    <col min="15363" max="15363" width="8.28515625" style="643" customWidth="1"/>
    <col min="15364" max="15364" width="8" style="643" customWidth="1"/>
    <col min="15365" max="15365" width="8.5703125" style="643" customWidth="1"/>
    <col min="15366" max="15366" width="8" style="643" customWidth="1"/>
    <col min="15367" max="15367" width="9.140625" style="643" customWidth="1"/>
    <col min="15368" max="15373" width="8" style="643" customWidth="1"/>
    <col min="15374" max="15374" width="9.42578125" style="643" customWidth="1"/>
    <col min="15375" max="15375" width="8.28515625" style="643" customWidth="1"/>
    <col min="15376" max="15376" width="8" style="643" customWidth="1"/>
    <col min="15377" max="15377" width="8.5703125" style="643" customWidth="1"/>
    <col min="15378" max="15378" width="8" style="643" customWidth="1"/>
    <col min="15379" max="15379" width="9.140625" style="643" customWidth="1"/>
    <col min="15380" max="15385" width="8" style="643" customWidth="1"/>
    <col min="15386" max="15386" width="9.42578125" style="643" customWidth="1"/>
    <col min="15387" max="15387" width="8.28515625" style="643" customWidth="1"/>
    <col min="15388" max="15388" width="8" style="643" customWidth="1"/>
    <col min="15389" max="15389" width="8.5703125" style="643" customWidth="1"/>
    <col min="15390" max="15390" width="8" style="643" customWidth="1"/>
    <col min="15391" max="15391" width="9.140625" style="643" customWidth="1"/>
    <col min="15392" max="15397" width="8" style="643" customWidth="1"/>
    <col min="15398" max="15398" width="9.42578125" style="643" customWidth="1"/>
    <col min="15399" max="15399" width="8.28515625" style="643" customWidth="1"/>
    <col min="15400" max="15400" width="8" style="643" customWidth="1"/>
    <col min="15401" max="15401" width="8.5703125" style="643" customWidth="1"/>
    <col min="15402" max="15402" width="8" style="643" customWidth="1"/>
    <col min="15403" max="15403" width="9.140625" style="643" customWidth="1"/>
    <col min="15404" max="15409" width="8" style="643" customWidth="1"/>
    <col min="15410" max="15410" width="9.42578125" style="643" customWidth="1"/>
    <col min="15411" max="15411" width="8.28515625" style="643" customWidth="1"/>
    <col min="15412" max="15412" width="8" style="643" customWidth="1"/>
    <col min="15413" max="15413" width="8.5703125" style="643" customWidth="1"/>
    <col min="15414" max="15414" width="8" style="643" customWidth="1"/>
    <col min="15415" max="15415" width="9.140625" style="643" customWidth="1"/>
    <col min="15416" max="15418" width="8" style="643" customWidth="1"/>
    <col min="15419" max="15595" width="9.140625" style="643"/>
    <col min="15596" max="15596" width="38" style="643" customWidth="1"/>
    <col min="15597" max="15597" width="18.7109375" style="643" customWidth="1"/>
    <col min="15598" max="15598" width="8" style="643" customWidth="1"/>
    <col min="15599" max="15599" width="9.140625" style="643" customWidth="1"/>
    <col min="15600" max="15600" width="6.42578125" style="643" customWidth="1"/>
    <col min="15601" max="15605" width="8" style="643" customWidth="1"/>
    <col min="15606" max="15606" width="9.42578125" style="643" customWidth="1"/>
    <col min="15607" max="15607" width="8.28515625" style="643" customWidth="1"/>
    <col min="15608" max="15608" width="8" style="643" customWidth="1"/>
    <col min="15609" max="15609" width="8.5703125" style="643" customWidth="1"/>
    <col min="15610" max="15610" width="8" style="643" customWidth="1"/>
    <col min="15611" max="15611" width="9.140625" style="643" customWidth="1"/>
    <col min="15612" max="15617" width="8" style="643" customWidth="1"/>
    <col min="15618" max="15618" width="9.42578125" style="643" customWidth="1"/>
    <col min="15619" max="15619" width="8.28515625" style="643" customWidth="1"/>
    <col min="15620" max="15620" width="8" style="643" customWidth="1"/>
    <col min="15621" max="15621" width="8.5703125" style="643" customWidth="1"/>
    <col min="15622" max="15622" width="8" style="643" customWidth="1"/>
    <col min="15623" max="15623" width="9.140625" style="643" customWidth="1"/>
    <col min="15624" max="15629" width="8" style="643" customWidth="1"/>
    <col min="15630" max="15630" width="9.42578125" style="643" customWidth="1"/>
    <col min="15631" max="15631" width="8.28515625" style="643" customWidth="1"/>
    <col min="15632" max="15632" width="8" style="643" customWidth="1"/>
    <col min="15633" max="15633" width="8.5703125" style="643" customWidth="1"/>
    <col min="15634" max="15634" width="8" style="643" customWidth="1"/>
    <col min="15635" max="15635" width="9.140625" style="643" customWidth="1"/>
    <col min="15636" max="15641" width="8" style="643" customWidth="1"/>
    <col min="15642" max="15642" width="9.42578125" style="643" customWidth="1"/>
    <col min="15643" max="15643" width="8.28515625" style="643" customWidth="1"/>
    <col min="15644" max="15644" width="8" style="643" customWidth="1"/>
    <col min="15645" max="15645" width="8.5703125" style="643" customWidth="1"/>
    <col min="15646" max="15646" width="8" style="643" customWidth="1"/>
    <col min="15647" max="15647" width="9.140625" style="643" customWidth="1"/>
    <col min="15648" max="15653" width="8" style="643" customWidth="1"/>
    <col min="15654" max="15654" width="9.42578125" style="643" customWidth="1"/>
    <col min="15655" max="15655" width="8.28515625" style="643" customWidth="1"/>
    <col min="15656" max="15656" width="8" style="643" customWidth="1"/>
    <col min="15657" max="15657" width="8.5703125" style="643" customWidth="1"/>
    <col min="15658" max="15658" width="8" style="643" customWidth="1"/>
    <col min="15659" max="15659" width="9.140625" style="643" customWidth="1"/>
    <col min="15660" max="15665" width="8" style="643" customWidth="1"/>
    <col min="15666" max="15666" width="9.42578125" style="643" customWidth="1"/>
    <col min="15667" max="15667" width="8.28515625" style="643" customWidth="1"/>
    <col min="15668" max="15668" width="8" style="643" customWidth="1"/>
    <col min="15669" max="15669" width="8.5703125" style="643" customWidth="1"/>
    <col min="15670" max="15670" width="8" style="643" customWidth="1"/>
    <col min="15671" max="15671" width="9.140625" style="643" customWidth="1"/>
    <col min="15672" max="15674" width="8" style="643" customWidth="1"/>
    <col min="15675" max="15851" width="9.140625" style="643"/>
    <col min="15852" max="15852" width="38" style="643" customWidth="1"/>
    <col min="15853" max="15853" width="18.7109375" style="643" customWidth="1"/>
    <col min="15854" max="15854" width="8" style="643" customWidth="1"/>
    <col min="15855" max="15855" width="9.140625" style="643" customWidth="1"/>
    <col min="15856" max="15856" width="6.42578125" style="643" customWidth="1"/>
    <col min="15857" max="15861" width="8" style="643" customWidth="1"/>
    <col min="15862" max="15862" width="9.42578125" style="643" customWidth="1"/>
    <col min="15863" max="15863" width="8.28515625" style="643" customWidth="1"/>
    <col min="15864" max="15864" width="8" style="643" customWidth="1"/>
    <col min="15865" max="15865" width="8.5703125" style="643" customWidth="1"/>
    <col min="15866" max="15866" width="8" style="643" customWidth="1"/>
    <col min="15867" max="15867" width="9.140625" style="643" customWidth="1"/>
    <col min="15868" max="15873" width="8" style="643" customWidth="1"/>
    <col min="15874" max="15874" width="9.42578125" style="643" customWidth="1"/>
    <col min="15875" max="15875" width="8.28515625" style="643" customWidth="1"/>
    <col min="15876" max="15876" width="8" style="643" customWidth="1"/>
    <col min="15877" max="15877" width="8.5703125" style="643" customWidth="1"/>
    <col min="15878" max="15878" width="8" style="643" customWidth="1"/>
    <col min="15879" max="15879" width="9.140625" style="643" customWidth="1"/>
    <col min="15880" max="15885" width="8" style="643" customWidth="1"/>
    <col min="15886" max="15886" width="9.42578125" style="643" customWidth="1"/>
    <col min="15887" max="15887" width="8.28515625" style="643" customWidth="1"/>
    <col min="15888" max="15888" width="8" style="643" customWidth="1"/>
    <col min="15889" max="15889" width="8.5703125" style="643" customWidth="1"/>
    <col min="15890" max="15890" width="8" style="643" customWidth="1"/>
    <col min="15891" max="15891" width="9.140625" style="643" customWidth="1"/>
    <col min="15892" max="15897" width="8" style="643" customWidth="1"/>
    <col min="15898" max="15898" width="9.42578125" style="643" customWidth="1"/>
    <col min="15899" max="15899" width="8.28515625" style="643" customWidth="1"/>
    <col min="15900" max="15900" width="8" style="643" customWidth="1"/>
    <col min="15901" max="15901" width="8.5703125" style="643" customWidth="1"/>
    <col min="15902" max="15902" width="8" style="643" customWidth="1"/>
    <col min="15903" max="15903" width="9.140625" style="643" customWidth="1"/>
    <col min="15904" max="15909" width="8" style="643" customWidth="1"/>
    <col min="15910" max="15910" width="9.42578125" style="643" customWidth="1"/>
    <col min="15911" max="15911" width="8.28515625" style="643" customWidth="1"/>
    <col min="15912" max="15912" width="8" style="643" customWidth="1"/>
    <col min="15913" max="15913" width="8.5703125" style="643" customWidth="1"/>
    <col min="15914" max="15914" width="8" style="643" customWidth="1"/>
    <col min="15915" max="15915" width="9.140625" style="643" customWidth="1"/>
    <col min="15916" max="15921" width="8" style="643" customWidth="1"/>
    <col min="15922" max="15922" width="9.42578125" style="643" customWidth="1"/>
    <col min="15923" max="15923" width="8.28515625" style="643" customWidth="1"/>
    <col min="15924" max="15924" width="8" style="643" customWidth="1"/>
    <col min="15925" max="15925" width="8.5703125" style="643" customWidth="1"/>
    <col min="15926" max="15926" width="8" style="643" customWidth="1"/>
    <col min="15927" max="15927" width="9.140625" style="643" customWidth="1"/>
    <col min="15928" max="15930" width="8" style="643" customWidth="1"/>
    <col min="15931" max="16107" width="9.140625" style="643"/>
    <col min="16108" max="16108" width="38" style="643" customWidth="1"/>
    <col min="16109" max="16109" width="18.7109375" style="643" customWidth="1"/>
    <col min="16110" max="16110" width="8" style="643" customWidth="1"/>
    <col min="16111" max="16111" width="9.140625" style="643" customWidth="1"/>
    <col min="16112" max="16112" width="6.42578125" style="643" customWidth="1"/>
    <col min="16113" max="16117" width="8" style="643" customWidth="1"/>
    <col min="16118" max="16118" width="9.42578125" style="643" customWidth="1"/>
    <col min="16119" max="16119" width="8.28515625" style="643" customWidth="1"/>
    <col min="16120" max="16120" width="8" style="643" customWidth="1"/>
    <col min="16121" max="16121" width="8.5703125" style="643" customWidth="1"/>
    <col min="16122" max="16122" width="8" style="643" customWidth="1"/>
    <col min="16123" max="16123" width="9.140625" style="643" customWidth="1"/>
    <col min="16124" max="16129" width="8" style="643" customWidth="1"/>
    <col min="16130" max="16130" width="9.42578125" style="643" customWidth="1"/>
    <col min="16131" max="16131" width="8.28515625" style="643" customWidth="1"/>
    <col min="16132" max="16132" width="8" style="643" customWidth="1"/>
    <col min="16133" max="16133" width="8.5703125" style="643" customWidth="1"/>
    <col min="16134" max="16134" width="8" style="643" customWidth="1"/>
    <col min="16135" max="16135" width="9.140625" style="643" customWidth="1"/>
    <col min="16136" max="16141" width="8" style="643" customWidth="1"/>
    <col min="16142" max="16142" width="9.42578125" style="643" customWidth="1"/>
    <col min="16143" max="16143" width="8.28515625" style="643" customWidth="1"/>
    <col min="16144" max="16144" width="8" style="643" customWidth="1"/>
    <col min="16145" max="16145" width="8.5703125" style="643" customWidth="1"/>
    <col min="16146" max="16146" width="8" style="643" customWidth="1"/>
    <col min="16147" max="16147" width="9.140625" style="643" customWidth="1"/>
    <col min="16148" max="16153" width="8" style="643" customWidth="1"/>
    <col min="16154" max="16154" width="9.42578125" style="643" customWidth="1"/>
    <col min="16155" max="16155" width="8.28515625" style="643" customWidth="1"/>
    <col min="16156" max="16156" width="8" style="643" customWidth="1"/>
    <col min="16157" max="16157" width="8.5703125" style="643" customWidth="1"/>
    <col min="16158" max="16158" width="8" style="643" customWidth="1"/>
    <col min="16159" max="16159" width="9.140625" style="643" customWidth="1"/>
    <col min="16160" max="16165" width="8" style="643" customWidth="1"/>
    <col min="16166" max="16166" width="9.42578125" style="643" customWidth="1"/>
    <col min="16167" max="16167" width="8.28515625" style="643" customWidth="1"/>
    <col min="16168" max="16168" width="8" style="643" customWidth="1"/>
    <col min="16169" max="16169" width="8.5703125" style="643" customWidth="1"/>
    <col min="16170" max="16170" width="8" style="643" customWidth="1"/>
    <col min="16171" max="16171" width="9.140625" style="643" customWidth="1"/>
    <col min="16172" max="16177" width="8" style="643" customWidth="1"/>
    <col min="16178" max="16178" width="9.42578125" style="643" customWidth="1"/>
    <col min="16179" max="16179" width="8.28515625" style="643" customWidth="1"/>
    <col min="16180" max="16180" width="8" style="643" customWidth="1"/>
    <col min="16181" max="16181" width="8.5703125" style="643" customWidth="1"/>
    <col min="16182" max="16182" width="8" style="643" customWidth="1"/>
    <col min="16183" max="16183" width="9.140625" style="643" customWidth="1"/>
    <col min="16184" max="16186" width="8" style="643" customWidth="1"/>
    <col min="16187" max="16384" width="9.140625" style="643"/>
  </cols>
  <sheetData>
    <row r="1" spans="1:74" ht="12.75" customHeight="1" x14ac:dyDescent="0.2">
      <c r="A1" s="897" t="s">
        <v>2379</v>
      </c>
      <c r="B1" s="897"/>
      <c r="C1" s="897"/>
      <c r="D1" s="897"/>
      <c r="E1" s="897"/>
      <c r="F1" s="897"/>
      <c r="G1" s="897"/>
      <c r="H1" s="897"/>
      <c r="I1" s="897"/>
      <c r="J1" s="897"/>
      <c r="K1" s="897"/>
      <c r="L1" s="897"/>
      <c r="M1" s="897"/>
      <c r="N1" s="897"/>
      <c r="O1" s="897"/>
      <c r="P1" s="897"/>
      <c r="Q1" s="897"/>
      <c r="R1" s="897"/>
      <c r="S1" s="897"/>
      <c r="T1" s="897"/>
      <c r="U1" s="897"/>
      <c r="V1" s="897"/>
      <c r="W1" s="897"/>
      <c r="X1" s="897"/>
      <c r="Y1" s="897"/>
      <c r="Z1" s="897"/>
    </row>
    <row r="2" spans="1:74" ht="12.75" customHeight="1" x14ac:dyDescent="0.2">
      <c r="A2" s="643" t="s">
        <v>129</v>
      </c>
    </row>
    <row r="3" spans="1:74" ht="12.75" customHeight="1" x14ac:dyDescent="0.2">
      <c r="A3" s="898" t="s">
        <v>129</v>
      </c>
      <c r="B3" s="898" t="s">
        <v>129</v>
      </c>
      <c r="C3" s="899" t="s">
        <v>2380</v>
      </c>
      <c r="D3" s="900"/>
      <c r="E3" s="900"/>
      <c r="F3" s="900"/>
      <c r="G3" s="900"/>
      <c r="H3" s="900"/>
      <c r="I3" s="900"/>
      <c r="J3" s="900"/>
      <c r="K3" s="900"/>
      <c r="L3" s="900"/>
      <c r="M3" s="900"/>
      <c r="N3" s="900"/>
      <c r="O3" s="900"/>
      <c r="P3" s="900"/>
      <c r="Q3" s="900"/>
      <c r="R3" s="900"/>
      <c r="S3" s="900"/>
      <c r="T3" s="900"/>
      <c r="U3" s="900"/>
      <c r="V3" s="900"/>
      <c r="W3" s="900"/>
      <c r="X3" s="900"/>
      <c r="Y3" s="900"/>
      <c r="Z3" s="900"/>
      <c r="AA3" s="900"/>
      <c r="AB3" s="900"/>
      <c r="AC3" s="900"/>
      <c r="AD3" s="900"/>
      <c r="AE3" s="900"/>
      <c r="AF3" s="900"/>
      <c r="AG3" s="900"/>
      <c r="AH3" s="900"/>
      <c r="AI3" s="900"/>
      <c r="AJ3" s="900"/>
      <c r="AK3" s="900"/>
      <c r="AL3" s="900"/>
      <c r="AM3" s="900"/>
      <c r="AN3" s="900"/>
      <c r="AO3" s="900"/>
      <c r="AP3" s="900"/>
      <c r="AQ3" s="900"/>
      <c r="AR3" s="900"/>
      <c r="AS3" s="900"/>
      <c r="AT3" s="900"/>
      <c r="AU3" s="900"/>
      <c r="AV3" s="900"/>
      <c r="AW3" s="900"/>
      <c r="AX3" s="900"/>
      <c r="AY3" s="900"/>
      <c r="AZ3" s="900"/>
      <c r="BA3" s="900"/>
      <c r="BB3" s="900"/>
      <c r="BC3" s="900"/>
      <c r="BD3" s="900"/>
      <c r="BE3" s="900"/>
      <c r="BF3" s="900"/>
      <c r="BG3" s="900"/>
      <c r="BH3" s="900"/>
      <c r="BI3" s="900"/>
      <c r="BJ3" s="900"/>
      <c r="BK3" s="900"/>
      <c r="BL3" s="900"/>
      <c r="BM3" s="900"/>
      <c r="BN3" s="900"/>
      <c r="BO3" s="900"/>
      <c r="BP3" s="900"/>
      <c r="BQ3" s="900"/>
      <c r="BR3" s="900"/>
      <c r="BS3" s="900"/>
      <c r="BT3" s="900"/>
      <c r="BU3" s="900"/>
      <c r="BV3" s="900"/>
    </row>
    <row r="4" spans="1:74" ht="12.75" customHeight="1" x14ac:dyDescent="0.2">
      <c r="A4" s="898" t="s">
        <v>129</v>
      </c>
      <c r="B4" s="898" t="s">
        <v>129</v>
      </c>
      <c r="C4" s="898" t="s">
        <v>2381</v>
      </c>
      <c r="D4" s="898" t="s">
        <v>129</v>
      </c>
      <c r="E4" s="898" t="s">
        <v>129</v>
      </c>
      <c r="F4" s="898" t="s">
        <v>129</v>
      </c>
      <c r="G4" s="898" t="s">
        <v>129</v>
      </c>
      <c r="H4" s="898" t="s">
        <v>129</v>
      </c>
      <c r="I4" s="898" t="s">
        <v>129</v>
      </c>
      <c r="J4" s="898" t="s">
        <v>129</v>
      </c>
      <c r="K4" s="898" t="s">
        <v>129</v>
      </c>
      <c r="L4" s="898" t="s">
        <v>129</v>
      </c>
      <c r="M4" s="898" t="s">
        <v>129</v>
      </c>
      <c r="N4" s="898" t="s">
        <v>129</v>
      </c>
      <c r="O4" s="898" t="s">
        <v>2382</v>
      </c>
      <c r="P4" s="898" t="s">
        <v>129</v>
      </c>
      <c r="Q4" s="898" t="s">
        <v>129</v>
      </c>
      <c r="R4" s="898" t="s">
        <v>129</v>
      </c>
      <c r="S4" s="898" t="s">
        <v>129</v>
      </c>
      <c r="T4" s="898" t="s">
        <v>129</v>
      </c>
      <c r="U4" s="898" t="s">
        <v>129</v>
      </c>
      <c r="V4" s="898" t="s">
        <v>129</v>
      </c>
      <c r="W4" s="898" t="s">
        <v>129</v>
      </c>
      <c r="X4" s="898" t="s">
        <v>129</v>
      </c>
      <c r="Y4" s="898" t="s">
        <v>129</v>
      </c>
      <c r="Z4" s="898" t="s">
        <v>129</v>
      </c>
      <c r="AA4" s="898" t="s">
        <v>2383</v>
      </c>
      <c r="AB4" s="898" t="s">
        <v>129</v>
      </c>
      <c r="AC4" s="898" t="s">
        <v>129</v>
      </c>
      <c r="AD4" s="898" t="s">
        <v>129</v>
      </c>
      <c r="AE4" s="898" t="s">
        <v>129</v>
      </c>
      <c r="AF4" s="898" t="s">
        <v>129</v>
      </c>
      <c r="AG4" s="898" t="s">
        <v>129</v>
      </c>
      <c r="AH4" s="898" t="s">
        <v>129</v>
      </c>
      <c r="AI4" s="898" t="s">
        <v>129</v>
      </c>
      <c r="AJ4" s="898" t="s">
        <v>129</v>
      </c>
      <c r="AK4" s="898" t="s">
        <v>129</v>
      </c>
      <c r="AL4" s="898" t="s">
        <v>129</v>
      </c>
      <c r="AM4" s="898" t="s">
        <v>2384</v>
      </c>
      <c r="AN4" s="898" t="s">
        <v>129</v>
      </c>
      <c r="AO4" s="898" t="s">
        <v>129</v>
      </c>
      <c r="AP4" s="898" t="s">
        <v>129</v>
      </c>
      <c r="AQ4" s="898" t="s">
        <v>129</v>
      </c>
      <c r="AR4" s="898" t="s">
        <v>129</v>
      </c>
      <c r="AS4" s="898" t="s">
        <v>129</v>
      </c>
      <c r="AT4" s="898" t="s">
        <v>129</v>
      </c>
      <c r="AU4" s="898" t="s">
        <v>129</v>
      </c>
      <c r="AV4" s="898" t="s">
        <v>129</v>
      </c>
      <c r="AW4" s="898" t="s">
        <v>129</v>
      </c>
      <c r="AX4" s="898" t="s">
        <v>129</v>
      </c>
      <c r="AY4" s="898" t="s">
        <v>2385</v>
      </c>
      <c r="AZ4" s="898" t="s">
        <v>129</v>
      </c>
      <c r="BA4" s="898" t="s">
        <v>129</v>
      </c>
      <c r="BB4" s="898" t="s">
        <v>129</v>
      </c>
      <c r="BC4" s="898" t="s">
        <v>129</v>
      </c>
      <c r="BD4" s="898" t="s">
        <v>129</v>
      </c>
      <c r="BE4" s="898" t="s">
        <v>129</v>
      </c>
      <c r="BF4" s="898" t="s">
        <v>129</v>
      </c>
      <c r="BG4" s="898" t="s">
        <v>129</v>
      </c>
      <c r="BH4" s="898" t="s">
        <v>129</v>
      </c>
      <c r="BI4" s="898" t="s">
        <v>129</v>
      </c>
      <c r="BJ4" s="898" t="s">
        <v>129</v>
      </c>
      <c r="BK4" s="898" t="s">
        <v>2386</v>
      </c>
      <c r="BL4" s="898" t="s">
        <v>129</v>
      </c>
      <c r="BM4" s="898" t="s">
        <v>129</v>
      </c>
      <c r="BN4" s="898" t="s">
        <v>129</v>
      </c>
      <c r="BO4" s="898" t="s">
        <v>129</v>
      </c>
      <c r="BP4" s="898" t="s">
        <v>129</v>
      </c>
      <c r="BQ4" s="898" t="s">
        <v>129</v>
      </c>
      <c r="BR4" s="898" t="s">
        <v>129</v>
      </c>
      <c r="BS4" s="898" t="s">
        <v>129</v>
      </c>
      <c r="BT4" s="898" t="s">
        <v>129</v>
      </c>
      <c r="BU4" s="898" t="s">
        <v>129</v>
      </c>
      <c r="BV4" s="898" t="s">
        <v>129</v>
      </c>
    </row>
    <row r="5" spans="1:74" ht="12.75" customHeight="1" x14ac:dyDescent="0.2">
      <c r="A5" s="898" t="s">
        <v>129</v>
      </c>
      <c r="B5" s="898" t="s">
        <v>129</v>
      </c>
      <c r="C5" s="644" t="s">
        <v>2387</v>
      </c>
      <c r="D5" s="644" t="s">
        <v>2388</v>
      </c>
      <c r="E5" s="644" t="s">
        <v>2389</v>
      </c>
      <c r="F5" s="644" t="s">
        <v>2390</v>
      </c>
      <c r="G5" s="644" t="s">
        <v>2391</v>
      </c>
      <c r="H5" s="644" t="s">
        <v>2392</v>
      </c>
      <c r="I5" s="644" t="s">
        <v>2393</v>
      </c>
      <c r="J5" s="644" t="s">
        <v>2394</v>
      </c>
      <c r="K5" s="644" t="s">
        <v>2395</v>
      </c>
      <c r="L5" s="644" t="s">
        <v>2396</v>
      </c>
      <c r="M5" s="644" t="s">
        <v>2397</v>
      </c>
      <c r="N5" s="644" t="s">
        <v>2398</v>
      </c>
      <c r="O5" s="644" t="s">
        <v>2387</v>
      </c>
      <c r="P5" s="644" t="s">
        <v>2388</v>
      </c>
      <c r="Q5" s="644" t="s">
        <v>2389</v>
      </c>
      <c r="R5" s="644" t="s">
        <v>2390</v>
      </c>
      <c r="S5" s="644" t="s">
        <v>2391</v>
      </c>
      <c r="T5" s="644" t="s">
        <v>2392</v>
      </c>
      <c r="U5" s="644" t="s">
        <v>2393</v>
      </c>
      <c r="V5" s="644" t="s">
        <v>2394</v>
      </c>
      <c r="W5" s="644" t="s">
        <v>2395</v>
      </c>
      <c r="X5" s="644" t="s">
        <v>2396</v>
      </c>
      <c r="Y5" s="644" t="s">
        <v>2397</v>
      </c>
      <c r="Z5" s="644" t="s">
        <v>2398</v>
      </c>
      <c r="AA5" s="644" t="s">
        <v>2387</v>
      </c>
      <c r="AB5" s="644" t="s">
        <v>2388</v>
      </c>
      <c r="AC5" s="644" t="s">
        <v>2389</v>
      </c>
      <c r="AD5" s="644" t="s">
        <v>2390</v>
      </c>
      <c r="AE5" s="644" t="s">
        <v>2391</v>
      </c>
      <c r="AF5" s="644" t="s">
        <v>2392</v>
      </c>
      <c r="AG5" s="644" t="s">
        <v>2393</v>
      </c>
      <c r="AH5" s="644" t="s">
        <v>2394</v>
      </c>
      <c r="AI5" s="644" t="s">
        <v>2395</v>
      </c>
      <c r="AJ5" s="644" t="s">
        <v>2396</v>
      </c>
      <c r="AK5" s="644" t="s">
        <v>2397</v>
      </c>
      <c r="AL5" s="644" t="s">
        <v>2398</v>
      </c>
      <c r="AM5" s="644" t="s">
        <v>2387</v>
      </c>
      <c r="AN5" s="644" t="s">
        <v>2388</v>
      </c>
      <c r="AO5" s="644" t="s">
        <v>2389</v>
      </c>
      <c r="AP5" s="644" t="s">
        <v>2390</v>
      </c>
      <c r="AQ5" s="644" t="s">
        <v>2391</v>
      </c>
      <c r="AR5" s="644" t="s">
        <v>2392</v>
      </c>
      <c r="AS5" s="644" t="s">
        <v>2393</v>
      </c>
      <c r="AT5" s="644" t="s">
        <v>2394</v>
      </c>
      <c r="AU5" s="644" t="s">
        <v>2395</v>
      </c>
      <c r="AV5" s="644" t="s">
        <v>2396</v>
      </c>
      <c r="AW5" s="644" t="s">
        <v>2397</v>
      </c>
      <c r="AX5" s="644" t="s">
        <v>2398</v>
      </c>
      <c r="AY5" s="644" t="s">
        <v>2387</v>
      </c>
      <c r="AZ5" s="644" t="s">
        <v>2388</v>
      </c>
      <c r="BA5" s="644" t="s">
        <v>2389</v>
      </c>
      <c r="BB5" s="644" t="s">
        <v>2390</v>
      </c>
      <c r="BC5" s="644" t="s">
        <v>2391</v>
      </c>
      <c r="BD5" s="644" t="s">
        <v>2392</v>
      </c>
      <c r="BE5" s="644" t="s">
        <v>2393</v>
      </c>
      <c r="BF5" s="644" t="s">
        <v>2394</v>
      </c>
      <c r="BG5" s="644" t="s">
        <v>2395</v>
      </c>
      <c r="BH5" s="644" t="s">
        <v>2396</v>
      </c>
      <c r="BI5" s="644" t="s">
        <v>2397</v>
      </c>
      <c r="BJ5" s="644" t="s">
        <v>2398</v>
      </c>
      <c r="BK5" s="644" t="s">
        <v>2387</v>
      </c>
      <c r="BL5" s="644" t="s">
        <v>2388</v>
      </c>
      <c r="BM5" s="644" t="s">
        <v>2389</v>
      </c>
      <c r="BN5" s="644" t="s">
        <v>2390</v>
      </c>
      <c r="BO5" s="644" t="s">
        <v>2391</v>
      </c>
      <c r="BP5" s="644" t="s">
        <v>2392</v>
      </c>
      <c r="BQ5" s="644" t="s">
        <v>2393</v>
      </c>
      <c r="BR5" s="644" t="s">
        <v>2394</v>
      </c>
      <c r="BS5" s="644" t="s">
        <v>2395</v>
      </c>
      <c r="BT5" s="644" t="s">
        <v>2396</v>
      </c>
      <c r="BU5" s="644" t="s">
        <v>2397</v>
      </c>
      <c r="BV5" s="644" t="s">
        <v>2398</v>
      </c>
    </row>
    <row r="6" spans="1:74" ht="12.75" customHeight="1" x14ac:dyDescent="0.2">
      <c r="A6" s="644" t="s">
        <v>2399</v>
      </c>
      <c r="B6" s="644" t="s">
        <v>2400</v>
      </c>
      <c r="C6" s="645">
        <v>100.19</v>
      </c>
      <c r="D6" s="645">
        <v>101.71</v>
      </c>
      <c r="E6" s="645">
        <v>97.46</v>
      </c>
      <c r="F6" s="645">
        <v>100.75</v>
      </c>
      <c r="G6" s="645">
        <v>101.23</v>
      </c>
      <c r="H6" s="645">
        <v>100.13</v>
      </c>
      <c r="I6" s="645">
        <v>100.84</v>
      </c>
      <c r="J6" s="645">
        <v>100.89</v>
      </c>
      <c r="K6" s="645">
        <v>100.08</v>
      </c>
      <c r="L6" s="645">
        <v>100.25</v>
      </c>
      <c r="M6" s="645">
        <v>99.6</v>
      </c>
      <c r="N6" s="645">
        <v>100.32</v>
      </c>
      <c r="O6" s="645">
        <v>99.85</v>
      </c>
      <c r="P6" s="645">
        <v>100.1</v>
      </c>
      <c r="Q6" s="645">
        <v>100.51</v>
      </c>
      <c r="R6" s="645">
        <v>100.71</v>
      </c>
      <c r="S6" s="645">
        <v>100.46</v>
      </c>
      <c r="T6" s="645">
        <v>100.44</v>
      </c>
      <c r="U6" s="645">
        <v>100.5</v>
      </c>
      <c r="V6" s="645">
        <v>100.77</v>
      </c>
      <c r="W6" s="645">
        <v>100.62</v>
      </c>
      <c r="X6" s="645">
        <v>100.28</v>
      </c>
      <c r="Y6" s="645">
        <v>100.59</v>
      </c>
      <c r="Z6" s="645">
        <v>100.65</v>
      </c>
      <c r="AA6" s="645">
        <v>100.81</v>
      </c>
      <c r="AB6" s="645">
        <v>100.27</v>
      </c>
      <c r="AC6" s="645">
        <v>100.31</v>
      </c>
      <c r="AD6" s="645">
        <v>100.32</v>
      </c>
      <c r="AE6" s="645">
        <v>100.39</v>
      </c>
      <c r="AF6" s="645">
        <v>100.33</v>
      </c>
      <c r="AG6" s="645">
        <v>100.34</v>
      </c>
      <c r="AH6" s="645">
        <v>100.64</v>
      </c>
      <c r="AI6" s="645">
        <v>100.3</v>
      </c>
      <c r="AJ6" s="645">
        <v>100.22</v>
      </c>
      <c r="AK6" s="645">
        <v>100.25</v>
      </c>
      <c r="AL6" s="645">
        <v>100.08</v>
      </c>
      <c r="AM6" s="646">
        <v>100</v>
      </c>
      <c r="AN6" s="645">
        <v>100.52</v>
      </c>
      <c r="AO6" s="645">
        <v>101.68</v>
      </c>
      <c r="AP6" s="645">
        <v>100.42</v>
      </c>
      <c r="AQ6" s="645">
        <v>99.97</v>
      </c>
      <c r="AR6" s="645">
        <v>99.64</v>
      </c>
      <c r="AS6" s="645">
        <v>100.47</v>
      </c>
      <c r="AT6" s="645">
        <v>100.63</v>
      </c>
      <c r="AU6" s="645">
        <v>100.52</v>
      </c>
      <c r="AV6" s="645">
        <v>100.41</v>
      </c>
      <c r="AW6" s="645">
        <v>100.09</v>
      </c>
      <c r="AX6" s="645">
        <v>99.88</v>
      </c>
      <c r="AY6" s="645">
        <v>100.43</v>
      </c>
      <c r="AZ6" s="645">
        <v>100.08</v>
      </c>
      <c r="BA6" s="645">
        <v>101.06</v>
      </c>
      <c r="BB6" s="645">
        <v>100.85</v>
      </c>
      <c r="BC6" s="645">
        <v>101.61</v>
      </c>
      <c r="BD6" s="645">
        <v>101.18</v>
      </c>
      <c r="BE6" s="645">
        <v>101.23</v>
      </c>
      <c r="BF6" s="645">
        <v>100.85</v>
      </c>
      <c r="BG6" s="645">
        <v>100.58</v>
      </c>
      <c r="BH6" s="645">
        <v>100.48</v>
      </c>
      <c r="BI6" s="645">
        <v>100.65</v>
      </c>
      <c r="BJ6" s="645">
        <v>100.71</v>
      </c>
      <c r="BK6" s="645">
        <v>100.73</v>
      </c>
      <c r="BL6" s="645">
        <v>100.74</v>
      </c>
      <c r="BM6" s="645">
        <v>104.44</v>
      </c>
      <c r="BN6" s="645">
        <v>101.05</v>
      </c>
      <c r="BO6" s="645">
        <v>100.71</v>
      </c>
      <c r="BP6" s="645">
        <v>100.51</v>
      </c>
      <c r="BQ6" s="646">
        <v>100</v>
      </c>
      <c r="BR6" s="645">
        <v>100.37</v>
      </c>
      <c r="BS6" s="645">
        <v>100.17</v>
      </c>
      <c r="BT6" s="645">
        <v>100.32</v>
      </c>
      <c r="BU6" s="645">
        <v>100.74</v>
      </c>
      <c r="BV6" s="645">
        <v>100.13</v>
      </c>
    </row>
    <row r="7" spans="1:74" ht="12.75" hidden="1" customHeight="1" x14ac:dyDescent="0.2">
      <c r="A7" s="644" t="s">
        <v>2401</v>
      </c>
      <c r="B7" s="644" t="s">
        <v>2400</v>
      </c>
      <c r="C7" s="645">
        <v>100.22</v>
      </c>
      <c r="D7" s="645">
        <v>102.26</v>
      </c>
      <c r="E7" s="645">
        <v>97.84</v>
      </c>
      <c r="F7" s="645">
        <v>99.08</v>
      </c>
      <c r="G7" s="645">
        <v>99.85</v>
      </c>
      <c r="H7" s="645">
        <v>99.26</v>
      </c>
      <c r="I7" s="645">
        <v>99.83</v>
      </c>
      <c r="J7" s="645">
        <v>100.7</v>
      </c>
      <c r="K7" s="645">
        <v>100.18</v>
      </c>
      <c r="L7" s="645">
        <v>101.22</v>
      </c>
      <c r="M7" s="645">
        <v>98.99</v>
      </c>
      <c r="N7" s="645">
        <v>101.09</v>
      </c>
      <c r="O7" s="645">
        <v>99.62</v>
      </c>
      <c r="P7" s="645">
        <v>99.95</v>
      </c>
      <c r="Q7" s="645">
        <v>100.43</v>
      </c>
      <c r="R7" s="645">
        <v>101.25</v>
      </c>
      <c r="S7" s="645">
        <v>100.97</v>
      </c>
      <c r="T7" s="645">
        <v>101.22</v>
      </c>
      <c r="U7" s="645">
        <v>101.63</v>
      </c>
      <c r="V7" s="645">
        <v>101.68</v>
      </c>
      <c r="W7" s="645">
        <v>101.45</v>
      </c>
      <c r="X7" s="645">
        <v>101.45</v>
      </c>
      <c r="Y7" s="645">
        <v>101.58</v>
      </c>
      <c r="Z7" s="645">
        <v>101.46</v>
      </c>
      <c r="AA7" s="645">
        <v>100.64</v>
      </c>
      <c r="AB7" s="645">
        <v>101.01</v>
      </c>
      <c r="AC7" s="645">
        <v>100.86</v>
      </c>
      <c r="AD7" s="645">
        <v>100.57</v>
      </c>
      <c r="AE7" s="645">
        <v>100.67</v>
      </c>
      <c r="AF7" s="645">
        <v>100.47</v>
      </c>
      <c r="AG7" s="645">
        <v>100.31</v>
      </c>
      <c r="AH7" s="645">
        <v>100.1</v>
      </c>
      <c r="AI7" s="645">
        <v>100.09</v>
      </c>
      <c r="AJ7" s="645">
        <v>100.31</v>
      </c>
      <c r="AK7" s="645">
        <v>100.2</v>
      </c>
      <c r="AL7" s="645">
        <v>100.1</v>
      </c>
      <c r="AM7" s="646">
        <v>100</v>
      </c>
      <c r="AN7" s="645">
        <v>101.06</v>
      </c>
      <c r="AO7" s="645">
        <v>103.64</v>
      </c>
      <c r="AP7" s="645">
        <v>100.92</v>
      </c>
      <c r="AQ7" s="645">
        <v>99.57</v>
      </c>
      <c r="AR7" s="645">
        <v>99.05</v>
      </c>
      <c r="AS7" s="645">
        <v>100.8</v>
      </c>
      <c r="AT7" s="645">
        <v>101.13</v>
      </c>
      <c r="AU7" s="645">
        <v>100.53</v>
      </c>
      <c r="AV7" s="645">
        <v>100.65</v>
      </c>
      <c r="AW7" s="645">
        <v>100.07</v>
      </c>
      <c r="AX7" s="645">
        <v>99.37</v>
      </c>
      <c r="AY7" s="645">
        <v>100.45</v>
      </c>
      <c r="AZ7" s="645">
        <v>99.39</v>
      </c>
      <c r="BA7" s="645">
        <v>102.16</v>
      </c>
      <c r="BB7" s="645">
        <v>100.75</v>
      </c>
      <c r="BC7" s="645">
        <v>102.87</v>
      </c>
      <c r="BD7" s="645">
        <v>100.24</v>
      </c>
      <c r="BE7" s="645">
        <v>100.79</v>
      </c>
      <c r="BF7" s="645">
        <v>100.65</v>
      </c>
      <c r="BG7" s="645">
        <v>100.74</v>
      </c>
      <c r="BH7" s="645">
        <v>100.62</v>
      </c>
      <c r="BI7" s="645">
        <v>100.49</v>
      </c>
      <c r="BJ7" s="645">
        <v>100.7</v>
      </c>
      <c r="BK7" s="645">
        <v>101.02</v>
      </c>
      <c r="BL7" s="645">
        <v>100.58</v>
      </c>
      <c r="BM7" s="645">
        <v>105.21</v>
      </c>
      <c r="BN7" s="645">
        <v>101.5</v>
      </c>
      <c r="BO7" s="645">
        <v>100.94</v>
      </c>
      <c r="BP7" s="645">
        <v>100.2</v>
      </c>
      <c r="BQ7" s="645">
        <v>100.23</v>
      </c>
      <c r="BR7" s="645">
        <v>100.38</v>
      </c>
      <c r="BS7" s="645">
        <v>100.17</v>
      </c>
      <c r="BT7" s="645">
        <v>100.11</v>
      </c>
      <c r="BU7" s="645">
        <v>100.83</v>
      </c>
      <c r="BV7" s="645">
        <v>100.16</v>
      </c>
    </row>
    <row r="8" spans="1:74" ht="12.75" hidden="1" customHeight="1" x14ac:dyDescent="0.2">
      <c r="A8" s="644" t="s">
        <v>2402</v>
      </c>
      <c r="B8" s="644" t="s">
        <v>2400</v>
      </c>
      <c r="C8" s="645">
        <v>101.04</v>
      </c>
      <c r="D8" s="645">
        <v>101.72</v>
      </c>
      <c r="E8" s="645">
        <v>98.71</v>
      </c>
      <c r="F8" s="645">
        <v>101.11</v>
      </c>
      <c r="G8" s="645">
        <v>101.47</v>
      </c>
      <c r="H8" s="645">
        <v>101.91</v>
      </c>
      <c r="I8" s="645">
        <v>97.25</v>
      </c>
      <c r="J8" s="645">
        <v>101.42</v>
      </c>
      <c r="K8" s="645">
        <v>98.16</v>
      </c>
      <c r="L8" s="645">
        <v>99.99</v>
      </c>
      <c r="M8" s="645">
        <v>101.82</v>
      </c>
      <c r="N8" s="645">
        <v>98.54</v>
      </c>
      <c r="O8" s="645">
        <v>100.41</v>
      </c>
      <c r="P8" s="645">
        <v>99.08</v>
      </c>
      <c r="Q8" s="645">
        <v>100.3</v>
      </c>
      <c r="R8" s="645">
        <v>100.81</v>
      </c>
      <c r="S8" s="645">
        <v>100.93</v>
      </c>
      <c r="T8" s="645">
        <v>100.86</v>
      </c>
      <c r="U8" s="645">
        <v>101.65</v>
      </c>
      <c r="V8" s="645">
        <v>102.27</v>
      </c>
      <c r="W8" s="645">
        <v>101.41</v>
      </c>
      <c r="X8" s="645">
        <v>101.46</v>
      </c>
      <c r="Y8" s="645">
        <v>101.09</v>
      </c>
      <c r="Z8" s="645">
        <v>102.15</v>
      </c>
      <c r="AA8" s="645">
        <v>100.67</v>
      </c>
      <c r="AB8" s="645">
        <v>101.66</v>
      </c>
      <c r="AC8" s="645">
        <v>101.28</v>
      </c>
      <c r="AD8" s="645">
        <v>100.91</v>
      </c>
      <c r="AE8" s="645">
        <v>100.83</v>
      </c>
      <c r="AF8" s="645">
        <v>101.34</v>
      </c>
      <c r="AG8" s="645">
        <v>100.71</v>
      </c>
      <c r="AH8" s="645">
        <v>100.81</v>
      </c>
      <c r="AI8" s="645">
        <v>100.64</v>
      </c>
      <c r="AJ8" s="645">
        <v>100.56</v>
      </c>
      <c r="AK8" s="645">
        <v>100.35</v>
      </c>
      <c r="AL8" s="645">
        <v>100.48</v>
      </c>
      <c r="AM8" s="645">
        <v>100.09</v>
      </c>
      <c r="AN8" s="645">
        <v>100.86</v>
      </c>
      <c r="AO8" s="645">
        <v>103.06</v>
      </c>
      <c r="AP8" s="645">
        <v>100.63</v>
      </c>
      <c r="AQ8" s="645">
        <v>99.77</v>
      </c>
      <c r="AR8" s="645">
        <v>99.19</v>
      </c>
      <c r="AS8" s="645">
        <v>100.69</v>
      </c>
      <c r="AT8" s="645">
        <v>101.26</v>
      </c>
      <c r="AU8" s="645">
        <v>100.65</v>
      </c>
      <c r="AV8" s="645">
        <v>100.71</v>
      </c>
      <c r="AW8" s="645">
        <v>100.17</v>
      </c>
      <c r="AX8" s="645">
        <v>99.37</v>
      </c>
      <c r="AY8" s="645">
        <v>100.59</v>
      </c>
      <c r="AZ8" s="645">
        <v>99.65</v>
      </c>
      <c r="BA8" s="645">
        <v>100.51</v>
      </c>
      <c r="BB8" s="645">
        <v>100.5</v>
      </c>
      <c r="BC8" s="645">
        <v>99.91</v>
      </c>
      <c r="BD8" s="645">
        <v>99.8</v>
      </c>
      <c r="BE8" s="645">
        <v>100.87</v>
      </c>
      <c r="BF8" s="645">
        <v>100.51</v>
      </c>
      <c r="BG8" s="645">
        <v>100.42</v>
      </c>
      <c r="BH8" s="645">
        <v>100.65</v>
      </c>
      <c r="BI8" s="645">
        <v>100.68</v>
      </c>
      <c r="BJ8" s="645">
        <v>100.9</v>
      </c>
      <c r="BK8" s="645">
        <v>100.72</v>
      </c>
      <c r="BL8" s="645">
        <v>100.24</v>
      </c>
      <c r="BM8" s="645">
        <v>102.95</v>
      </c>
      <c r="BN8" s="645">
        <v>101.61</v>
      </c>
      <c r="BO8" s="645">
        <v>100.72</v>
      </c>
      <c r="BP8" s="645">
        <v>100.4</v>
      </c>
      <c r="BQ8" s="645">
        <v>100.42</v>
      </c>
      <c r="BR8" s="645">
        <v>100.6</v>
      </c>
      <c r="BS8" s="645">
        <v>100.05</v>
      </c>
      <c r="BT8" s="645">
        <v>100.29</v>
      </c>
      <c r="BU8" s="645">
        <v>100.52</v>
      </c>
      <c r="BV8" s="645">
        <v>100.25</v>
      </c>
    </row>
    <row r="9" spans="1:74" ht="12.75" hidden="1" customHeight="1" x14ac:dyDescent="0.2">
      <c r="A9" s="644" t="s">
        <v>2403</v>
      </c>
      <c r="B9" s="644" t="s">
        <v>2400</v>
      </c>
      <c r="C9" s="645">
        <v>101.4</v>
      </c>
      <c r="D9" s="645">
        <v>99.44</v>
      </c>
      <c r="E9" s="645">
        <v>99.56</v>
      </c>
      <c r="F9" s="645">
        <v>99.26</v>
      </c>
      <c r="G9" s="645">
        <v>100.23</v>
      </c>
      <c r="H9" s="645">
        <v>100.36</v>
      </c>
      <c r="I9" s="645">
        <v>101.07</v>
      </c>
      <c r="J9" s="645">
        <v>99.79</v>
      </c>
      <c r="K9" s="645">
        <v>99.09</v>
      </c>
      <c r="L9" s="645">
        <v>99.98</v>
      </c>
      <c r="M9" s="645">
        <v>100.87</v>
      </c>
      <c r="N9" s="645">
        <v>100.43</v>
      </c>
      <c r="O9" s="645">
        <v>100.43</v>
      </c>
      <c r="P9" s="645">
        <v>100.44</v>
      </c>
      <c r="Q9" s="645">
        <v>100.09</v>
      </c>
      <c r="R9" s="645">
        <v>101.78</v>
      </c>
      <c r="S9" s="645">
        <v>101.8</v>
      </c>
      <c r="T9" s="645">
        <v>101.65</v>
      </c>
      <c r="U9" s="645">
        <v>101.87</v>
      </c>
      <c r="V9" s="645">
        <v>102.08</v>
      </c>
      <c r="W9" s="645">
        <v>102.06</v>
      </c>
      <c r="X9" s="645">
        <v>101.6</v>
      </c>
      <c r="Y9" s="645">
        <v>100.69</v>
      </c>
      <c r="Z9" s="645">
        <v>100.08</v>
      </c>
      <c r="AA9" s="645">
        <v>100.12</v>
      </c>
      <c r="AB9" s="645">
        <v>100.04</v>
      </c>
      <c r="AC9" s="645">
        <v>100.66</v>
      </c>
      <c r="AD9" s="645">
        <v>99.7</v>
      </c>
      <c r="AE9" s="645">
        <v>103.26</v>
      </c>
      <c r="AF9" s="645">
        <v>100.11</v>
      </c>
      <c r="AG9" s="645">
        <v>100.04</v>
      </c>
      <c r="AH9" s="645">
        <v>100.02</v>
      </c>
      <c r="AI9" s="645">
        <v>99.74</v>
      </c>
      <c r="AJ9" s="645">
        <v>100.44</v>
      </c>
      <c r="AK9" s="645">
        <v>100.35</v>
      </c>
      <c r="AL9" s="645">
        <v>99.72</v>
      </c>
      <c r="AM9" s="645">
        <v>100.09</v>
      </c>
      <c r="AN9" s="645">
        <v>99.87</v>
      </c>
      <c r="AO9" s="645">
        <v>100.23</v>
      </c>
      <c r="AP9" s="645">
        <v>100.23</v>
      </c>
      <c r="AQ9" s="645">
        <v>97.69</v>
      </c>
      <c r="AR9" s="645">
        <v>100.61</v>
      </c>
      <c r="AS9" s="645">
        <v>100.85</v>
      </c>
      <c r="AT9" s="645">
        <v>100.89</v>
      </c>
      <c r="AU9" s="645">
        <v>101.25</v>
      </c>
      <c r="AV9" s="645">
        <v>101.19</v>
      </c>
      <c r="AW9" s="645">
        <v>101.19</v>
      </c>
      <c r="AX9" s="645">
        <v>101.33</v>
      </c>
      <c r="AY9" s="645">
        <v>101.24</v>
      </c>
      <c r="AZ9" s="645">
        <v>100.99</v>
      </c>
      <c r="BA9" s="645">
        <v>102.13</v>
      </c>
      <c r="BB9" s="645">
        <v>101.68</v>
      </c>
      <c r="BC9" s="645">
        <v>103.17</v>
      </c>
      <c r="BD9" s="645">
        <v>100.82</v>
      </c>
      <c r="BE9" s="645">
        <v>101.57</v>
      </c>
      <c r="BF9" s="645">
        <v>101.58</v>
      </c>
      <c r="BG9" s="645">
        <v>101.65</v>
      </c>
      <c r="BH9" s="645">
        <v>100.96</v>
      </c>
      <c r="BI9" s="645">
        <v>100.42</v>
      </c>
      <c r="BJ9" s="645">
        <v>102.26</v>
      </c>
      <c r="BK9" s="645">
        <v>101.27</v>
      </c>
      <c r="BL9" s="645">
        <v>100.94</v>
      </c>
      <c r="BM9" s="645">
        <v>101.74</v>
      </c>
      <c r="BN9" s="645">
        <v>102.29</v>
      </c>
      <c r="BO9" s="645">
        <v>100.92</v>
      </c>
      <c r="BP9" s="645">
        <v>100.48</v>
      </c>
      <c r="BQ9" s="645">
        <v>100.71</v>
      </c>
      <c r="BR9" s="645">
        <v>100.59</v>
      </c>
      <c r="BS9" s="645">
        <v>99.93</v>
      </c>
      <c r="BT9" s="645">
        <v>100.36</v>
      </c>
      <c r="BU9" s="645">
        <v>100.56</v>
      </c>
      <c r="BV9" s="645">
        <v>99.68</v>
      </c>
    </row>
    <row r="10" spans="1:74" ht="12.75" hidden="1" customHeight="1" x14ac:dyDescent="0.2">
      <c r="A10" s="644" t="s">
        <v>2404</v>
      </c>
      <c r="B10" s="644" t="s">
        <v>2400</v>
      </c>
      <c r="C10" s="645">
        <v>101.26</v>
      </c>
      <c r="D10" s="645">
        <v>100.12</v>
      </c>
      <c r="E10" s="645">
        <v>99.75</v>
      </c>
      <c r="F10" s="645">
        <v>98.23</v>
      </c>
      <c r="G10" s="645">
        <v>100.16</v>
      </c>
      <c r="H10" s="645">
        <v>98.83</v>
      </c>
      <c r="I10" s="645">
        <v>101.61</v>
      </c>
      <c r="J10" s="645">
        <v>100.4</v>
      </c>
      <c r="K10" s="645">
        <v>99.75</v>
      </c>
      <c r="L10" s="645">
        <v>100.37</v>
      </c>
      <c r="M10" s="645">
        <v>99.22</v>
      </c>
      <c r="N10" s="645">
        <v>99.89</v>
      </c>
      <c r="O10" s="645">
        <v>97.47</v>
      </c>
      <c r="P10" s="645">
        <v>99.61</v>
      </c>
      <c r="Q10" s="645">
        <v>99.1</v>
      </c>
      <c r="R10" s="645">
        <v>100.95</v>
      </c>
      <c r="S10" s="645">
        <v>100.23</v>
      </c>
      <c r="T10" s="645">
        <v>100.34</v>
      </c>
      <c r="U10" s="645">
        <v>98.6</v>
      </c>
      <c r="V10" s="645">
        <v>98.75</v>
      </c>
      <c r="W10" s="645">
        <v>99.62</v>
      </c>
      <c r="X10" s="645">
        <v>102.31</v>
      </c>
      <c r="Y10" s="645">
        <v>103.02</v>
      </c>
      <c r="Z10" s="645">
        <v>102.03</v>
      </c>
      <c r="AA10" s="645">
        <v>100.45</v>
      </c>
      <c r="AB10" s="645">
        <v>100.25</v>
      </c>
      <c r="AC10" s="645">
        <v>101.35</v>
      </c>
      <c r="AD10" s="646">
        <v>102</v>
      </c>
      <c r="AE10" s="645">
        <v>101.55</v>
      </c>
      <c r="AF10" s="645">
        <v>102.19</v>
      </c>
      <c r="AG10" s="645">
        <v>101.95</v>
      </c>
      <c r="AH10" s="645">
        <v>102.68</v>
      </c>
      <c r="AI10" s="645">
        <v>102.21</v>
      </c>
      <c r="AJ10" s="645">
        <v>102.05</v>
      </c>
      <c r="AK10" s="645">
        <v>102.71</v>
      </c>
      <c r="AL10" s="645">
        <v>102.13</v>
      </c>
      <c r="AM10" s="645">
        <v>100.86</v>
      </c>
      <c r="AN10" s="645">
        <v>100.69</v>
      </c>
      <c r="AO10" s="645">
        <v>101.8</v>
      </c>
      <c r="AP10" s="645">
        <v>102.63</v>
      </c>
      <c r="AQ10" s="645">
        <v>101.47</v>
      </c>
      <c r="AR10" s="645">
        <v>99.37</v>
      </c>
      <c r="AS10" s="645">
        <v>99.56</v>
      </c>
      <c r="AT10" s="645">
        <v>98.88</v>
      </c>
      <c r="AU10" s="645">
        <v>99.29</v>
      </c>
      <c r="AV10" s="645">
        <v>98.89</v>
      </c>
      <c r="AW10" s="645">
        <v>98.41</v>
      </c>
      <c r="AX10" s="645">
        <v>98.41</v>
      </c>
      <c r="AY10" s="645">
        <v>99.91</v>
      </c>
      <c r="AZ10" s="645">
        <v>99.57</v>
      </c>
      <c r="BA10" s="645">
        <v>100.54</v>
      </c>
      <c r="BB10" s="645">
        <v>98.55</v>
      </c>
      <c r="BC10" s="645">
        <v>100.06</v>
      </c>
      <c r="BD10" s="645">
        <v>99.44</v>
      </c>
      <c r="BE10" s="645">
        <v>100.69</v>
      </c>
      <c r="BF10" s="645">
        <v>101.28</v>
      </c>
      <c r="BG10" s="645">
        <v>101.42</v>
      </c>
      <c r="BH10" s="645">
        <v>100.8</v>
      </c>
      <c r="BI10" s="645">
        <v>100.4</v>
      </c>
      <c r="BJ10" s="645">
        <v>101.84</v>
      </c>
      <c r="BK10" s="645">
        <v>102.37</v>
      </c>
      <c r="BL10" s="645">
        <v>101.12</v>
      </c>
      <c r="BM10" s="645">
        <v>114.21</v>
      </c>
      <c r="BN10" s="645">
        <v>102.85</v>
      </c>
      <c r="BO10" s="645">
        <v>102.1</v>
      </c>
      <c r="BP10" s="645">
        <v>99.94</v>
      </c>
      <c r="BQ10" s="645">
        <v>100.45</v>
      </c>
      <c r="BR10" s="645">
        <v>100.81</v>
      </c>
      <c r="BS10" s="645">
        <v>99.83</v>
      </c>
      <c r="BT10" s="645">
        <v>100.27</v>
      </c>
      <c r="BU10" s="645">
        <v>100.5</v>
      </c>
      <c r="BV10" s="645">
        <v>99.97</v>
      </c>
    </row>
    <row r="11" spans="1:74" ht="12.75" hidden="1" customHeight="1" x14ac:dyDescent="0.2">
      <c r="A11" s="644" t="s">
        <v>2405</v>
      </c>
      <c r="B11" s="644" t="s">
        <v>2400</v>
      </c>
      <c r="C11" s="645">
        <v>101.61</v>
      </c>
      <c r="D11" s="645">
        <v>100.91</v>
      </c>
      <c r="E11" s="645">
        <v>96.44</v>
      </c>
      <c r="F11" s="645">
        <v>99.66</v>
      </c>
      <c r="G11" s="645">
        <v>98.27</v>
      </c>
      <c r="H11" s="645">
        <v>99.49</v>
      </c>
      <c r="I11" s="645">
        <v>101.96</v>
      </c>
      <c r="J11" s="645">
        <v>100.73</v>
      </c>
      <c r="K11" s="645">
        <v>99.35</v>
      </c>
      <c r="L11" s="645">
        <v>100.6</v>
      </c>
      <c r="M11" s="645">
        <v>100.84</v>
      </c>
      <c r="N11" s="645">
        <v>100.02</v>
      </c>
      <c r="O11" s="645">
        <v>99.57</v>
      </c>
      <c r="P11" s="645">
        <v>99.53</v>
      </c>
      <c r="Q11" s="645">
        <v>103.35</v>
      </c>
      <c r="R11" s="645">
        <v>103.45</v>
      </c>
      <c r="S11" s="645">
        <v>102.76</v>
      </c>
      <c r="T11" s="645">
        <v>102.99</v>
      </c>
      <c r="U11" s="645">
        <v>104.52</v>
      </c>
      <c r="V11" s="645">
        <v>103.1</v>
      </c>
      <c r="W11" s="645">
        <v>102.12</v>
      </c>
      <c r="X11" s="645">
        <v>101.81</v>
      </c>
      <c r="Y11" s="645">
        <v>102.42</v>
      </c>
      <c r="Z11" s="645">
        <v>102.44</v>
      </c>
      <c r="AA11" s="645">
        <v>100.4</v>
      </c>
      <c r="AB11" s="645">
        <v>100.25</v>
      </c>
      <c r="AC11" s="645">
        <v>100.54</v>
      </c>
      <c r="AD11" s="645">
        <v>99.75</v>
      </c>
      <c r="AE11" s="645">
        <v>100.51</v>
      </c>
      <c r="AF11" s="645">
        <v>100.27</v>
      </c>
      <c r="AG11" s="645">
        <v>100.15</v>
      </c>
      <c r="AH11" s="645">
        <v>101.67</v>
      </c>
      <c r="AI11" s="646">
        <v>100</v>
      </c>
      <c r="AJ11" s="645">
        <v>100.26</v>
      </c>
      <c r="AK11" s="645">
        <v>100.25</v>
      </c>
      <c r="AL11" s="645">
        <v>99.91</v>
      </c>
      <c r="AM11" s="645">
        <v>102.52</v>
      </c>
      <c r="AN11" s="645">
        <v>98.55</v>
      </c>
      <c r="AO11" s="645">
        <v>99.67</v>
      </c>
      <c r="AP11" s="645">
        <v>100.78</v>
      </c>
      <c r="AQ11" s="645">
        <v>101.01</v>
      </c>
      <c r="AR11" s="645">
        <v>100.65</v>
      </c>
      <c r="AS11" s="645">
        <v>100.92</v>
      </c>
      <c r="AT11" s="645">
        <v>100.71</v>
      </c>
      <c r="AU11" s="645">
        <v>100.65</v>
      </c>
      <c r="AV11" s="645">
        <v>100.55</v>
      </c>
      <c r="AW11" s="645">
        <v>100.96</v>
      </c>
      <c r="AX11" s="645">
        <v>100.03</v>
      </c>
      <c r="AY11" s="645">
        <v>100.74</v>
      </c>
      <c r="AZ11" s="645">
        <v>100.17</v>
      </c>
      <c r="BA11" s="645">
        <v>100.5</v>
      </c>
      <c r="BB11" s="645">
        <v>101.19</v>
      </c>
      <c r="BC11" s="645">
        <v>99.47</v>
      </c>
      <c r="BD11" s="645">
        <v>99.85</v>
      </c>
      <c r="BE11" s="645">
        <v>101.23</v>
      </c>
      <c r="BF11" s="645">
        <v>100.45</v>
      </c>
      <c r="BG11" s="645">
        <v>100.07</v>
      </c>
      <c r="BH11" s="645">
        <v>100.16</v>
      </c>
      <c r="BI11" s="645">
        <v>100.79</v>
      </c>
      <c r="BJ11" s="645">
        <v>100.91</v>
      </c>
      <c r="BK11" s="645">
        <v>102.22</v>
      </c>
      <c r="BL11" s="645">
        <v>101.07</v>
      </c>
      <c r="BM11" s="645">
        <v>113.08</v>
      </c>
      <c r="BN11" s="645">
        <v>102.65</v>
      </c>
      <c r="BO11" s="645">
        <v>101.97</v>
      </c>
      <c r="BP11" s="645">
        <v>99.97</v>
      </c>
      <c r="BQ11" s="645">
        <v>100.45</v>
      </c>
      <c r="BR11" s="645">
        <v>100.77</v>
      </c>
      <c r="BS11" s="645">
        <v>99.9</v>
      </c>
      <c r="BT11" s="645">
        <v>100.28</v>
      </c>
      <c r="BU11" s="645">
        <v>100.51</v>
      </c>
      <c r="BV11" s="645">
        <v>99.99</v>
      </c>
    </row>
    <row r="12" spans="1:74" ht="12.75" hidden="1" customHeight="1" x14ac:dyDescent="0.2">
      <c r="A12" s="644" t="s">
        <v>2406</v>
      </c>
      <c r="B12" s="644" t="s">
        <v>2400</v>
      </c>
      <c r="C12" s="645">
        <v>101.6</v>
      </c>
      <c r="D12" s="645">
        <v>99.26</v>
      </c>
      <c r="E12" s="645">
        <v>99.75</v>
      </c>
      <c r="F12" s="645">
        <v>99.2</v>
      </c>
      <c r="G12" s="645">
        <v>100.26</v>
      </c>
      <c r="H12" s="645">
        <v>100.34</v>
      </c>
      <c r="I12" s="645">
        <v>101.08</v>
      </c>
      <c r="J12" s="645">
        <v>99.9</v>
      </c>
      <c r="K12" s="645">
        <v>98.97</v>
      </c>
      <c r="L12" s="645">
        <v>100.07</v>
      </c>
      <c r="M12" s="645">
        <v>100.83</v>
      </c>
      <c r="N12" s="645">
        <v>99.97</v>
      </c>
      <c r="O12" s="645">
        <v>99.94</v>
      </c>
      <c r="P12" s="645">
        <v>100.43</v>
      </c>
      <c r="Q12" s="645">
        <v>100.16</v>
      </c>
      <c r="R12" s="645">
        <v>100.8</v>
      </c>
      <c r="S12" s="645">
        <v>100.11</v>
      </c>
      <c r="T12" s="645">
        <v>100.79</v>
      </c>
      <c r="U12" s="645">
        <v>101.19</v>
      </c>
      <c r="V12" s="645">
        <v>101.51</v>
      </c>
      <c r="W12" s="645">
        <v>101.38</v>
      </c>
      <c r="X12" s="645">
        <v>101.38</v>
      </c>
      <c r="Y12" s="645">
        <v>102.25</v>
      </c>
      <c r="Z12" s="645">
        <v>101.74</v>
      </c>
      <c r="AA12" s="645">
        <v>101.47</v>
      </c>
      <c r="AB12" s="645">
        <v>101.36</v>
      </c>
      <c r="AC12" s="645">
        <v>101.32</v>
      </c>
      <c r="AD12" s="645">
        <v>99.26</v>
      </c>
      <c r="AE12" s="645">
        <v>100.58</v>
      </c>
      <c r="AF12" s="645">
        <v>100.86</v>
      </c>
      <c r="AG12" s="645">
        <v>100.47</v>
      </c>
      <c r="AH12" s="645">
        <v>99.81</v>
      </c>
      <c r="AI12" s="645">
        <v>101.16</v>
      </c>
      <c r="AJ12" s="645">
        <v>101.15</v>
      </c>
      <c r="AK12" s="645">
        <v>100.69</v>
      </c>
      <c r="AL12" s="645">
        <v>101.02</v>
      </c>
      <c r="AM12" s="645">
        <v>100.6</v>
      </c>
      <c r="AN12" s="645">
        <v>100.76</v>
      </c>
      <c r="AO12" s="645">
        <v>101.19</v>
      </c>
      <c r="AP12" s="645">
        <v>100.87</v>
      </c>
      <c r="AQ12" s="645">
        <v>99.99</v>
      </c>
      <c r="AR12" s="645">
        <v>99.56</v>
      </c>
      <c r="AS12" s="645">
        <v>100.14</v>
      </c>
      <c r="AT12" s="645">
        <v>100.35</v>
      </c>
      <c r="AU12" s="645">
        <v>99.66</v>
      </c>
      <c r="AV12" s="645">
        <v>99.66</v>
      </c>
      <c r="AW12" s="645">
        <v>99.49</v>
      </c>
      <c r="AX12" s="645">
        <v>99.36</v>
      </c>
      <c r="AY12" s="645">
        <v>99.96</v>
      </c>
      <c r="AZ12" s="645">
        <v>98.05</v>
      </c>
      <c r="BA12" s="645">
        <v>103.26</v>
      </c>
      <c r="BB12" s="645">
        <v>100.56</v>
      </c>
      <c r="BC12" s="645">
        <v>104.89</v>
      </c>
      <c r="BD12" s="645">
        <v>100.34</v>
      </c>
      <c r="BE12" s="645">
        <v>100.79</v>
      </c>
      <c r="BF12" s="645">
        <v>100.49</v>
      </c>
      <c r="BG12" s="645">
        <v>100.54</v>
      </c>
      <c r="BH12" s="645">
        <v>100.48</v>
      </c>
      <c r="BI12" s="645">
        <v>100.2</v>
      </c>
      <c r="BJ12" s="645">
        <v>100.17</v>
      </c>
      <c r="BK12" s="645">
        <v>100.61</v>
      </c>
      <c r="BL12" s="645">
        <v>100.35</v>
      </c>
      <c r="BM12" s="645">
        <v>102.54</v>
      </c>
      <c r="BN12" s="645">
        <v>100.84</v>
      </c>
      <c r="BO12" s="645">
        <v>100.73</v>
      </c>
      <c r="BP12" s="645">
        <v>100.35</v>
      </c>
      <c r="BQ12" s="645">
        <v>100.25</v>
      </c>
      <c r="BR12" s="645">
        <v>100.3</v>
      </c>
      <c r="BS12" s="645">
        <v>100.41</v>
      </c>
      <c r="BT12" s="645">
        <v>100.01</v>
      </c>
      <c r="BU12" s="645">
        <v>101.09</v>
      </c>
      <c r="BV12" s="645">
        <v>100.23</v>
      </c>
    </row>
    <row r="13" spans="1:74" ht="12.75" hidden="1" customHeight="1" x14ac:dyDescent="0.2">
      <c r="A13" s="644" t="s">
        <v>2407</v>
      </c>
      <c r="B13" s="644" t="s">
        <v>2400</v>
      </c>
      <c r="C13" s="645">
        <v>99.19</v>
      </c>
      <c r="D13" s="645">
        <v>101.19</v>
      </c>
      <c r="E13" s="645">
        <v>99.99</v>
      </c>
      <c r="F13" s="645">
        <v>100.87</v>
      </c>
      <c r="G13" s="645">
        <v>99.5</v>
      </c>
      <c r="H13" s="645">
        <v>100.35</v>
      </c>
      <c r="I13" s="645">
        <v>100.63</v>
      </c>
      <c r="J13" s="645">
        <v>100.34</v>
      </c>
      <c r="K13" s="645">
        <v>100.25</v>
      </c>
      <c r="L13" s="645">
        <v>100.27</v>
      </c>
      <c r="M13" s="645">
        <v>99.53</v>
      </c>
      <c r="N13" s="645">
        <v>100.44</v>
      </c>
      <c r="O13" s="645">
        <v>99.79</v>
      </c>
      <c r="P13" s="645">
        <v>100.72</v>
      </c>
      <c r="Q13" s="645">
        <v>101.29</v>
      </c>
      <c r="R13" s="645">
        <v>101.8</v>
      </c>
      <c r="S13" s="645">
        <v>101.92</v>
      </c>
      <c r="T13" s="645">
        <v>101.31</v>
      </c>
      <c r="U13" s="645">
        <v>102.16</v>
      </c>
      <c r="V13" s="645">
        <v>103.21</v>
      </c>
      <c r="W13" s="645">
        <v>103.13</v>
      </c>
      <c r="X13" s="645">
        <v>101.8</v>
      </c>
      <c r="Y13" s="645">
        <v>102.25</v>
      </c>
      <c r="Z13" s="645">
        <v>102.54</v>
      </c>
      <c r="AA13" s="645">
        <v>100.31</v>
      </c>
      <c r="AB13" s="645">
        <v>99.98</v>
      </c>
      <c r="AC13" s="645">
        <v>99.96</v>
      </c>
      <c r="AD13" s="645">
        <v>100.39</v>
      </c>
      <c r="AE13" s="645">
        <v>99.87</v>
      </c>
      <c r="AF13" s="645">
        <v>99.64</v>
      </c>
      <c r="AG13" s="646">
        <v>99</v>
      </c>
      <c r="AH13" s="645">
        <v>98.97</v>
      </c>
      <c r="AI13" s="645">
        <v>98.59</v>
      </c>
      <c r="AJ13" s="645">
        <v>99.03</v>
      </c>
      <c r="AK13" s="645">
        <v>98.76</v>
      </c>
      <c r="AL13" s="645">
        <v>98.57</v>
      </c>
      <c r="AM13" s="645">
        <v>98.99</v>
      </c>
      <c r="AN13" s="645">
        <v>101.33</v>
      </c>
      <c r="AO13" s="645">
        <v>104.51</v>
      </c>
      <c r="AP13" s="645">
        <v>100.75</v>
      </c>
      <c r="AQ13" s="645">
        <v>99.12</v>
      </c>
      <c r="AR13" s="645">
        <v>98.65</v>
      </c>
      <c r="AS13" s="645">
        <v>100.99</v>
      </c>
      <c r="AT13" s="645">
        <v>101.41</v>
      </c>
      <c r="AU13" s="645">
        <v>100.71</v>
      </c>
      <c r="AV13" s="645">
        <v>100.91</v>
      </c>
      <c r="AW13" s="645">
        <v>100.09</v>
      </c>
      <c r="AX13" s="645">
        <v>99.16</v>
      </c>
      <c r="AY13" s="645">
        <v>100.36</v>
      </c>
      <c r="AZ13" s="645">
        <v>99.37</v>
      </c>
      <c r="BA13" s="645">
        <v>102.43</v>
      </c>
      <c r="BB13" s="645">
        <v>100.79</v>
      </c>
      <c r="BC13" s="645">
        <v>103.61</v>
      </c>
      <c r="BD13" s="645">
        <v>100.35</v>
      </c>
      <c r="BE13" s="645">
        <v>100.8</v>
      </c>
      <c r="BF13" s="645">
        <v>100.68</v>
      </c>
      <c r="BG13" s="645">
        <v>100.73</v>
      </c>
      <c r="BH13" s="645">
        <v>100.66</v>
      </c>
      <c r="BI13" s="645">
        <v>100.35</v>
      </c>
      <c r="BJ13" s="645">
        <v>100.57</v>
      </c>
      <c r="BK13" s="645">
        <v>100.52</v>
      </c>
      <c r="BL13" s="645">
        <v>100.25</v>
      </c>
      <c r="BM13" s="645">
        <v>102.24</v>
      </c>
      <c r="BN13" s="645">
        <v>100.81</v>
      </c>
      <c r="BO13" s="645">
        <v>100.33</v>
      </c>
      <c r="BP13" s="645">
        <v>100.22</v>
      </c>
      <c r="BQ13" s="645">
        <v>100.1</v>
      </c>
      <c r="BR13" s="645">
        <v>100.14</v>
      </c>
      <c r="BS13" s="645">
        <v>100.45</v>
      </c>
      <c r="BT13" s="645">
        <v>99.99</v>
      </c>
      <c r="BU13" s="645">
        <v>101.19</v>
      </c>
      <c r="BV13" s="645">
        <v>100.29</v>
      </c>
    </row>
    <row r="14" spans="1:74" x14ac:dyDescent="0.2">
      <c r="B14" s="647" t="s">
        <v>2408</v>
      </c>
      <c r="C14" s="648">
        <f>C6/100</f>
        <v>1.0019</v>
      </c>
      <c r="D14" s="648">
        <f t="shared" ref="D14:BO14" si="0">D6/100</f>
        <v>1.0170999999999999</v>
      </c>
      <c r="E14" s="648">
        <f t="shared" si="0"/>
        <v>0.97460000000000002</v>
      </c>
      <c r="F14" s="648">
        <f t="shared" si="0"/>
        <v>1.0075000000000001</v>
      </c>
      <c r="G14" s="648">
        <f t="shared" si="0"/>
        <v>1.0123</v>
      </c>
      <c r="H14" s="648">
        <f t="shared" si="0"/>
        <v>1.0013000000000001</v>
      </c>
      <c r="I14" s="648">
        <f t="shared" si="0"/>
        <v>1.0084</v>
      </c>
      <c r="J14" s="648">
        <f t="shared" si="0"/>
        <v>1.0088999999999999</v>
      </c>
      <c r="K14" s="648">
        <f t="shared" si="0"/>
        <v>1.0007999999999999</v>
      </c>
      <c r="L14" s="648">
        <f t="shared" si="0"/>
        <v>1.0024999999999999</v>
      </c>
      <c r="M14" s="648">
        <f t="shared" si="0"/>
        <v>0.996</v>
      </c>
      <c r="N14" s="648">
        <f t="shared" si="0"/>
        <v>1.0032000000000001</v>
      </c>
      <c r="O14" s="648">
        <f t="shared" si="0"/>
        <v>0.99850000000000005</v>
      </c>
      <c r="P14" s="648">
        <f t="shared" si="0"/>
        <v>1.0009999999999999</v>
      </c>
      <c r="Q14" s="648">
        <f t="shared" si="0"/>
        <v>1.0051000000000001</v>
      </c>
      <c r="R14" s="648">
        <f t="shared" si="0"/>
        <v>1.0071000000000001</v>
      </c>
      <c r="S14" s="648">
        <f t="shared" si="0"/>
        <v>1.0045999999999999</v>
      </c>
      <c r="T14" s="648">
        <f t="shared" si="0"/>
        <v>1.0044</v>
      </c>
      <c r="U14" s="648">
        <f t="shared" si="0"/>
        <v>1.0049999999999999</v>
      </c>
      <c r="V14" s="648">
        <f t="shared" si="0"/>
        <v>1.0077</v>
      </c>
      <c r="W14" s="648">
        <f t="shared" si="0"/>
        <v>1.0062</v>
      </c>
      <c r="X14" s="648">
        <f t="shared" si="0"/>
        <v>1.0027999999999999</v>
      </c>
      <c r="Y14" s="648">
        <f t="shared" si="0"/>
        <v>1.0059</v>
      </c>
      <c r="Z14" s="648">
        <f t="shared" si="0"/>
        <v>1.0065</v>
      </c>
      <c r="AA14" s="648">
        <f t="shared" si="0"/>
        <v>1.0081</v>
      </c>
      <c r="AB14" s="648">
        <f t="shared" si="0"/>
        <v>1.0026999999999999</v>
      </c>
      <c r="AC14" s="648">
        <f t="shared" si="0"/>
        <v>1.0031000000000001</v>
      </c>
      <c r="AD14" s="648">
        <f t="shared" si="0"/>
        <v>1.0032000000000001</v>
      </c>
      <c r="AE14" s="648">
        <f t="shared" si="0"/>
        <v>1.0039</v>
      </c>
      <c r="AF14" s="648">
        <f t="shared" si="0"/>
        <v>1.0033000000000001</v>
      </c>
      <c r="AG14" s="648">
        <f t="shared" si="0"/>
        <v>1.0034000000000001</v>
      </c>
      <c r="AH14" s="648">
        <f t="shared" si="0"/>
        <v>1.0064</v>
      </c>
      <c r="AI14" s="648">
        <f t="shared" si="0"/>
        <v>1.0029999999999999</v>
      </c>
      <c r="AJ14" s="648">
        <f t="shared" si="0"/>
        <v>1.0022</v>
      </c>
      <c r="AK14" s="648">
        <f t="shared" si="0"/>
        <v>1.0024999999999999</v>
      </c>
      <c r="AL14" s="648">
        <f t="shared" si="0"/>
        <v>1.0007999999999999</v>
      </c>
      <c r="AM14" s="648">
        <f t="shared" si="0"/>
        <v>1</v>
      </c>
      <c r="AN14" s="648">
        <f t="shared" si="0"/>
        <v>1.0052000000000001</v>
      </c>
      <c r="AO14" s="648">
        <f t="shared" si="0"/>
        <v>1.0167999999999999</v>
      </c>
      <c r="AP14" s="648">
        <f t="shared" si="0"/>
        <v>1.0042</v>
      </c>
      <c r="AQ14" s="648">
        <f t="shared" si="0"/>
        <v>0.99970000000000003</v>
      </c>
      <c r="AR14" s="648">
        <f t="shared" si="0"/>
        <v>0.99639999999999995</v>
      </c>
      <c r="AS14" s="648">
        <f t="shared" si="0"/>
        <v>1.0046999999999999</v>
      </c>
      <c r="AT14" s="648">
        <f t="shared" si="0"/>
        <v>1.0063</v>
      </c>
      <c r="AU14" s="648">
        <f t="shared" si="0"/>
        <v>1.0052000000000001</v>
      </c>
      <c r="AV14" s="648">
        <f t="shared" si="0"/>
        <v>1.0041</v>
      </c>
      <c r="AW14" s="648">
        <f t="shared" si="0"/>
        <v>1.0008999999999999</v>
      </c>
      <c r="AX14" s="648">
        <f t="shared" si="0"/>
        <v>0.99880000000000002</v>
      </c>
      <c r="AY14" s="648">
        <f t="shared" si="0"/>
        <v>1.0043</v>
      </c>
      <c r="AZ14" s="648">
        <f t="shared" si="0"/>
        <v>1.0007999999999999</v>
      </c>
      <c r="BA14" s="648">
        <f t="shared" si="0"/>
        <v>1.0105999999999999</v>
      </c>
      <c r="BB14" s="648">
        <f t="shared" si="0"/>
        <v>1.0085</v>
      </c>
      <c r="BC14" s="648">
        <f t="shared" si="0"/>
        <v>1.0161</v>
      </c>
      <c r="BD14" s="648">
        <f t="shared" si="0"/>
        <v>1.0118</v>
      </c>
      <c r="BE14" s="648">
        <f t="shared" si="0"/>
        <v>1.0123</v>
      </c>
      <c r="BF14" s="648">
        <f t="shared" si="0"/>
        <v>1.0085</v>
      </c>
      <c r="BG14" s="648">
        <f t="shared" si="0"/>
        <v>1.0058</v>
      </c>
      <c r="BH14" s="648">
        <f t="shared" si="0"/>
        <v>1.0047999999999999</v>
      </c>
      <c r="BI14" s="648">
        <f t="shared" si="0"/>
        <v>1.0065</v>
      </c>
      <c r="BJ14" s="648">
        <f t="shared" si="0"/>
        <v>1.0071000000000001</v>
      </c>
      <c r="BK14" s="648">
        <f t="shared" si="0"/>
        <v>1.0073000000000001</v>
      </c>
      <c r="BL14" s="648">
        <f t="shared" si="0"/>
        <v>1.0074000000000001</v>
      </c>
      <c r="BM14" s="648">
        <f t="shared" si="0"/>
        <v>1.0444</v>
      </c>
      <c r="BN14" s="648">
        <f t="shared" si="0"/>
        <v>1.0105</v>
      </c>
      <c r="BO14" s="648">
        <f t="shared" si="0"/>
        <v>1.0071000000000001</v>
      </c>
      <c r="BP14" s="648">
        <f t="shared" ref="BP14:BV14" si="1">BP6/100</f>
        <v>1.0051000000000001</v>
      </c>
      <c r="BQ14" s="648">
        <f t="shared" si="1"/>
        <v>1</v>
      </c>
      <c r="BR14" s="648">
        <f t="shared" si="1"/>
        <v>1.0037</v>
      </c>
      <c r="BS14" s="648">
        <f t="shared" si="1"/>
        <v>1.0017</v>
      </c>
      <c r="BT14" s="648">
        <f t="shared" si="1"/>
        <v>1.0032000000000001</v>
      </c>
      <c r="BU14" s="648">
        <f t="shared" si="1"/>
        <v>1.0074000000000001</v>
      </c>
      <c r="BV14" s="648">
        <f t="shared" si="1"/>
        <v>1.0013000000000001</v>
      </c>
    </row>
    <row r="15" spans="1:74" x14ac:dyDescent="0.2">
      <c r="B15" s="647"/>
    </row>
    <row r="16" spans="1:74" ht="12.75" customHeight="1" x14ac:dyDescent="0.2">
      <c r="A16" s="894" t="s">
        <v>129</v>
      </c>
      <c r="B16" s="894" t="s">
        <v>129</v>
      </c>
      <c r="C16" s="895" t="s">
        <v>2409</v>
      </c>
      <c r="D16" s="896"/>
      <c r="E16" s="896"/>
      <c r="F16" s="896"/>
      <c r="G16" s="896"/>
      <c r="H16" s="896"/>
      <c r="I16" s="896"/>
      <c r="J16" s="896"/>
    </row>
    <row r="17" spans="1:10" x14ac:dyDescent="0.2">
      <c r="A17" s="894" t="s">
        <v>129</v>
      </c>
      <c r="B17" s="894" t="s">
        <v>129</v>
      </c>
      <c r="C17" s="649" t="s">
        <v>2410</v>
      </c>
      <c r="D17" s="650" t="s">
        <v>2408</v>
      </c>
      <c r="E17" s="649" t="s">
        <v>2411</v>
      </c>
      <c r="F17" s="650" t="s">
        <v>2408</v>
      </c>
      <c r="G17" s="649" t="s">
        <v>2412</v>
      </c>
      <c r="H17" s="650" t="s">
        <v>2408</v>
      </c>
      <c r="I17" s="649" t="s">
        <v>2413</v>
      </c>
      <c r="J17" s="650" t="s">
        <v>2408</v>
      </c>
    </row>
    <row r="18" spans="1:10" ht="15" x14ac:dyDescent="0.2">
      <c r="A18" s="894" t="s">
        <v>2414</v>
      </c>
      <c r="B18" s="651" t="s">
        <v>2387</v>
      </c>
      <c r="C18" s="652">
        <v>100.31</v>
      </c>
      <c r="D18" s="648">
        <f>C18/100</f>
        <v>1.0031000000000001</v>
      </c>
      <c r="E18" s="652">
        <v>100.16</v>
      </c>
      <c r="F18" s="648">
        <f>E18/100</f>
        <v>1.0016</v>
      </c>
      <c r="G18" s="652">
        <v>100.36</v>
      </c>
      <c r="H18" s="648">
        <f>G18/100</f>
        <v>1.0036</v>
      </c>
      <c r="I18" s="652">
        <v>100.72</v>
      </c>
      <c r="J18" s="648">
        <f>I18/100</f>
        <v>1.0072000000000001</v>
      </c>
    </row>
    <row r="19" spans="1:10" ht="15" x14ac:dyDescent="0.2">
      <c r="A19" s="894" t="s">
        <v>2414</v>
      </c>
      <c r="B19" s="651" t="s">
        <v>2388</v>
      </c>
      <c r="C19" s="652">
        <v>100.9</v>
      </c>
      <c r="D19" s="648">
        <f t="shared" ref="D19:D29" si="2">C19/100</f>
        <v>1.0089999999999999</v>
      </c>
      <c r="E19" s="652">
        <v>100.59</v>
      </c>
      <c r="F19" s="648">
        <f t="shared" ref="F19:F29" si="3">E19/100</f>
        <v>1.0059</v>
      </c>
      <c r="G19" s="652">
        <v>99.08</v>
      </c>
      <c r="H19" s="648">
        <f t="shared" ref="H19:H29" si="4">G19/100</f>
        <v>0.99080000000000001</v>
      </c>
      <c r="I19" s="652">
        <v>100.08</v>
      </c>
      <c r="J19" s="648">
        <f t="shared" ref="J19:J23" si="5">I19/100</f>
        <v>1.0007999999999999</v>
      </c>
    </row>
    <row r="20" spans="1:10" ht="15" x14ac:dyDescent="0.2">
      <c r="A20" s="894" t="s">
        <v>2414</v>
      </c>
      <c r="B20" s="651" t="s">
        <v>2389</v>
      </c>
      <c r="C20" s="652">
        <v>99.77</v>
      </c>
      <c r="D20" s="648">
        <f t="shared" si="2"/>
        <v>0.99770000000000003</v>
      </c>
      <c r="E20" s="652">
        <v>100.14</v>
      </c>
      <c r="F20" s="648">
        <f t="shared" si="3"/>
        <v>1.0014000000000001</v>
      </c>
      <c r="G20" s="652">
        <v>99.87</v>
      </c>
      <c r="H20" s="648">
        <f t="shared" si="4"/>
        <v>0.99870000000000003</v>
      </c>
      <c r="I20" s="652">
        <v>101.69</v>
      </c>
      <c r="J20" s="648">
        <f t="shared" si="5"/>
        <v>1.0168999999999999</v>
      </c>
    </row>
    <row r="21" spans="1:10" ht="15" x14ac:dyDescent="0.2">
      <c r="A21" s="894" t="s">
        <v>2414</v>
      </c>
      <c r="B21" s="651" t="s">
        <v>2390</v>
      </c>
      <c r="C21" s="652">
        <v>100.8</v>
      </c>
      <c r="D21" s="648">
        <f t="shared" si="2"/>
        <v>1.008</v>
      </c>
      <c r="E21" s="652">
        <v>100.42</v>
      </c>
      <c r="F21" s="648">
        <f t="shared" si="3"/>
        <v>1.0042</v>
      </c>
      <c r="G21" s="652">
        <v>98.37</v>
      </c>
      <c r="H21" s="648">
        <f t="shared" si="4"/>
        <v>0.98370000000000002</v>
      </c>
      <c r="I21" s="652">
        <v>98.74</v>
      </c>
      <c r="J21" s="648">
        <f t="shared" si="5"/>
        <v>0.98740000000000006</v>
      </c>
    </row>
    <row r="22" spans="1:10" ht="15" x14ac:dyDescent="0.2">
      <c r="A22" s="894" t="s">
        <v>2414</v>
      </c>
      <c r="B22" s="651" t="s">
        <v>2391</v>
      </c>
      <c r="C22" s="652">
        <v>100.13</v>
      </c>
      <c r="D22" s="648">
        <f t="shared" si="2"/>
        <v>1.0013000000000001</v>
      </c>
      <c r="E22" s="652">
        <v>100.47</v>
      </c>
      <c r="F22" s="648">
        <f t="shared" si="3"/>
        <v>1.0046999999999999</v>
      </c>
      <c r="G22" s="652">
        <v>101.01</v>
      </c>
      <c r="H22" s="648">
        <f t="shared" si="4"/>
        <v>1.0101</v>
      </c>
      <c r="I22" s="653">
        <v>98.74</v>
      </c>
      <c r="J22" s="648">
        <f t="shared" si="5"/>
        <v>0.98740000000000006</v>
      </c>
    </row>
    <row r="23" spans="1:10" ht="15" x14ac:dyDescent="0.2">
      <c r="A23" s="894" t="s">
        <v>2414</v>
      </c>
      <c r="B23" s="651" t="s">
        <v>2392</v>
      </c>
      <c r="C23" s="652">
        <v>101.12</v>
      </c>
      <c r="D23" s="648">
        <f t="shared" si="2"/>
        <v>1.0112000000000001</v>
      </c>
      <c r="E23" s="652">
        <v>100.21</v>
      </c>
      <c r="F23" s="648">
        <f t="shared" si="3"/>
        <v>1.0021</v>
      </c>
      <c r="G23" s="652">
        <v>102.25</v>
      </c>
      <c r="H23" s="648">
        <f t="shared" si="4"/>
        <v>1.0225</v>
      </c>
      <c r="I23" s="653">
        <v>98.74</v>
      </c>
      <c r="J23" s="648">
        <f t="shared" si="5"/>
        <v>0.98740000000000006</v>
      </c>
    </row>
    <row r="24" spans="1:10" ht="15" x14ac:dyDescent="0.25">
      <c r="A24" s="894" t="s">
        <v>2414</v>
      </c>
      <c r="B24" s="651" t="s">
        <v>2393</v>
      </c>
      <c r="C24" s="652">
        <v>101.03</v>
      </c>
      <c r="D24" s="648">
        <f t="shared" si="2"/>
        <v>1.0103</v>
      </c>
      <c r="E24" s="652">
        <v>100.45</v>
      </c>
      <c r="F24" s="648">
        <f t="shared" si="3"/>
        <v>1.0044999999999999</v>
      </c>
      <c r="G24" s="652">
        <v>100.18</v>
      </c>
      <c r="H24" s="648">
        <f t="shared" si="4"/>
        <v>1.0018</v>
      </c>
      <c r="I24" t="s">
        <v>129</v>
      </c>
    </row>
    <row r="25" spans="1:10" ht="15" x14ac:dyDescent="0.25">
      <c r="A25" s="894" t="s">
        <v>2414</v>
      </c>
      <c r="B25" s="651" t="s">
        <v>2394</v>
      </c>
      <c r="C25" s="652">
        <v>100.73</v>
      </c>
      <c r="D25" s="648">
        <f t="shared" si="2"/>
        <v>1.0073000000000001</v>
      </c>
      <c r="E25" s="652">
        <v>100.32</v>
      </c>
      <c r="F25" s="648">
        <f t="shared" si="3"/>
        <v>1.0032000000000001</v>
      </c>
      <c r="G25" s="652">
        <v>99.81</v>
      </c>
      <c r="H25" s="648">
        <f t="shared" si="4"/>
        <v>0.99809999999999999</v>
      </c>
      <c r="I25" t="s">
        <v>129</v>
      </c>
    </row>
    <row r="26" spans="1:10" ht="15" x14ac:dyDescent="0.25">
      <c r="A26" s="894" t="s">
        <v>2414</v>
      </c>
      <c r="B26" s="651" t="s">
        <v>2395</v>
      </c>
      <c r="C26" s="652">
        <v>100.48</v>
      </c>
      <c r="D26" s="648">
        <f t="shared" si="2"/>
        <v>1.0047999999999999</v>
      </c>
      <c r="E26" s="652">
        <v>100.49</v>
      </c>
      <c r="F26" s="648">
        <f t="shared" si="3"/>
        <v>1.0048999999999999</v>
      </c>
      <c r="G26" s="652">
        <v>101.28</v>
      </c>
      <c r="H26" s="648">
        <f t="shared" si="4"/>
        <v>1.0127999999999999</v>
      </c>
      <c r="I26" t="s">
        <v>129</v>
      </c>
    </row>
    <row r="27" spans="1:10" ht="15" x14ac:dyDescent="0.25">
      <c r="A27" s="894" t="s">
        <v>2414</v>
      </c>
      <c r="B27" s="651" t="s">
        <v>2396</v>
      </c>
      <c r="C27" s="652">
        <v>100.57</v>
      </c>
      <c r="D27" s="648">
        <f t="shared" si="2"/>
        <v>1.0057</v>
      </c>
      <c r="E27" s="652">
        <v>100.64</v>
      </c>
      <c r="F27" s="648">
        <f t="shared" si="3"/>
        <v>1.0064</v>
      </c>
      <c r="G27" s="652">
        <v>100.18</v>
      </c>
      <c r="H27" s="648">
        <f t="shared" si="4"/>
        <v>1.0018</v>
      </c>
      <c r="I27" t="s">
        <v>129</v>
      </c>
    </row>
    <row r="28" spans="1:10" ht="15" x14ac:dyDescent="0.25">
      <c r="A28" s="894" t="s">
        <v>2414</v>
      </c>
      <c r="B28" s="651" t="s">
        <v>2397</v>
      </c>
      <c r="C28" s="652">
        <v>99.97</v>
      </c>
      <c r="D28" s="648">
        <f t="shared" si="2"/>
        <v>0.99970000000000003</v>
      </c>
      <c r="E28" s="652">
        <v>100.62</v>
      </c>
      <c r="F28" s="648">
        <f t="shared" si="3"/>
        <v>1.0062</v>
      </c>
      <c r="G28" s="652">
        <v>100.67</v>
      </c>
      <c r="H28" s="648">
        <f t="shared" si="4"/>
        <v>1.0066999999999999</v>
      </c>
      <c r="I28" t="s">
        <v>129</v>
      </c>
    </row>
    <row r="29" spans="1:10" ht="15" x14ac:dyDescent="0.25">
      <c r="A29" s="894" t="s">
        <v>2414</v>
      </c>
      <c r="B29" s="651" t="s">
        <v>2398</v>
      </c>
      <c r="C29" s="652">
        <v>100.61</v>
      </c>
      <c r="D29" s="648">
        <f t="shared" si="2"/>
        <v>1.0061</v>
      </c>
      <c r="E29" s="652">
        <v>100.48</v>
      </c>
      <c r="F29" s="648">
        <f t="shared" si="3"/>
        <v>1.0047999999999999</v>
      </c>
      <c r="G29" s="652">
        <v>100.1</v>
      </c>
      <c r="H29" s="648">
        <f t="shared" si="4"/>
        <v>1.0009999999999999</v>
      </c>
      <c r="I29" t="s">
        <v>129</v>
      </c>
    </row>
    <row r="30" spans="1:10" x14ac:dyDescent="0.2">
      <c r="A30" s="643" t="s">
        <v>2415</v>
      </c>
      <c r="B30" s="647"/>
    </row>
    <row r="32" spans="1:10" ht="23.25" customHeight="1" x14ac:dyDescent="0.2">
      <c r="A32" s="892" t="s">
        <v>2416</v>
      </c>
      <c r="B32" s="893"/>
      <c r="C32" s="654">
        <f>PRODUCT($AG$14:$BV$14)*PRODUCT(D18:D29)*PRODUCT(F18:F29)*PRODUCT(H18:H29)*PRODUCT(J18:J23)</f>
        <v>1.4716</v>
      </c>
    </row>
    <row r="33" spans="1:3" ht="23.25" customHeight="1" x14ac:dyDescent="0.2">
      <c r="A33" s="892" t="s">
        <v>2417</v>
      </c>
      <c r="B33" s="893"/>
      <c r="C33" s="654">
        <f>PRODUCT($AY$14:$BV$14)*PRODUCT(D18:D29)*PRODUCT(F18:F29)*PRODUCT(H18:H29)*PRODUCT(J18:J23)</f>
        <v>1.3854</v>
      </c>
    </row>
    <row r="34" spans="1:3" x14ac:dyDescent="0.2">
      <c r="A34" s="892" t="s">
        <v>2418</v>
      </c>
      <c r="B34" s="893"/>
      <c r="C34" s="655">
        <f>PRODUCT(BK14:BV14)*PRODUCT(D18:D29)*PRODUCT(F18:F29)*PRODUCT(H18:H29)*PRODUCT(J18:J23)</f>
        <v>1.2578020737054101</v>
      </c>
    </row>
    <row r="35" spans="1:3" x14ac:dyDescent="0.2">
      <c r="A35" s="892" t="s">
        <v>2419</v>
      </c>
      <c r="B35" s="893"/>
      <c r="C35" s="656">
        <f>PRODUCT(D21:D29)*PRODUCT(F18:F29)*PRODUCT(H18:H29)*PRODUCT(J18:J23)</f>
        <v>1.1294</v>
      </c>
    </row>
    <row r="36" spans="1:3" x14ac:dyDescent="0.2">
      <c r="A36" s="892" t="s">
        <v>2420</v>
      </c>
      <c r="B36" s="893"/>
      <c r="C36" s="656">
        <f>PRODUCT(F14:BV14)*PRODUCT(D18:D29)*PRODUCT(F18:F29)*PRODUCT(H18:H29)*PRODUCT(J18:J23)</f>
        <v>1.6585000000000001</v>
      </c>
    </row>
    <row r="37" spans="1:3" x14ac:dyDescent="0.2">
      <c r="A37" s="892" t="s">
        <v>2421</v>
      </c>
      <c r="B37" s="893"/>
      <c r="C37" s="656">
        <f>PRODUCT(F21:F29)*PRODUCT(H18:H29)*PRODUCT(J18:J23)</f>
        <v>1.0603</v>
      </c>
    </row>
    <row r="38" spans="1:3" x14ac:dyDescent="0.2">
      <c r="A38" s="892" t="s">
        <v>2422</v>
      </c>
      <c r="B38" s="893"/>
      <c r="C38" s="656">
        <f>PRODUCT(F18:F29)*PRODUCT(H18:H29)*PRODUCT(J18:J23)</f>
        <v>1.0698000000000001</v>
      </c>
    </row>
    <row r="39" spans="1:3" x14ac:dyDescent="0.2">
      <c r="A39" s="892" t="s">
        <v>2423</v>
      </c>
      <c r="B39" s="893"/>
      <c r="C39" s="656">
        <f>PRODUCT(D18:D29)*PRODUCT(F18:F29)*PRODUCT(H18:H29)*PRODUCT(J18:J23)</f>
        <v>1.1404000000000001</v>
      </c>
    </row>
    <row r="40" spans="1:3" x14ac:dyDescent="0.2">
      <c r="A40" s="892" t="s">
        <v>2424</v>
      </c>
      <c r="B40" s="893"/>
      <c r="C40" s="656">
        <f>PRODUCT(J18:J23)</f>
        <v>0.98680000000000001</v>
      </c>
    </row>
  </sheetData>
  <mergeCells count="21">
    <mergeCell ref="A1:Z1"/>
    <mergeCell ref="A3:B5"/>
    <mergeCell ref="C3:BV3"/>
    <mergeCell ref="C4:N4"/>
    <mergeCell ref="O4:Z4"/>
    <mergeCell ref="AA4:AL4"/>
    <mergeCell ref="AM4:AX4"/>
    <mergeCell ref="AY4:BJ4"/>
    <mergeCell ref="BK4:BV4"/>
    <mergeCell ref="A40:B40"/>
    <mergeCell ref="A16:B17"/>
    <mergeCell ref="C16:J16"/>
    <mergeCell ref="A18:A29"/>
    <mergeCell ref="A32:B32"/>
    <mergeCell ref="A33:B33"/>
    <mergeCell ref="A34:B34"/>
    <mergeCell ref="A35:B35"/>
    <mergeCell ref="A36:B36"/>
    <mergeCell ref="A37:B37"/>
    <mergeCell ref="A38:B38"/>
    <mergeCell ref="A39:B39"/>
  </mergeCells>
  <pageMargins left="0.75" right="0.75" top="1" bottom="1" header="0.5" footer="0.5"/>
  <pageSetup scale="13"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autoPageBreaks="0" fitToPage="1"/>
  </sheetPr>
  <dimension ref="A1:AK141"/>
  <sheetViews>
    <sheetView showGridLines="0" topLeftCell="A4" zoomScale="80" zoomScaleNormal="80" workbookViewId="0">
      <selection activeCell="F32" sqref="F32"/>
    </sheetView>
  </sheetViews>
  <sheetFormatPr defaultColWidth="9.140625" defaultRowHeight="12.75" outlineLevelRow="1" outlineLevelCol="1" x14ac:dyDescent="0.2"/>
  <cols>
    <col min="1" max="1" width="5" style="395" customWidth="1"/>
    <col min="2" max="2" width="19.28515625" style="389" customWidth="1"/>
    <col min="3" max="3" width="51.28515625" style="389" customWidth="1"/>
    <col min="4" max="4" width="13.140625" style="392" customWidth="1" outlineLevel="1"/>
    <col min="5" max="5" width="16.140625" style="392" customWidth="1" outlineLevel="1"/>
    <col min="6" max="6" width="13.42578125" style="392" customWidth="1" outlineLevel="1"/>
    <col min="7" max="7" width="12.5703125" style="392" customWidth="1" outlineLevel="1"/>
    <col min="8" max="8" width="13.85546875" style="392" customWidth="1" outlineLevel="1"/>
    <col min="9" max="9" width="12.7109375" style="391" customWidth="1" outlineLevel="1"/>
    <col min="10" max="10" width="13.85546875" style="391" customWidth="1" outlineLevel="1"/>
    <col min="11" max="11" width="12.28515625" style="391" customWidth="1" outlineLevel="1"/>
    <col min="12" max="12" width="11.28515625" style="391" customWidth="1" outlineLevel="1"/>
    <col min="13" max="13" width="15" style="391" customWidth="1" outlineLevel="1"/>
    <col min="14" max="14" width="10.5703125" style="391" customWidth="1" outlineLevel="1"/>
    <col min="15" max="15" width="13.140625" style="391" customWidth="1" outlineLevel="1"/>
    <col min="16" max="16" width="9.140625" style="391" customWidth="1" outlineLevel="1"/>
    <col min="17" max="17" width="12.85546875" style="391" customWidth="1" outlineLevel="1"/>
    <col min="18" max="18" width="9.140625" style="391" customWidth="1" outlineLevel="1"/>
    <col min="19" max="22" width="10.5703125" style="391" customWidth="1" outlineLevel="1"/>
    <col min="23" max="24" width="23.85546875" style="391" customWidth="1" outlineLevel="1"/>
    <col min="25" max="25" width="10.85546875" style="391" customWidth="1" outlineLevel="1"/>
    <col min="26" max="26" width="10.85546875" style="391" customWidth="1" outlineLevel="1" collapsed="1"/>
    <col min="27" max="27" width="10.85546875" style="391" customWidth="1" outlineLevel="1"/>
    <col min="28" max="28" width="10.85546875" style="391" customWidth="1"/>
    <col min="29" max="29" width="10" style="391" customWidth="1"/>
    <col min="30" max="30" width="10" style="391" hidden="1" customWidth="1"/>
    <col min="31" max="31" width="10.28515625" style="391" hidden="1" customWidth="1"/>
    <col min="32" max="32" width="16.42578125" style="391" hidden="1" customWidth="1"/>
    <col min="33" max="33" width="14.85546875" style="391" hidden="1" customWidth="1"/>
    <col min="34" max="34" width="13.7109375" style="391" customWidth="1"/>
    <col min="35" max="35" width="15.140625" style="391" customWidth="1"/>
    <col min="36" max="36" width="14.140625" style="391" customWidth="1"/>
    <col min="37" max="16384" width="9.140625" style="391"/>
  </cols>
  <sheetData>
    <row r="1" spans="1:36" x14ac:dyDescent="0.2">
      <c r="G1" s="390"/>
      <c r="H1" s="390"/>
    </row>
    <row r="2" spans="1:36" x14ac:dyDescent="0.2">
      <c r="A2" s="393" t="s">
        <v>1668</v>
      </c>
      <c r="B2" s="393"/>
      <c r="C2" s="393"/>
      <c r="D2" s="393"/>
      <c r="E2" s="393"/>
      <c r="F2" s="393"/>
      <c r="G2" s="393"/>
      <c r="H2" s="393"/>
    </row>
    <row r="3" spans="1:36" x14ac:dyDescent="0.2">
      <c r="D3" s="394"/>
      <c r="F3" s="390"/>
      <c r="G3" s="390"/>
      <c r="H3" s="390"/>
    </row>
    <row r="4" spans="1:36" ht="27.95" customHeight="1" x14ac:dyDescent="0.2">
      <c r="A4" s="416" t="s">
        <v>1669</v>
      </c>
      <c r="B4" s="416"/>
      <c r="C4" s="416"/>
      <c r="D4" s="416"/>
      <c r="E4" s="416"/>
      <c r="F4" s="416"/>
      <c r="G4" s="416"/>
      <c r="H4" s="416"/>
    </row>
    <row r="5" spans="1:36" x14ac:dyDescent="0.2">
      <c r="D5" s="390"/>
      <c r="E5" s="390"/>
      <c r="F5" s="390"/>
      <c r="G5" s="390"/>
      <c r="H5" s="390"/>
      <c r="I5" s="417" t="s">
        <v>1670</v>
      </c>
      <c r="J5" s="417"/>
      <c r="K5" s="417"/>
      <c r="L5" s="417"/>
      <c r="M5" s="417"/>
      <c r="N5" s="417"/>
      <c r="O5" s="417"/>
      <c r="P5" s="417"/>
      <c r="Q5" s="417"/>
      <c r="R5" s="417"/>
      <c r="S5" s="417"/>
      <c r="T5" s="417"/>
      <c r="U5" s="417"/>
      <c r="V5" s="417"/>
      <c r="W5" s="417"/>
      <c r="X5" s="417"/>
      <c r="Y5" s="417"/>
      <c r="Z5" s="417"/>
      <c r="AA5" s="417"/>
      <c r="AB5" s="417"/>
      <c r="AC5" s="417"/>
      <c r="AD5" s="417"/>
      <c r="AE5" s="417"/>
      <c r="AF5" s="418"/>
    </row>
    <row r="6" spans="1:36" ht="12.75" customHeight="1" x14ac:dyDescent="0.2">
      <c r="A6" s="904" t="s">
        <v>97</v>
      </c>
      <c r="B6" s="907" t="s">
        <v>1553</v>
      </c>
      <c r="C6" s="907" t="s">
        <v>1554</v>
      </c>
      <c r="D6" s="419" t="s">
        <v>1555</v>
      </c>
      <c r="E6" s="419"/>
      <c r="F6" s="419"/>
      <c r="G6" s="419"/>
      <c r="H6" s="407" t="s">
        <v>1556</v>
      </c>
      <c r="I6" s="901" t="s">
        <v>1671</v>
      </c>
      <c r="J6" s="901" t="s">
        <v>1672</v>
      </c>
      <c r="K6" s="901" t="s">
        <v>1673</v>
      </c>
      <c r="L6" s="901" t="s">
        <v>1674</v>
      </c>
      <c r="M6" s="901" t="s">
        <v>1675</v>
      </c>
      <c r="N6" s="901" t="s">
        <v>1557</v>
      </c>
      <c r="O6" s="901" t="s">
        <v>1676</v>
      </c>
      <c r="P6" s="901" t="s">
        <v>1677</v>
      </c>
      <c r="Q6" s="901" t="s">
        <v>1678</v>
      </c>
      <c r="R6" s="901" t="s">
        <v>1679</v>
      </c>
      <c r="S6" s="901" t="s">
        <v>1680</v>
      </c>
      <c r="T6" s="901" t="s">
        <v>32</v>
      </c>
      <c r="U6" s="901" t="s">
        <v>1681</v>
      </c>
      <c r="V6" s="901" t="s">
        <v>1682</v>
      </c>
      <c r="W6" s="901" t="s">
        <v>1631</v>
      </c>
      <c r="X6" s="901" t="s">
        <v>8</v>
      </c>
      <c r="Y6" s="901" t="s">
        <v>1683</v>
      </c>
      <c r="Z6" s="913" t="s">
        <v>1684</v>
      </c>
      <c r="AA6" s="913" t="s">
        <v>1685</v>
      </c>
      <c r="AB6" s="913" t="s">
        <v>1686</v>
      </c>
      <c r="AC6" s="910" t="s">
        <v>1687</v>
      </c>
      <c r="AD6" s="901" t="s">
        <v>1688</v>
      </c>
      <c r="AE6" s="901" t="s">
        <v>1684</v>
      </c>
      <c r="AF6" s="901" t="s">
        <v>1689</v>
      </c>
      <c r="AG6" s="901" t="s">
        <v>1690</v>
      </c>
      <c r="AH6" s="904" t="s">
        <v>1691</v>
      </c>
      <c r="AI6" s="919" t="s">
        <v>4</v>
      </c>
      <c r="AJ6" s="916" t="s">
        <v>1692</v>
      </c>
    </row>
    <row r="7" spans="1:36" ht="12.75" customHeight="1" x14ac:dyDescent="0.2">
      <c r="A7" s="905"/>
      <c r="B7" s="908"/>
      <c r="C7" s="908"/>
      <c r="D7" s="407" t="s">
        <v>1558</v>
      </c>
      <c r="E7" s="407" t="s">
        <v>1559</v>
      </c>
      <c r="F7" s="407" t="s">
        <v>1560</v>
      </c>
      <c r="G7" s="407" t="s">
        <v>1561</v>
      </c>
      <c r="H7" s="407"/>
      <c r="I7" s="902"/>
      <c r="J7" s="902"/>
      <c r="K7" s="902"/>
      <c r="L7" s="902"/>
      <c r="M7" s="902"/>
      <c r="N7" s="902"/>
      <c r="O7" s="902"/>
      <c r="P7" s="902"/>
      <c r="Q7" s="902"/>
      <c r="R7" s="902"/>
      <c r="S7" s="902"/>
      <c r="T7" s="902"/>
      <c r="U7" s="902"/>
      <c r="V7" s="902"/>
      <c r="W7" s="902"/>
      <c r="X7" s="902"/>
      <c r="Y7" s="902"/>
      <c r="Z7" s="914"/>
      <c r="AA7" s="914"/>
      <c r="AB7" s="914"/>
      <c r="AC7" s="911"/>
      <c r="AD7" s="902"/>
      <c r="AE7" s="902"/>
      <c r="AF7" s="902"/>
      <c r="AG7" s="902"/>
      <c r="AH7" s="905"/>
      <c r="AI7" s="920"/>
      <c r="AJ7" s="917"/>
    </row>
    <row r="8" spans="1:36" x14ac:dyDescent="0.2">
      <c r="A8" s="905"/>
      <c r="B8" s="908"/>
      <c r="C8" s="908"/>
      <c r="D8" s="407"/>
      <c r="E8" s="407"/>
      <c r="F8" s="407"/>
      <c r="G8" s="407"/>
      <c r="H8" s="407"/>
      <c r="I8" s="902"/>
      <c r="J8" s="902"/>
      <c r="K8" s="902"/>
      <c r="L8" s="902"/>
      <c r="M8" s="902"/>
      <c r="N8" s="902"/>
      <c r="O8" s="902"/>
      <c r="P8" s="902"/>
      <c r="Q8" s="902"/>
      <c r="R8" s="902"/>
      <c r="S8" s="902"/>
      <c r="T8" s="902"/>
      <c r="U8" s="902"/>
      <c r="V8" s="902"/>
      <c r="W8" s="902"/>
      <c r="X8" s="902"/>
      <c r="Y8" s="902"/>
      <c r="Z8" s="914"/>
      <c r="AA8" s="914"/>
      <c r="AB8" s="914"/>
      <c r="AC8" s="911"/>
      <c r="AD8" s="902"/>
      <c r="AE8" s="902"/>
      <c r="AF8" s="902"/>
      <c r="AG8" s="902"/>
      <c r="AH8" s="905"/>
      <c r="AI8" s="920"/>
      <c r="AJ8" s="917"/>
    </row>
    <row r="9" spans="1:36" ht="25.15" customHeight="1" x14ac:dyDescent="0.2">
      <c r="A9" s="906"/>
      <c r="B9" s="909"/>
      <c r="C9" s="909"/>
      <c r="D9" s="407"/>
      <c r="E9" s="407"/>
      <c r="F9" s="407"/>
      <c r="G9" s="407"/>
      <c r="H9" s="407"/>
      <c r="I9" s="903"/>
      <c r="J9" s="903"/>
      <c r="K9" s="903"/>
      <c r="L9" s="903"/>
      <c r="M9" s="903"/>
      <c r="N9" s="903"/>
      <c r="O9" s="903"/>
      <c r="P9" s="903"/>
      <c r="Q9" s="903"/>
      <c r="R9" s="903"/>
      <c r="S9" s="903"/>
      <c r="T9" s="903"/>
      <c r="U9" s="903"/>
      <c r="V9" s="903"/>
      <c r="W9" s="903"/>
      <c r="X9" s="903"/>
      <c r="Y9" s="903"/>
      <c r="Z9" s="915"/>
      <c r="AA9" s="915"/>
      <c r="AB9" s="915"/>
      <c r="AC9" s="912"/>
      <c r="AD9" s="903"/>
      <c r="AE9" s="903"/>
      <c r="AF9" s="903"/>
      <c r="AG9" s="903"/>
      <c r="AH9" s="906"/>
      <c r="AI9" s="921"/>
      <c r="AJ9" s="918"/>
    </row>
    <row r="10" spans="1:36" x14ac:dyDescent="0.2">
      <c r="A10" s="420">
        <v>1</v>
      </c>
      <c r="B10" s="421">
        <v>2</v>
      </c>
      <c r="C10" s="421">
        <v>3</v>
      </c>
      <c r="D10" s="420">
        <v>4</v>
      </c>
      <c r="E10" s="420">
        <v>5</v>
      </c>
      <c r="F10" s="420">
        <v>6</v>
      </c>
      <c r="G10" s="420">
        <v>7</v>
      </c>
      <c r="H10" s="420">
        <v>8</v>
      </c>
      <c r="I10" s="422"/>
      <c r="J10" s="422"/>
      <c r="K10" s="422"/>
      <c r="L10" s="422"/>
      <c r="M10" s="422"/>
      <c r="N10" s="422"/>
      <c r="O10" s="422"/>
      <c r="P10" s="422"/>
      <c r="Q10" s="422"/>
      <c r="R10" s="422"/>
      <c r="S10" s="422"/>
      <c r="T10" s="422"/>
      <c r="U10" s="422"/>
      <c r="V10" s="422"/>
      <c r="W10" s="422"/>
      <c r="X10" s="422"/>
      <c r="Y10" s="422"/>
      <c r="Z10" s="423"/>
      <c r="AA10" s="423"/>
      <c r="AB10" s="423"/>
      <c r="AC10" s="424"/>
      <c r="AD10" s="422"/>
      <c r="AE10" s="422"/>
      <c r="AF10" s="422"/>
      <c r="AG10" s="425"/>
      <c r="AH10" s="396"/>
      <c r="AI10" s="396"/>
      <c r="AJ10" s="426"/>
    </row>
    <row r="11" spans="1:36" ht="12.75" hidden="1" customHeight="1" x14ac:dyDescent="0.2">
      <c r="A11" s="427" t="s">
        <v>1562</v>
      </c>
      <c r="B11" s="428"/>
      <c r="C11" s="428"/>
      <c r="D11" s="428"/>
      <c r="E11" s="428"/>
      <c r="F11" s="428"/>
      <c r="G11" s="428"/>
      <c r="H11" s="428"/>
      <c r="I11" s="422"/>
      <c r="J11" s="422"/>
      <c r="K11" s="422"/>
      <c r="L11" s="422"/>
      <c r="M11" s="422"/>
      <c r="N11" s="422"/>
      <c r="O11" s="422"/>
      <c r="P11" s="422"/>
      <c r="Q11" s="422"/>
      <c r="R11" s="422"/>
      <c r="S11" s="422"/>
      <c r="T11" s="422"/>
      <c r="U11" s="422"/>
      <c r="V11" s="422"/>
      <c r="W11" s="422"/>
      <c r="X11" s="422"/>
      <c r="Y11" s="422"/>
      <c r="Z11" s="423"/>
      <c r="AA11" s="423"/>
      <c r="AB11" s="423"/>
      <c r="AC11" s="424"/>
      <c r="AD11" s="422"/>
      <c r="AE11" s="422"/>
      <c r="AF11" s="422"/>
      <c r="AG11" s="425"/>
      <c r="AH11" s="396"/>
      <c r="AI11" s="396"/>
      <c r="AJ11" s="426"/>
    </row>
    <row r="12" spans="1:36" ht="25.5" hidden="1" customHeight="1" x14ac:dyDescent="0.2">
      <c r="A12" s="397">
        <v>1</v>
      </c>
      <c r="B12" s="398" t="s">
        <v>1563</v>
      </c>
      <c r="C12" s="398" t="s">
        <v>1564</v>
      </c>
      <c r="D12" s="399"/>
      <c r="E12" s="399"/>
      <c r="F12" s="399"/>
      <c r="G12" s="400">
        <v>29.1</v>
      </c>
      <c r="H12" s="400">
        <f>SUM(D12:G12)</f>
        <v>29.1</v>
      </c>
      <c r="I12" s="422"/>
      <c r="J12" s="422"/>
      <c r="K12" s="422"/>
      <c r="L12" s="422"/>
      <c r="M12" s="422"/>
      <c r="N12" s="429">
        <f>G12*1.266*4.23</f>
        <v>155.84</v>
      </c>
      <c r="O12" s="422"/>
      <c r="P12" s="422"/>
      <c r="Q12" s="422"/>
      <c r="R12" s="422"/>
      <c r="S12" s="422"/>
      <c r="T12" s="422"/>
      <c r="U12" s="422"/>
      <c r="V12" s="422"/>
      <c r="W12" s="422"/>
      <c r="X12" s="422"/>
      <c r="Y12" s="429">
        <f>N12*0.02</f>
        <v>3.12</v>
      </c>
      <c r="Z12" s="430"/>
      <c r="AA12" s="430"/>
      <c r="AB12" s="430"/>
      <c r="AC12" s="424"/>
      <c r="AD12" s="431">
        <f>N12</f>
        <v>155.84</v>
      </c>
      <c r="AE12" s="431">
        <f>N12+Y12</f>
        <v>158.96</v>
      </c>
      <c r="AF12" s="432">
        <f>AD12*F135*1000</f>
        <v>160749</v>
      </c>
      <c r="AG12" s="432">
        <f>AE12*F135*1000</f>
        <v>163967</v>
      </c>
      <c r="AH12" s="396"/>
      <c r="AI12" s="396"/>
      <c r="AJ12" s="426"/>
    </row>
    <row r="13" spans="1:36" ht="12.75" hidden="1" customHeight="1" x14ac:dyDescent="0.2">
      <c r="A13" s="397">
        <v>2</v>
      </c>
      <c r="B13" s="398" t="s">
        <v>1565</v>
      </c>
      <c r="C13" s="398" t="s">
        <v>1566</v>
      </c>
      <c r="D13" s="401">
        <v>78.95</v>
      </c>
      <c r="E13" s="399"/>
      <c r="F13" s="399"/>
      <c r="G13" s="399"/>
      <c r="H13" s="401">
        <f t="shared" ref="H13:H14" si="0">SUM(D13:G13)</f>
        <v>78.95</v>
      </c>
      <c r="I13" s="422">
        <f>(D13+E13)*7</f>
        <v>552.65</v>
      </c>
      <c r="J13" s="422"/>
      <c r="K13" s="429">
        <f>I13*0.023</f>
        <v>12.71</v>
      </c>
      <c r="L13" s="429">
        <f>(I13+K13)*0.006*1.1</f>
        <v>3.73</v>
      </c>
      <c r="M13" s="429"/>
      <c r="N13" s="422"/>
      <c r="O13" s="429"/>
      <c r="P13" s="422"/>
      <c r="Q13" s="422"/>
      <c r="R13" s="422"/>
      <c r="S13" s="422"/>
      <c r="T13" s="422"/>
      <c r="U13" s="422"/>
      <c r="V13" s="422"/>
      <c r="W13" s="422"/>
      <c r="X13" s="422"/>
      <c r="Y13" s="429">
        <f>(I13+J13+K13+L13+O13+P13+S13)*0.02</f>
        <v>11.38</v>
      </c>
      <c r="Z13" s="430"/>
      <c r="AA13" s="430"/>
      <c r="AB13" s="430"/>
      <c r="AC13" s="433">
        <f>-K13*0.15</f>
        <v>-1.91</v>
      </c>
      <c r="AD13" s="429">
        <f>I13+J13+K13+L13+O13+P13+S13+AC13</f>
        <v>567.17999999999995</v>
      </c>
      <c r="AE13" s="429">
        <f>I13+J13+K13+L13+O13+P13+S13+Y13+AC13</f>
        <v>578.55999999999995</v>
      </c>
      <c r="AF13" s="432">
        <f>AD13*1000*$F$135</f>
        <v>585046</v>
      </c>
      <c r="AG13" s="434">
        <f>AE13*1000*$F$135</f>
        <v>596785</v>
      </c>
      <c r="AH13" s="396"/>
      <c r="AI13" s="396"/>
      <c r="AJ13" s="426"/>
    </row>
    <row r="14" spans="1:36" ht="27.95" hidden="1" customHeight="1" x14ac:dyDescent="0.2">
      <c r="A14" s="435"/>
      <c r="B14" s="436" t="s">
        <v>1567</v>
      </c>
      <c r="C14" s="437"/>
      <c r="D14" s="438">
        <f>SUM(D12:D13)</f>
        <v>78.95</v>
      </c>
      <c r="E14" s="438">
        <f t="shared" ref="E14:G14" si="1">SUM(E12:E13)</f>
        <v>0</v>
      </c>
      <c r="F14" s="438">
        <f t="shared" si="1"/>
        <v>0</v>
      </c>
      <c r="G14" s="439">
        <f t="shared" si="1"/>
        <v>29.1</v>
      </c>
      <c r="H14" s="438">
        <f t="shared" si="0"/>
        <v>108.05</v>
      </c>
      <c r="I14" s="422"/>
      <c r="J14" s="422"/>
      <c r="K14" s="422"/>
      <c r="L14" s="422"/>
      <c r="M14" s="422"/>
      <c r="N14" s="422"/>
      <c r="O14" s="422"/>
      <c r="P14" s="422"/>
      <c r="Q14" s="422"/>
      <c r="R14" s="422"/>
      <c r="S14" s="422"/>
      <c r="T14" s="422"/>
      <c r="U14" s="422"/>
      <c r="V14" s="422"/>
      <c r="W14" s="422"/>
      <c r="X14" s="422"/>
      <c r="Y14" s="422"/>
      <c r="Z14" s="423"/>
      <c r="AA14" s="423"/>
      <c r="AB14" s="423"/>
      <c r="AC14" s="424"/>
      <c r="AD14" s="422"/>
      <c r="AE14" s="422"/>
      <c r="AF14" s="422"/>
      <c r="AG14" s="425"/>
      <c r="AH14" s="396"/>
      <c r="AI14" s="396"/>
      <c r="AJ14" s="426"/>
    </row>
    <row r="15" spans="1:36" ht="12.75" customHeight="1" x14ac:dyDescent="0.2">
      <c r="A15" s="427" t="s">
        <v>1568</v>
      </c>
      <c r="B15" s="428"/>
      <c r="C15" s="428"/>
      <c r="D15" s="428"/>
      <c r="E15" s="428"/>
      <c r="F15" s="428"/>
      <c r="G15" s="428"/>
      <c r="H15" s="428"/>
      <c r="I15" s="422"/>
      <c r="J15" s="422"/>
      <c r="K15" s="422"/>
      <c r="L15" s="422"/>
      <c r="M15" s="422"/>
      <c r="N15" s="422"/>
      <c r="O15" s="422"/>
      <c r="P15" s="422"/>
      <c r="Q15" s="422"/>
      <c r="R15" s="422"/>
      <c r="S15" s="422"/>
      <c r="T15" s="422"/>
      <c r="U15" s="422"/>
      <c r="V15" s="422"/>
      <c r="W15" s="422"/>
      <c r="X15" s="422"/>
      <c r="Y15" s="422"/>
      <c r="Z15" s="423"/>
      <c r="AA15" s="423"/>
      <c r="AB15" s="423"/>
      <c r="AC15" s="424"/>
      <c r="AD15" s="422"/>
      <c r="AE15" s="422"/>
      <c r="AF15" s="422"/>
      <c r="AG15" s="425"/>
      <c r="AH15" s="396"/>
      <c r="AI15" s="396"/>
      <c r="AJ15" s="426"/>
    </row>
    <row r="16" spans="1:36" x14ac:dyDescent="0.2">
      <c r="A16" s="397">
        <v>3</v>
      </c>
      <c r="B16" s="398" t="s">
        <v>1569</v>
      </c>
      <c r="C16" s="398" t="s">
        <v>1570</v>
      </c>
      <c r="D16" s="400">
        <f>SUM(D17:D33)</f>
        <v>537.80999999999995</v>
      </c>
      <c r="E16" s="400">
        <f t="shared" ref="E16:F16" si="2">SUM(E17:E33)</f>
        <v>1231.3599999999999</v>
      </c>
      <c r="F16" s="400">
        <f t="shared" si="2"/>
        <v>17480.759999999998</v>
      </c>
      <c r="G16" s="402"/>
      <c r="H16" s="400">
        <f>SUM(D16:G16)</f>
        <v>19249.93</v>
      </c>
      <c r="I16" s="429"/>
      <c r="J16" s="422"/>
      <c r="K16" s="422"/>
      <c r="L16" s="422"/>
      <c r="M16" s="422"/>
      <c r="N16" s="422"/>
      <c r="O16" s="422"/>
      <c r="P16" s="422"/>
      <c r="Q16" s="422"/>
      <c r="R16" s="422"/>
      <c r="S16" s="422"/>
      <c r="T16" s="422"/>
      <c r="U16" s="422"/>
      <c r="V16" s="422"/>
      <c r="W16" s="422"/>
      <c r="X16" s="422"/>
      <c r="Y16" s="422"/>
      <c r="Z16" s="423"/>
      <c r="AA16" s="423"/>
      <c r="AB16" s="423"/>
      <c r="AC16" s="424"/>
      <c r="AD16" s="422"/>
      <c r="AE16" s="422"/>
      <c r="AF16" s="422"/>
      <c r="AG16" s="425"/>
      <c r="AH16" s="396"/>
      <c r="AI16" s="396"/>
      <c r="AJ16" s="426"/>
    </row>
    <row r="17" spans="1:37" ht="38.25" x14ac:dyDescent="0.2">
      <c r="A17" s="397"/>
      <c r="B17" s="403" t="s">
        <v>1571</v>
      </c>
      <c r="C17" s="403" t="s">
        <v>1572</v>
      </c>
      <c r="D17" s="404">
        <v>137.46</v>
      </c>
      <c r="E17" s="404">
        <v>38.75</v>
      </c>
      <c r="F17" s="405"/>
      <c r="G17" s="405"/>
      <c r="H17" s="404">
        <f t="shared" ref="H17:H54" si="3">SUM(D17:G17)</f>
        <v>176.21</v>
      </c>
      <c r="I17" s="422">
        <f t="shared" ref="I17:I33" si="4">(D17+E17)*7</f>
        <v>1233.47</v>
      </c>
      <c r="J17" s="429">
        <f>F17*3.98</f>
        <v>0</v>
      </c>
      <c r="K17" s="429">
        <f>I17*0.023</f>
        <v>28.37</v>
      </c>
      <c r="L17" s="429">
        <f>(I17+K17)*0.006*1.1</f>
        <v>8.33</v>
      </c>
      <c r="M17" s="429">
        <f>($I$13+$K$13+$L$13)/SUM($I$17:$I$33)*$I17</f>
        <v>56.68</v>
      </c>
      <c r="N17" s="429">
        <f>$N$12/SUM($I$17:$I$33)*$I17</f>
        <v>15.52</v>
      </c>
      <c r="O17" s="429">
        <f>$O$47/SUM($I$17:$I$33)*$I17</f>
        <v>0.26</v>
      </c>
      <c r="P17" s="422"/>
      <c r="Q17" s="422">
        <f>SUM(I17:P17)</f>
        <v>1342.63</v>
      </c>
      <c r="R17" s="429">
        <f>$Q17/$Q$63*$R$54</f>
        <v>47.85</v>
      </c>
      <c r="S17" s="429">
        <f>$Q17/$Q$63*$S$55</f>
        <v>73.61</v>
      </c>
      <c r="T17" s="429">
        <f>$T$56/SUM($I$17:$I$33)*$I17</f>
        <v>169.98</v>
      </c>
      <c r="U17" s="429">
        <f>(R17+T17)/($R$54+$T$56)*$U$57</f>
        <v>34.99</v>
      </c>
      <c r="V17" s="429">
        <f>SUM(R17:U17)</f>
        <v>326.43</v>
      </c>
      <c r="W17" s="429">
        <f>(Q17+V17)/(SUM($Q$17:$Q$33)+SUM($V$17:$V$33))*$W$51</f>
        <v>86.03</v>
      </c>
      <c r="X17" s="429">
        <f>Q17+V17+W17</f>
        <v>1755.09</v>
      </c>
      <c r="Y17" s="429">
        <f>X17*2%</f>
        <v>35.1</v>
      </c>
      <c r="Z17" s="440">
        <f>X17+Y17</f>
        <v>1790.19</v>
      </c>
      <c r="AA17" s="430">
        <f>Z17*20%</f>
        <v>358.04</v>
      </c>
      <c r="AB17" s="430">
        <f>Z17+AA17</f>
        <v>2148.23</v>
      </c>
      <c r="AC17" s="433">
        <f>-K17*0.15*1.2</f>
        <v>-5.1100000000000003</v>
      </c>
      <c r="AD17" s="429">
        <f t="shared" ref="AD17:AD33" si="5">I17+J17+K17+L17+O17+P17+S17+AC17</f>
        <v>1338.93</v>
      </c>
      <c r="AE17" s="429">
        <f t="shared" ref="AE17:AE33" si="6">I17+J17+K17+L17+O17+P17+S17+Y17+AC17</f>
        <v>1374.03</v>
      </c>
      <c r="AF17" s="432">
        <f t="shared" ref="AF17:AG33" si="7">AD17*1000*$F$135</f>
        <v>1381106</v>
      </c>
      <c r="AG17" s="432">
        <f t="shared" si="7"/>
        <v>1417312</v>
      </c>
      <c r="AH17" s="396"/>
      <c r="AI17" s="396"/>
      <c r="AJ17" s="426" t="e">
        <f>AB17/AI17</f>
        <v>#DIV/0!</v>
      </c>
    </row>
    <row r="18" spans="1:37" ht="25.5" x14ac:dyDescent="0.2">
      <c r="A18" s="397"/>
      <c r="B18" s="403" t="s">
        <v>1573</v>
      </c>
      <c r="C18" s="403" t="s">
        <v>1574</v>
      </c>
      <c r="D18" s="404">
        <v>260.83999999999997</v>
      </c>
      <c r="E18" s="405"/>
      <c r="F18" s="405"/>
      <c r="G18" s="405"/>
      <c r="H18" s="404">
        <f t="shared" si="3"/>
        <v>260.83999999999997</v>
      </c>
      <c r="I18" s="422">
        <f t="shared" si="4"/>
        <v>1825.88</v>
      </c>
      <c r="J18" s="429">
        <f t="shared" ref="J18:J33" si="8">F18*3.98</f>
        <v>0</v>
      </c>
      <c r="K18" s="429">
        <f>I18*0.023</f>
        <v>42</v>
      </c>
      <c r="L18" s="429">
        <f>(I18+K18)*0.006*1.1</f>
        <v>12.33</v>
      </c>
      <c r="M18" s="429">
        <f t="shared" ref="M18:M33" si="9">($I$13+$K$13+$L$13)/SUM($I$17:$I$33)*$I18</f>
        <v>83.9</v>
      </c>
      <c r="N18" s="429">
        <f t="shared" ref="N18:N33" si="10">$N$12/SUM($I$17:$I$33)*$I18</f>
        <v>22.98</v>
      </c>
      <c r="O18" s="429">
        <f t="shared" ref="O18:O33" si="11">$O$47/SUM($I$17:$I$33)*$I18</f>
        <v>0.39</v>
      </c>
      <c r="P18" s="422"/>
      <c r="Q18" s="422">
        <f t="shared" ref="Q18:Q33" si="12">SUM(I18:P18)</f>
        <v>1987.48</v>
      </c>
      <c r="R18" s="429">
        <f t="shared" ref="R18:R33" si="13">$Q18/$Q$63*$R$54</f>
        <v>70.83</v>
      </c>
      <c r="S18" s="429">
        <f t="shared" ref="S18:S33" si="14">$Q18/$Q$63*$S$55</f>
        <v>108.96</v>
      </c>
      <c r="T18" s="429">
        <f t="shared" ref="T18:T33" si="15">$T$56/SUM($I$17:$I$33)*$I18</f>
        <v>251.61</v>
      </c>
      <c r="U18" s="429">
        <f t="shared" ref="U18:U33" si="16">(R18+T18)/($R$54+$T$56)*$U$57</f>
        <v>51.8</v>
      </c>
      <c r="V18" s="429">
        <f t="shared" ref="V18:V33" si="17">SUM(R18:U18)</f>
        <v>483.2</v>
      </c>
      <c r="W18" s="429">
        <f t="shared" ref="W18:W33" si="18">(Q18+V18)/(SUM($Q$17:$Q$33)+SUM($V$17:$V$33))*$W$51</f>
        <v>127.35</v>
      </c>
      <c r="X18" s="429">
        <f t="shared" ref="X18:X33" si="19">Q18+V18+W18</f>
        <v>2598.0300000000002</v>
      </c>
      <c r="Y18" s="429">
        <f t="shared" ref="Y18:Y33" si="20">X18*2%</f>
        <v>51.96</v>
      </c>
      <c r="Z18" s="440">
        <f t="shared" ref="Z18:Z33" si="21">X18+Y18</f>
        <v>2649.99</v>
      </c>
      <c r="AA18" s="430">
        <f t="shared" ref="AA18:AA33" si="22">Z18*20%</f>
        <v>530</v>
      </c>
      <c r="AB18" s="430">
        <f t="shared" ref="AB18:AB33" si="23">Z18+AA18</f>
        <v>3179.99</v>
      </c>
      <c r="AC18" s="433">
        <f t="shared" ref="AC18:AC33" si="24">-K18*0.15*1.2</f>
        <v>-7.56</v>
      </c>
      <c r="AD18" s="429">
        <f t="shared" si="5"/>
        <v>1982</v>
      </c>
      <c r="AE18" s="429">
        <f t="shared" si="6"/>
        <v>2033.96</v>
      </c>
      <c r="AF18" s="432">
        <f t="shared" si="7"/>
        <v>2044433</v>
      </c>
      <c r="AG18" s="432">
        <f t="shared" si="7"/>
        <v>2098030</v>
      </c>
      <c r="AH18" s="396"/>
      <c r="AI18" s="396"/>
      <c r="AJ18" s="426" t="e">
        <f t="shared" ref="AJ18:AJ33" si="25">AB18/AI18</f>
        <v>#DIV/0!</v>
      </c>
    </row>
    <row r="19" spans="1:37" ht="25.5" x14ac:dyDescent="0.2">
      <c r="A19" s="397"/>
      <c r="B19" s="403" t="s">
        <v>1575</v>
      </c>
      <c r="C19" s="403" t="s">
        <v>1576</v>
      </c>
      <c r="D19" s="404">
        <v>28.2</v>
      </c>
      <c r="E19" s="404">
        <v>431.89</v>
      </c>
      <c r="F19" s="404">
        <v>2476.2199999999998</v>
      </c>
      <c r="G19" s="405"/>
      <c r="H19" s="404">
        <f t="shared" si="3"/>
        <v>2936.31</v>
      </c>
      <c r="I19" s="422">
        <f>(D19+E19)*7-0.02</f>
        <v>3220.61</v>
      </c>
      <c r="J19" s="429">
        <f t="shared" si="8"/>
        <v>9855.36</v>
      </c>
      <c r="K19" s="429">
        <f>I19*0.023+0.01</f>
        <v>74.08</v>
      </c>
      <c r="L19" s="429">
        <f>(I19+K19)*0.006*1.1-0.08</f>
        <v>21.66</v>
      </c>
      <c r="M19" s="429">
        <f t="shared" si="9"/>
        <v>148</v>
      </c>
      <c r="N19" s="429">
        <f>$N$12/SUM($I$17:$I$33)*$I19+0.01</f>
        <v>40.54</v>
      </c>
      <c r="O19" s="429">
        <f>$O$47/SUM($I$17:$I$33)*$I19+0.01</f>
        <v>0.69</v>
      </c>
      <c r="P19" s="429">
        <f>P43</f>
        <v>96.51</v>
      </c>
      <c r="Q19" s="422">
        <f t="shared" si="12"/>
        <v>13457.45</v>
      </c>
      <c r="R19" s="429">
        <f t="shared" si="13"/>
        <v>479.6</v>
      </c>
      <c r="S19" s="429">
        <f t="shared" si="14"/>
        <v>737.8</v>
      </c>
      <c r="T19" s="429">
        <f t="shared" si="15"/>
        <v>443.81</v>
      </c>
      <c r="U19" s="429">
        <f t="shared" si="16"/>
        <v>148.34</v>
      </c>
      <c r="V19" s="429">
        <f t="shared" si="17"/>
        <v>1809.55</v>
      </c>
      <c r="W19" s="429">
        <f t="shared" si="18"/>
        <v>786.92</v>
      </c>
      <c r="X19" s="429">
        <f t="shared" si="19"/>
        <v>16053.92</v>
      </c>
      <c r="Y19" s="429">
        <f t="shared" si="20"/>
        <v>321.08</v>
      </c>
      <c r="Z19" s="440">
        <f t="shared" si="21"/>
        <v>16375</v>
      </c>
      <c r="AA19" s="430">
        <f t="shared" si="22"/>
        <v>3275</v>
      </c>
      <c r="AB19" s="430">
        <f t="shared" si="23"/>
        <v>19650</v>
      </c>
      <c r="AC19" s="433">
        <f>-K19*0.15*1.2-0.39</f>
        <v>-13.72</v>
      </c>
      <c r="AD19" s="429">
        <f t="shared" si="5"/>
        <v>13992.99</v>
      </c>
      <c r="AE19" s="429">
        <f t="shared" si="6"/>
        <v>14314.07</v>
      </c>
      <c r="AF19" s="432">
        <f t="shared" si="7"/>
        <v>14433770</v>
      </c>
      <c r="AG19" s="432">
        <f t="shared" si="7"/>
        <v>14764964</v>
      </c>
      <c r="AH19" s="396"/>
      <c r="AI19" s="396"/>
      <c r="AJ19" s="426" t="e">
        <f t="shared" si="25"/>
        <v>#DIV/0!</v>
      </c>
    </row>
    <row r="20" spans="1:37" ht="25.5" x14ac:dyDescent="0.2">
      <c r="A20" s="397"/>
      <c r="B20" s="403" t="s">
        <v>1577</v>
      </c>
      <c r="C20" s="403" t="s">
        <v>1578</v>
      </c>
      <c r="D20" s="404">
        <v>1.03</v>
      </c>
      <c r="E20" s="404">
        <v>10.94</v>
      </c>
      <c r="F20" s="404">
        <v>2519.62</v>
      </c>
      <c r="G20" s="405"/>
      <c r="H20" s="404">
        <f t="shared" si="3"/>
        <v>2531.59</v>
      </c>
      <c r="I20" s="422">
        <f t="shared" si="4"/>
        <v>83.79</v>
      </c>
      <c r="J20" s="429">
        <f t="shared" si="8"/>
        <v>10028.09</v>
      </c>
      <c r="K20" s="429">
        <f t="shared" ref="K20:K33" si="26">I20*0.023</f>
        <v>1.93</v>
      </c>
      <c r="L20" s="429">
        <f t="shared" ref="L20:L33" si="27">(I20+K20)*0.006*1.1</f>
        <v>0.56999999999999995</v>
      </c>
      <c r="M20" s="429">
        <f t="shared" si="9"/>
        <v>3.85</v>
      </c>
      <c r="N20" s="429">
        <f t="shared" si="10"/>
        <v>1.05</v>
      </c>
      <c r="O20" s="429">
        <f t="shared" si="11"/>
        <v>0.02</v>
      </c>
      <c r="P20" s="429">
        <f>P44-0.01</f>
        <v>332.23</v>
      </c>
      <c r="Q20" s="422">
        <f t="shared" si="12"/>
        <v>10451.530000000001</v>
      </c>
      <c r="R20" s="429">
        <f t="shared" si="13"/>
        <v>372.47</v>
      </c>
      <c r="S20" s="429">
        <f t="shared" si="14"/>
        <v>573</v>
      </c>
      <c r="T20" s="429">
        <f t="shared" si="15"/>
        <v>11.55</v>
      </c>
      <c r="U20" s="429">
        <f t="shared" si="16"/>
        <v>61.69</v>
      </c>
      <c r="V20" s="429">
        <f t="shared" si="17"/>
        <v>1018.71</v>
      </c>
      <c r="W20" s="429">
        <f t="shared" si="18"/>
        <v>591.22</v>
      </c>
      <c r="X20" s="429">
        <f t="shared" si="19"/>
        <v>12061.46</v>
      </c>
      <c r="Y20" s="429">
        <f t="shared" si="20"/>
        <v>241.23</v>
      </c>
      <c r="Z20" s="440">
        <f>X20+Y20</f>
        <v>12302.69</v>
      </c>
      <c r="AA20" s="430">
        <f t="shared" si="22"/>
        <v>2460.54</v>
      </c>
      <c r="AB20" s="430">
        <f t="shared" si="23"/>
        <v>14763.23</v>
      </c>
      <c r="AC20" s="433">
        <f t="shared" si="24"/>
        <v>-0.35</v>
      </c>
      <c r="AD20" s="429">
        <f t="shared" si="5"/>
        <v>11019.28</v>
      </c>
      <c r="AE20" s="429">
        <f t="shared" si="6"/>
        <v>11260.51</v>
      </c>
      <c r="AF20" s="432">
        <f t="shared" si="7"/>
        <v>11366388</v>
      </c>
      <c r="AG20" s="432">
        <f t="shared" si="7"/>
        <v>11615217</v>
      </c>
      <c r="AH20" s="419" t="s">
        <v>1693</v>
      </c>
      <c r="AI20" s="419">
        <v>7</v>
      </c>
      <c r="AJ20" s="441">
        <f t="shared" si="25"/>
        <v>2109.0300000000002</v>
      </c>
    </row>
    <row r="21" spans="1:37" ht="38.25" x14ac:dyDescent="0.2">
      <c r="A21" s="397"/>
      <c r="B21" s="403" t="s">
        <v>1579</v>
      </c>
      <c r="C21" s="403" t="s">
        <v>1580</v>
      </c>
      <c r="D21" s="405"/>
      <c r="E21" s="404">
        <v>176.01</v>
      </c>
      <c r="F21" s="404">
        <v>444.91</v>
      </c>
      <c r="G21" s="405"/>
      <c r="H21" s="404">
        <f t="shared" si="3"/>
        <v>620.91999999999996</v>
      </c>
      <c r="I21" s="422">
        <f t="shared" si="4"/>
        <v>1232.07</v>
      </c>
      <c r="J21" s="429">
        <f t="shared" si="8"/>
        <v>1770.74</v>
      </c>
      <c r="K21" s="429">
        <f t="shared" si="26"/>
        <v>28.34</v>
      </c>
      <c r="L21" s="429">
        <f t="shared" si="27"/>
        <v>8.32</v>
      </c>
      <c r="M21" s="429">
        <f t="shared" si="9"/>
        <v>56.62</v>
      </c>
      <c r="N21" s="429">
        <f t="shared" si="10"/>
        <v>15.5</v>
      </c>
      <c r="O21" s="429">
        <f t="shared" si="11"/>
        <v>0.26</v>
      </c>
      <c r="P21" s="422"/>
      <c r="Q21" s="422">
        <f t="shared" si="12"/>
        <v>3111.85</v>
      </c>
      <c r="R21" s="429">
        <f t="shared" si="13"/>
        <v>110.9</v>
      </c>
      <c r="S21" s="429">
        <f t="shared" si="14"/>
        <v>170.61</v>
      </c>
      <c r="T21" s="429">
        <f t="shared" si="15"/>
        <v>169.78</v>
      </c>
      <c r="U21" s="429">
        <f t="shared" si="16"/>
        <v>45.09</v>
      </c>
      <c r="V21" s="429">
        <f t="shared" si="17"/>
        <v>496.38</v>
      </c>
      <c r="W21" s="429">
        <f t="shared" si="18"/>
        <v>185.98</v>
      </c>
      <c r="X21" s="429">
        <f t="shared" si="19"/>
        <v>3794.21</v>
      </c>
      <c r="Y21" s="429">
        <f t="shared" si="20"/>
        <v>75.88</v>
      </c>
      <c r="Z21" s="440">
        <f t="shared" si="21"/>
        <v>3870.09</v>
      </c>
      <c r="AA21" s="430">
        <f t="shared" si="22"/>
        <v>774.02</v>
      </c>
      <c r="AB21" s="430">
        <f t="shared" si="23"/>
        <v>4644.1099999999997</v>
      </c>
      <c r="AC21" s="433">
        <f t="shared" si="24"/>
        <v>-5.0999999999999996</v>
      </c>
      <c r="AD21" s="429">
        <f t="shared" si="5"/>
        <v>3205.24</v>
      </c>
      <c r="AE21" s="429">
        <f t="shared" si="6"/>
        <v>3281.12</v>
      </c>
      <c r="AF21" s="432">
        <f t="shared" si="7"/>
        <v>3306205</v>
      </c>
      <c r="AG21" s="432">
        <f t="shared" si="7"/>
        <v>3384475</v>
      </c>
      <c r="AH21" s="407" t="s">
        <v>1694</v>
      </c>
      <c r="AI21" s="442"/>
      <c r="AJ21" s="426" t="e">
        <f t="shared" si="25"/>
        <v>#DIV/0!</v>
      </c>
      <c r="AK21" s="391" t="s">
        <v>1695</v>
      </c>
    </row>
    <row r="22" spans="1:37" ht="25.5" x14ac:dyDescent="0.2">
      <c r="A22" s="397"/>
      <c r="B22" s="403" t="s">
        <v>1581</v>
      </c>
      <c r="C22" s="403" t="s">
        <v>1582</v>
      </c>
      <c r="D22" s="404">
        <v>7.72</v>
      </c>
      <c r="E22" s="404">
        <v>222.73</v>
      </c>
      <c r="F22" s="404">
        <v>1101.04</v>
      </c>
      <c r="G22" s="405"/>
      <c r="H22" s="404">
        <f t="shared" si="3"/>
        <v>1331.49</v>
      </c>
      <c r="I22" s="422">
        <f t="shared" si="4"/>
        <v>1613.15</v>
      </c>
      <c r="J22" s="429">
        <f t="shared" si="8"/>
        <v>4382.1400000000003</v>
      </c>
      <c r="K22" s="429">
        <f t="shared" si="26"/>
        <v>37.1</v>
      </c>
      <c r="L22" s="429">
        <f t="shared" si="27"/>
        <v>10.89</v>
      </c>
      <c r="M22" s="429">
        <f t="shared" si="9"/>
        <v>74.13</v>
      </c>
      <c r="N22" s="429">
        <f t="shared" si="10"/>
        <v>20.3</v>
      </c>
      <c r="O22" s="429">
        <f t="shared" si="11"/>
        <v>0.34</v>
      </c>
      <c r="P22" s="422"/>
      <c r="Q22" s="422">
        <f t="shared" si="12"/>
        <v>6138.05</v>
      </c>
      <c r="R22" s="429">
        <f t="shared" si="13"/>
        <v>218.75</v>
      </c>
      <c r="S22" s="429">
        <f t="shared" si="14"/>
        <v>336.52</v>
      </c>
      <c r="T22" s="429">
        <f t="shared" si="15"/>
        <v>222.3</v>
      </c>
      <c r="U22" s="429">
        <f t="shared" si="16"/>
        <v>70.849999999999994</v>
      </c>
      <c r="V22" s="429">
        <f t="shared" si="17"/>
        <v>848.42</v>
      </c>
      <c r="W22" s="429">
        <f t="shared" si="18"/>
        <v>360.11</v>
      </c>
      <c r="X22" s="429">
        <f t="shared" si="19"/>
        <v>7346.58</v>
      </c>
      <c r="Y22" s="429">
        <f t="shared" si="20"/>
        <v>146.93</v>
      </c>
      <c r="Z22" s="440">
        <f t="shared" si="21"/>
        <v>7493.51</v>
      </c>
      <c r="AA22" s="430">
        <f t="shared" si="22"/>
        <v>1498.7</v>
      </c>
      <c r="AB22" s="430">
        <f t="shared" si="23"/>
        <v>8992.2099999999991</v>
      </c>
      <c r="AC22" s="433">
        <f t="shared" si="24"/>
        <v>-6.68</v>
      </c>
      <c r="AD22" s="429">
        <f t="shared" si="5"/>
        <v>6373.46</v>
      </c>
      <c r="AE22" s="429">
        <f t="shared" si="6"/>
        <v>6520.39</v>
      </c>
      <c r="AF22" s="432">
        <f t="shared" si="7"/>
        <v>6574224</v>
      </c>
      <c r="AG22" s="432">
        <f t="shared" si="7"/>
        <v>6725783</v>
      </c>
      <c r="AH22" s="419" t="s">
        <v>1696</v>
      </c>
      <c r="AI22" s="419">
        <f>12+41+114</f>
        <v>167</v>
      </c>
      <c r="AJ22" s="441">
        <f t="shared" si="25"/>
        <v>53.85</v>
      </c>
    </row>
    <row r="23" spans="1:37" ht="38.25" x14ac:dyDescent="0.2">
      <c r="A23" s="397"/>
      <c r="B23" s="403" t="s">
        <v>1583</v>
      </c>
      <c r="C23" s="403" t="s">
        <v>1584</v>
      </c>
      <c r="D23" s="404">
        <v>0.22</v>
      </c>
      <c r="E23" s="404">
        <v>40.94</v>
      </c>
      <c r="F23" s="404">
        <v>217.58</v>
      </c>
      <c r="G23" s="405"/>
      <c r="H23" s="404">
        <f t="shared" si="3"/>
        <v>258.74</v>
      </c>
      <c r="I23" s="422">
        <f t="shared" si="4"/>
        <v>288.12</v>
      </c>
      <c r="J23" s="429">
        <f t="shared" si="8"/>
        <v>865.97</v>
      </c>
      <c r="K23" s="429">
        <f t="shared" si="26"/>
        <v>6.63</v>
      </c>
      <c r="L23" s="429">
        <f t="shared" si="27"/>
        <v>1.95</v>
      </c>
      <c r="M23" s="429">
        <f t="shared" si="9"/>
        <v>13.24</v>
      </c>
      <c r="N23" s="429">
        <f t="shared" si="10"/>
        <v>3.63</v>
      </c>
      <c r="O23" s="429">
        <f t="shared" si="11"/>
        <v>0.06</v>
      </c>
      <c r="P23" s="422"/>
      <c r="Q23" s="422">
        <f t="shared" si="12"/>
        <v>1179.5999999999999</v>
      </c>
      <c r="R23" s="429">
        <f t="shared" si="13"/>
        <v>42.04</v>
      </c>
      <c r="S23" s="429">
        <f t="shared" si="14"/>
        <v>64.67</v>
      </c>
      <c r="T23" s="429">
        <f t="shared" si="15"/>
        <v>39.700000000000003</v>
      </c>
      <c r="U23" s="429">
        <f t="shared" si="16"/>
        <v>13.13</v>
      </c>
      <c r="V23" s="429">
        <f t="shared" si="17"/>
        <v>159.54</v>
      </c>
      <c r="W23" s="429">
        <f t="shared" si="18"/>
        <v>69.02</v>
      </c>
      <c r="X23" s="429">
        <f t="shared" si="19"/>
        <v>1408.16</v>
      </c>
      <c r="Y23" s="429">
        <f t="shared" si="20"/>
        <v>28.16</v>
      </c>
      <c r="Z23" s="440">
        <f t="shared" si="21"/>
        <v>1436.32</v>
      </c>
      <c r="AA23" s="430">
        <f t="shared" si="22"/>
        <v>287.26</v>
      </c>
      <c r="AB23" s="430">
        <f t="shared" si="23"/>
        <v>1723.58</v>
      </c>
      <c r="AC23" s="433">
        <f t="shared" si="24"/>
        <v>-1.19</v>
      </c>
      <c r="AD23" s="429">
        <f t="shared" si="5"/>
        <v>1226.21</v>
      </c>
      <c r="AE23" s="429">
        <f t="shared" si="6"/>
        <v>1254.3699999999999</v>
      </c>
      <c r="AF23" s="432">
        <f t="shared" si="7"/>
        <v>1264836</v>
      </c>
      <c r="AG23" s="432">
        <f t="shared" si="7"/>
        <v>1293883</v>
      </c>
      <c r="AH23" s="419" t="s">
        <v>1697</v>
      </c>
      <c r="AI23" s="419">
        <v>2</v>
      </c>
      <c r="AJ23" s="441">
        <f t="shared" si="25"/>
        <v>861.79</v>
      </c>
      <c r="AK23" s="391" t="s">
        <v>1698</v>
      </c>
    </row>
    <row r="24" spans="1:37" ht="38.25" x14ac:dyDescent="0.2">
      <c r="A24" s="397"/>
      <c r="B24" s="403" t="s">
        <v>1585</v>
      </c>
      <c r="C24" s="403" t="s">
        <v>1586</v>
      </c>
      <c r="D24" s="404">
        <v>2.06</v>
      </c>
      <c r="E24" s="404">
        <v>74.28</v>
      </c>
      <c r="F24" s="404">
        <v>163.5</v>
      </c>
      <c r="G24" s="405"/>
      <c r="H24" s="404">
        <f t="shared" si="3"/>
        <v>239.84</v>
      </c>
      <c r="I24" s="422">
        <f t="shared" si="4"/>
        <v>534.38</v>
      </c>
      <c r="J24" s="429">
        <f t="shared" si="8"/>
        <v>650.73</v>
      </c>
      <c r="K24" s="429">
        <f t="shared" si="26"/>
        <v>12.29</v>
      </c>
      <c r="L24" s="429">
        <f t="shared" si="27"/>
        <v>3.61</v>
      </c>
      <c r="M24" s="429">
        <f t="shared" si="9"/>
        <v>24.56</v>
      </c>
      <c r="N24" s="429">
        <f t="shared" si="10"/>
        <v>6.72</v>
      </c>
      <c r="O24" s="429">
        <f t="shared" si="11"/>
        <v>0.11</v>
      </c>
      <c r="P24" s="422"/>
      <c r="Q24" s="422">
        <f t="shared" si="12"/>
        <v>1232.4000000000001</v>
      </c>
      <c r="R24" s="429">
        <f t="shared" si="13"/>
        <v>43.92</v>
      </c>
      <c r="S24" s="429">
        <f t="shared" si="14"/>
        <v>67.569999999999993</v>
      </c>
      <c r="T24" s="429">
        <f t="shared" si="15"/>
        <v>73.64</v>
      </c>
      <c r="U24" s="429">
        <f t="shared" si="16"/>
        <v>18.89</v>
      </c>
      <c r="V24" s="429">
        <f t="shared" si="17"/>
        <v>204.02</v>
      </c>
      <c r="W24" s="429">
        <f t="shared" si="18"/>
        <v>74.040000000000006</v>
      </c>
      <c r="X24" s="429">
        <f t="shared" si="19"/>
        <v>1510.46</v>
      </c>
      <c r="Y24" s="429">
        <f t="shared" si="20"/>
        <v>30.21</v>
      </c>
      <c r="Z24" s="440">
        <f t="shared" si="21"/>
        <v>1540.67</v>
      </c>
      <c r="AA24" s="430">
        <f t="shared" si="22"/>
        <v>308.13</v>
      </c>
      <c r="AB24" s="430">
        <f t="shared" si="23"/>
        <v>1848.8</v>
      </c>
      <c r="AC24" s="433">
        <f t="shared" si="24"/>
        <v>-2.21</v>
      </c>
      <c r="AD24" s="429">
        <f t="shared" si="5"/>
        <v>1266.48</v>
      </c>
      <c r="AE24" s="429">
        <f t="shared" si="6"/>
        <v>1296.69</v>
      </c>
      <c r="AF24" s="432">
        <f t="shared" si="7"/>
        <v>1306374</v>
      </c>
      <c r="AG24" s="432">
        <f t="shared" si="7"/>
        <v>1337536</v>
      </c>
      <c r="AH24" s="419" t="s">
        <v>1699</v>
      </c>
      <c r="AI24" s="419">
        <v>50</v>
      </c>
      <c r="AJ24" s="441">
        <f t="shared" si="25"/>
        <v>36.979999999999997</v>
      </c>
      <c r="AK24" s="443" t="s">
        <v>1700</v>
      </c>
    </row>
    <row r="25" spans="1:37" ht="25.5" x14ac:dyDescent="0.2">
      <c r="A25" s="397"/>
      <c r="B25" s="403" t="s">
        <v>1587</v>
      </c>
      <c r="C25" s="403" t="s">
        <v>1588</v>
      </c>
      <c r="D25" s="404">
        <v>4.5599999999999996</v>
      </c>
      <c r="E25" s="404">
        <v>3.62</v>
      </c>
      <c r="F25" s="404">
        <v>214</v>
      </c>
      <c r="G25" s="405"/>
      <c r="H25" s="404">
        <f t="shared" si="3"/>
        <v>222.18</v>
      </c>
      <c r="I25" s="422">
        <f t="shared" si="4"/>
        <v>57.26</v>
      </c>
      <c r="J25" s="429">
        <f t="shared" si="8"/>
        <v>851.72</v>
      </c>
      <c r="K25" s="429">
        <f t="shared" si="26"/>
        <v>1.32</v>
      </c>
      <c r="L25" s="429">
        <f t="shared" si="27"/>
        <v>0.39</v>
      </c>
      <c r="M25" s="429">
        <f t="shared" si="9"/>
        <v>2.63</v>
      </c>
      <c r="N25" s="429">
        <f t="shared" si="10"/>
        <v>0.72</v>
      </c>
      <c r="O25" s="429">
        <f t="shared" si="11"/>
        <v>0.01</v>
      </c>
      <c r="P25" s="422"/>
      <c r="Q25" s="422">
        <f t="shared" si="12"/>
        <v>914.05</v>
      </c>
      <c r="R25" s="429">
        <f t="shared" si="13"/>
        <v>32.57</v>
      </c>
      <c r="S25" s="429">
        <f t="shared" si="14"/>
        <v>50.11</v>
      </c>
      <c r="T25" s="429">
        <f t="shared" si="15"/>
        <v>7.89</v>
      </c>
      <c r="U25" s="429">
        <f t="shared" si="16"/>
        <v>6.5</v>
      </c>
      <c r="V25" s="429">
        <f t="shared" si="17"/>
        <v>97.07</v>
      </c>
      <c r="W25" s="429">
        <f t="shared" si="18"/>
        <v>52.12</v>
      </c>
      <c r="X25" s="429">
        <f t="shared" si="19"/>
        <v>1063.24</v>
      </c>
      <c r="Y25" s="429">
        <f t="shared" si="20"/>
        <v>21.26</v>
      </c>
      <c r="Z25" s="444">
        <f t="shared" si="21"/>
        <v>1084.5</v>
      </c>
      <c r="AA25" s="430">
        <f t="shared" si="22"/>
        <v>216.9</v>
      </c>
      <c r="AB25" s="430">
        <f t="shared" si="23"/>
        <v>1301.4000000000001</v>
      </c>
      <c r="AC25" s="433">
        <f t="shared" si="24"/>
        <v>-0.24</v>
      </c>
      <c r="AD25" s="429">
        <f t="shared" si="5"/>
        <v>960.57</v>
      </c>
      <c r="AE25" s="429">
        <f t="shared" si="6"/>
        <v>981.83</v>
      </c>
      <c r="AF25" s="432">
        <f t="shared" si="7"/>
        <v>990828</v>
      </c>
      <c r="AG25" s="432">
        <f t="shared" si="7"/>
        <v>1012758</v>
      </c>
      <c r="AH25" s="407" t="s">
        <v>1701</v>
      </c>
      <c r="AI25" s="419">
        <f>4+5</f>
        <v>9</v>
      </c>
      <c r="AJ25" s="441">
        <f t="shared" si="25"/>
        <v>144.6</v>
      </c>
    </row>
    <row r="26" spans="1:37" ht="25.5" x14ac:dyDescent="0.2">
      <c r="A26" s="397"/>
      <c r="B26" s="403" t="s">
        <v>1589</v>
      </c>
      <c r="C26" s="403" t="s">
        <v>1590</v>
      </c>
      <c r="D26" s="405"/>
      <c r="E26" s="404">
        <v>0.16</v>
      </c>
      <c r="F26" s="404">
        <v>3.36</v>
      </c>
      <c r="G26" s="405"/>
      <c r="H26" s="404">
        <f t="shared" si="3"/>
        <v>3.52</v>
      </c>
      <c r="I26" s="422">
        <f t="shared" si="4"/>
        <v>1.1200000000000001</v>
      </c>
      <c r="J26" s="429">
        <f t="shared" si="8"/>
        <v>13.37</v>
      </c>
      <c r="K26" s="429">
        <f t="shared" si="26"/>
        <v>0.03</v>
      </c>
      <c r="L26" s="429">
        <f t="shared" si="27"/>
        <v>0.01</v>
      </c>
      <c r="M26" s="429">
        <f t="shared" si="9"/>
        <v>0.05</v>
      </c>
      <c r="N26" s="429">
        <f t="shared" si="10"/>
        <v>0.01</v>
      </c>
      <c r="O26" s="429">
        <f t="shared" si="11"/>
        <v>0</v>
      </c>
      <c r="P26" s="422"/>
      <c r="Q26" s="422">
        <f t="shared" si="12"/>
        <v>14.59</v>
      </c>
      <c r="R26" s="429">
        <f t="shared" si="13"/>
        <v>0.52</v>
      </c>
      <c r="S26" s="429">
        <f t="shared" si="14"/>
        <v>0.8</v>
      </c>
      <c r="T26" s="429">
        <f t="shared" si="15"/>
        <v>0.15</v>
      </c>
      <c r="U26" s="429">
        <f t="shared" si="16"/>
        <v>0.11</v>
      </c>
      <c r="V26" s="429">
        <f t="shared" si="17"/>
        <v>1.58</v>
      </c>
      <c r="W26" s="429">
        <f t="shared" si="18"/>
        <v>0.83</v>
      </c>
      <c r="X26" s="429">
        <f t="shared" si="19"/>
        <v>17</v>
      </c>
      <c r="Y26" s="429">
        <f t="shared" si="20"/>
        <v>0.34</v>
      </c>
      <c r="Z26" s="440">
        <f t="shared" si="21"/>
        <v>17.34</v>
      </c>
      <c r="AA26" s="430">
        <f t="shared" si="22"/>
        <v>3.47</v>
      </c>
      <c r="AB26" s="430">
        <f t="shared" si="23"/>
        <v>20.81</v>
      </c>
      <c r="AC26" s="433">
        <f t="shared" si="24"/>
        <v>-0.01</v>
      </c>
      <c r="AD26" s="429">
        <f t="shared" si="5"/>
        <v>15.32</v>
      </c>
      <c r="AE26" s="429">
        <f t="shared" si="6"/>
        <v>15.66</v>
      </c>
      <c r="AF26" s="432">
        <f t="shared" si="7"/>
        <v>15803</v>
      </c>
      <c r="AG26" s="432">
        <f t="shared" si="7"/>
        <v>16153</v>
      </c>
      <c r="AH26" s="407" t="s">
        <v>1702</v>
      </c>
      <c r="AI26" s="419">
        <v>5</v>
      </c>
      <c r="AJ26" s="441">
        <f t="shared" si="25"/>
        <v>4.16</v>
      </c>
    </row>
    <row r="27" spans="1:37" ht="25.5" x14ac:dyDescent="0.2">
      <c r="A27" s="397"/>
      <c r="B27" s="403" t="s">
        <v>1591</v>
      </c>
      <c r="C27" s="403" t="s">
        <v>1592</v>
      </c>
      <c r="D27" s="404">
        <v>0.61</v>
      </c>
      <c r="E27" s="404">
        <v>3.17</v>
      </c>
      <c r="F27" s="404">
        <v>394.21</v>
      </c>
      <c r="G27" s="405"/>
      <c r="H27" s="404">
        <f t="shared" si="3"/>
        <v>397.99</v>
      </c>
      <c r="I27" s="422">
        <f t="shared" si="4"/>
        <v>26.46</v>
      </c>
      <c r="J27" s="429">
        <f t="shared" si="8"/>
        <v>1568.96</v>
      </c>
      <c r="K27" s="429">
        <f t="shared" si="26"/>
        <v>0.61</v>
      </c>
      <c r="L27" s="429">
        <f t="shared" si="27"/>
        <v>0.18</v>
      </c>
      <c r="M27" s="429">
        <f t="shared" si="9"/>
        <v>1.22</v>
      </c>
      <c r="N27" s="429">
        <f t="shared" si="10"/>
        <v>0.33</v>
      </c>
      <c r="O27" s="429">
        <f t="shared" si="11"/>
        <v>0.01</v>
      </c>
      <c r="P27" s="429">
        <f>P45</f>
        <v>6.67</v>
      </c>
      <c r="Q27" s="422">
        <f t="shared" si="12"/>
        <v>1604.44</v>
      </c>
      <c r="R27" s="429">
        <f t="shared" si="13"/>
        <v>57.18</v>
      </c>
      <c r="S27" s="429">
        <f t="shared" si="14"/>
        <v>87.96</v>
      </c>
      <c r="T27" s="429">
        <f t="shared" si="15"/>
        <v>3.65</v>
      </c>
      <c r="U27" s="429">
        <f t="shared" si="16"/>
        <v>9.77</v>
      </c>
      <c r="V27" s="429">
        <f t="shared" si="17"/>
        <v>158.56</v>
      </c>
      <c r="W27" s="429">
        <f t="shared" si="18"/>
        <v>90.87</v>
      </c>
      <c r="X27" s="429">
        <f t="shared" si="19"/>
        <v>1853.87</v>
      </c>
      <c r="Y27" s="429">
        <f t="shared" si="20"/>
        <v>37.08</v>
      </c>
      <c r="Z27" s="440">
        <f t="shared" si="21"/>
        <v>1890.95</v>
      </c>
      <c r="AA27" s="430">
        <f t="shared" si="22"/>
        <v>378.19</v>
      </c>
      <c r="AB27" s="430">
        <f t="shared" si="23"/>
        <v>2269.14</v>
      </c>
      <c r="AC27" s="433">
        <f t="shared" si="24"/>
        <v>-0.11</v>
      </c>
      <c r="AD27" s="429">
        <f t="shared" si="5"/>
        <v>1690.74</v>
      </c>
      <c r="AE27" s="429">
        <f t="shared" si="6"/>
        <v>1727.82</v>
      </c>
      <c r="AF27" s="432">
        <f t="shared" si="7"/>
        <v>1743998</v>
      </c>
      <c r="AG27" s="432">
        <f t="shared" si="7"/>
        <v>1782246</v>
      </c>
      <c r="AH27" s="407" t="s">
        <v>1703</v>
      </c>
      <c r="AI27" s="419">
        <v>4</v>
      </c>
      <c r="AJ27" s="441">
        <f t="shared" si="25"/>
        <v>567.29</v>
      </c>
      <c r="AK27" s="391" t="s">
        <v>1704</v>
      </c>
    </row>
    <row r="28" spans="1:37" ht="25.5" x14ac:dyDescent="0.2">
      <c r="A28" s="397"/>
      <c r="B28" s="403" t="s">
        <v>1593</v>
      </c>
      <c r="C28" s="403" t="s">
        <v>1594</v>
      </c>
      <c r="D28" s="405"/>
      <c r="E28" s="404">
        <v>62.47</v>
      </c>
      <c r="F28" s="404">
        <v>7460.98</v>
      </c>
      <c r="G28" s="405"/>
      <c r="H28" s="404">
        <f t="shared" si="3"/>
        <v>7523.45</v>
      </c>
      <c r="I28" s="422">
        <f t="shared" si="4"/>
        <v>437.29</v>
      </c>
      <c r="J28" s="429">
        <f t="shared" si="8"/>
        <v>29694.7</v>
      </c>
      <c r="K28" s="429">
        <f t="shared" si="26"/>
        <v>10.06</v>
      </c>
      <c r="L28" s="429">
        <f t="shared" si="27"/>
        <v>2.95</v>
      </c>
      <c r="M28" s="429">
        <f t="shared" si="9"/>
        <v>20.09</v>
      </c>
      <c r="N28" s="429">
        <f t="shared" si="10"/>
        <v>5.5</v>
      </c>
      <c r="O28" s="429">
        <f t="shared" si="11"/>
        <v>0.09</v>
      </c>
      <c r="P28" s="422"/>
      <c r="Q28" s="422">
        <f t="shared" si="12"/>
        <v>30170.68</v>
      </c>
      <c r="R28" s="429">
        <f>$Q28/$Q$63*$R$54-0.01</f>
        <v>1075.21</v>
      </c>
      <c r="S28" s="429">
        <f>$Q28/$Q$63*$S$55+0.01</f>
        <v>1654.11</v>
      </c>
      <c r="T28" s="429">
        <f t="shared" si="15"/>
        <v>60.26</v>
      </c>
      <c r="U28" s="429">
        <f t="shared" si="16"/>
        <v>182.41</v>
      </c>
      <c r="V28" s="429">
        <f t="shared" si="17"/>
        <v>2971.99</v>
      </c>
      <c r="W28" s="429">
        <f t="shared" si="18"/>
        <v>1708.31</v>
      </c>
      <c r="X28" s="429">
        <f t="shared" si="19"/>
        <v>34850.980000000003</v>
      </c>
      <c r="Y28" s="429">
        <f t="shared" si="20"/>
        <v>697.02</v>
      </c>
      <c r="Z28" s="440">
        <f t="shared" si="21"/>
        <v>35548</v>
      </c>
      <c r="AA28" s="430">
        <f t="shared" si="22"/>
        <v>7109.6</v>
      </c>
      <c r="AB28" s="430">
        <f t="shared" si="23"/>
        <v>42657.599999999999</v>
      </c>
      <c r="AC28" s="433">
        <f t="shared" si="24"/>
        <v>-1.81</v>
      </c>
      <c r="AD28" s="429">
        <f t="shared" si="5"/>
        <v>31797.39</v>
      </c>
      <c r="AE28" s="429">
        <f t="shared" si="6"/>
        <v>32494.41</v>
      </c>
      <c r="AF28" s="432">
        <f t="shared" si="7"/>
        <v>32799010</v>
      </c>
      <c r="AG28" s="432">
        <f t="shared" si="7"/>
        <v>33517986</v>
      </c>
      <c r="AH28" s="419" t="s">
        <v>1705</v>
      </c>
      <c r="AI28" s="442">
        <v>88</v>
      </c>
      <c r="AJ28" s="441">
        <f t="shared" si="25"/>
        <v>484.75</v>
      </c>
      <c r="AK28" s="443" t="s">
        <v>1706</v>
      </c>
    </row>
    <row r="29" spans="1:37" ht="25.5" x14ac:dyDescent="0.2">
      <c r="A29" s="397"/>
      <c r="B29" s="403" t="s">
        <v>1595</v>
      </c>
      <c r="C29" s="403" t="s">
        <v>1596</v>
      </c>
      <c r="D29" s="404">
        <v>95.07</v>
      </c>
      <c r="E29" s="404">
        <v>108.23</v>
      </c>
      <c r="F29" s="404">
        <v>1106.98</v>
      </c>
      <c r="G29" s="405"/>
      <c r="H29" s="404">
        <f t="shared" si="3"/>
        <v>1310.28</v>
      </c>
      <c r="I29" s="422">
        <f t="shared" si="4"/>
        <v>1423.1</v>
      </c>
      <c r="J29" s="429">
        <f t="shared" si="8"/>
        <v>4405.78</v>
      </c>
      <c r="K29" s="429">
        <f t="shared" si="26"/>
        <v>32.729999999999997</v>
      </c>
      <c r="L29" s="429">
        <f t="shared" si="27"/>
        <v>9.61</v>
      </c>
      <c r="M29" s="429">
        <f t="shared" si="9"/>
        <v>65.400000000000006</v>
      </c>
      <c r="N29" s="429">
        <f t="shared" si="10"/>
        <v>17.91</v>
      </c>
      <c r="O29" s="429">
        <f t="shared" si="11"/>
        <v>0.3</v>
      </c>
      <c r="P29" s="422"/>
      <c r="Q29" s="422">
        <f t="shared" si="12"/>
        <v>5954.83</v>
      </c>
      <c r="R29" s="429">
        <f t="shared" si="13"/>
        <v>212.22</v>
      </c>
      <c r="S29" s="429">
        <f t="shared" si="14"/>
        <v>326.47000000000003</v>
      </c>
      <c r="T29" s="429">
        <f t="shared" si="15"/>
        <v>196.11</v>
      </c>
      <c r="U29" s="429">
        <f t="shared" si="16"/>
        <v>65.599999999999994</v>
      </c>
      <c r="V29" s="429">
        <f t="shared" si="17"/>
        <v>800.4</v>
      </c>
      <c r="W29" s="429">
        <f t="shared" si="18"/>
        <v>348.19</v>
      </c>
      <c r="X29" s="429">
        <f t="shared" si="19"/>
        <v>7103.42</v>
      </c>
      <c r="Y29" s="429">
        <f t="shared" si="20"/>
        <v>142.07</v>
      </c>
      <c r="Z29" s="440">
        <f t="shared" si="21"/>
        <v>7245.49</v>
      </c>
      <c r="AA29" s="430">
        <f t="shared" si="22"/>
        <v>1449.1</v>
      </c>
      <c r="AB29" s="430">
        <f t="shared" si="23"/>
        <v>8694.59</v>
      </c>
      <c r="AC29" s="433">
        <f t="shared" si="24"/>
        <v>-5.89</v>
      </c>
      <c r="AD29" s="429">
        <f t="shared" si="5"/>
        <v>6192.1</v>
      </c>
      <c r="AE29" s="429">
        <f t="shared" si="6"/>
        <v>6334.17</v>
      </c>
      <c r="AF29" s="432">
        <f t="shared" si="7"/>
        <v>6387152</v>
      </c>
      <c r="AG29" s="432">
        <f t="shared" si="7"/>
        <v>6533697</v>
      </c>
      <c r="AH29" s="419" t="s">
        <v>1707</v>
      </c>
      <c r="AI29" s="419">
        <v>81</v>
      </c>
      <c r="AJ29" s="441">
        <f t="shared" si="25"/>
        <v>107.34</v>
      </c>
    </row>
    <row r="30" spans="1:37" ht="25.5" x14ac:dyDescent="0.2">
      <c r="A30" s="397"/>
      <c r="B30" s="403" t="s">
        <v>1597</v>
      </c>
      <c r="C30" s="403" t="s">
        <v>1598</v>
      </c>
      <c r="D30" s="405"/>
      <c r="E30" s="404">
        <v>51.55</v>
      </c>
      <c r="F30" s="404">
        <v>261.87</v>
      </c>
      <c r="G30" s="405"/>
      <c r="H30" s="404">
        <f t="shared" si="3"/>
        <v>313.42</v>
      </c>
      <c r="I30" s="422">
        <f t="shared" si="4"/>
        <v>360.85</v>
      </c>
      <c r="J30" s="429">
        <f t="shared" si="8"/>
        <v>1042.24</v>
      </c>
      <c r="K30" s="429">
        <f t="shared" si="26"/>
        <v>8.3000000000000007</v>
      </c>
      <c r="L30" s="429">
        <f t="shared" si="27"/>
        <v>2.44</v>
      </c>
      <c r="M30" s="429">
        <f t="shared" si="9"/>
        <v>16.579999999999998</v>
      </c>
      <c r="N30" s="429">
        <f t="shared" si="10"/>
        <v>4.54</v>
      </c>
      <c r="O30" s="429">
        <f t="shared" si="11"/>
        <v>0.08</v>
      </c>
      <c r="P30" s="422"/>
      <c r="Q30" s="422">
        <f t="shared" si="12"/>
        <v>1435.03</v>
      </c>
      <c r="R30" s="429">
        <f t="shared" si="13"/>
        <v>51.14</v>
      </c>
      <c r="S30" s="429">
        <f t="shared" si="14"/>
        <v>78.680000000000007</v>
      </c>
      <c r="T30" s="429">
        <f t="shared" si="15"/>
        <v>49.73</v>
      </c>
      <c r="U30" s="429">
        <f t="shared" si="16"/>
        <v>16.2</v>
      </c>
      <c r="V30" s="429">
        <f t="shared" si="17"/>
        <v>195.75</v>
      </c>
      <c r="W30" s="429">
        <f t="shared" si="18"/>
        <v>84.06</v>
      </c>
      <c r="X30" s="429">
        <f t="shared" si="19"/>
        <v>1714.84</v>
      </c>
      <c r="Y30" s="429">
        <f t="shared" si="20"/>
        <v>34.299999999999997</v>
      </c>
      <c r="Z30" s="440">
        <f t="shared" si="21"/>
        <v>1749.14</v>
      </c>
      <c r="AA30" s="430">
        <f t="shared" si="22"/>
        <v>349.83</v>
      </c>
      <c r="AB30" s="430">
        <f t="shared" si="23"/>
        <v>2098.9699999999998</v>
      </c>
      <c r="AC30" s="433">
        <f t="shared" si="24"/>
        <v>-1.49</v>
      </c>
      <c r="AD30" s="429">
        <f t="shared" si="5"/>
        <v>1491.1</v>
      </c>
      <c r="AE30" s="429">
        <f t="shared" si="6"/>
        <v>1525.4</v>
      </c>
      <c r="AF30" s="432">
        <f t="shared" si="7"/>
        <v>1538070</v>
      </c>
      <c r="AG30" s="432">
        <f t="shared" si="7"/>
        <v>1573450</v>
      </c>
      <c r="AH30" s="419" t="s">
        <v>1708</v>
      </c>
      <c r="AI30" s="419">
        <v>76</v>
      </c>
      <c r="AJ30" s="441">
        <f t="shared" si="25"/>
        <v>27.62</v>
      </c>
    </row>
    <row r="31" spans="1:37" ht="25.5" x14ac:dyDescent="0.2">
      <c r="A31" s="397"/>
      <c r="B31" s="403" t="s">
        <v>1599</v>
      </c>
      <c r="C31" s="403" t="s">
        <v>1600</v>
      </c>
      <c r="D31" s="405"/>
      <c r="E31" s="404">
        <v>2.87</v>
      </c>
      <c r="F31" s="404">
        <v>637.17999999999995</v>
      </c>
      <c r="G31" s="405"/>
      <c r="H31" s="404">
        <f t="shared" si="3"/>
        <v>640.04999999999995</v>
      </c>
      <c r="I31" s="422">
        <f t="shared" si="4"/>
        <v>20.09</v>
      </c>
      <c r="J31" s="429">
        <f t="shared" si="8"/>
        <v>2535.98</v>
      </c>
      <c r="K31" s="429">
        <f t="shared" si="26"/>
        <v>0.46</v>
      </c>
      <c r="L31" s="429">
        <f t="shared" si="27"/>
        <v>0.14000000000000001</v>
      </c>
      <c r="M31" s="429">
        <f t="shared" si="9"/>
        <v>0.92</v>
      </c>
      <c r="N31" s="429">
        <f t="shared" si="10"/>
        <v>0.25</v>
      </c>
      <c r="O31" s="429">
        <f t="shared" si="11"/>
        <v>0</v>
      </c>
      <c r="P31" s="429">
        <f>P46</f>
        <v>25.6</v>
      </c>
      <c r="Q31" s="422">
        <f t="shared" si="12"/>
        <v>2583.44</v>
      </c>
      <c r="R31" s="429">
        <f t="shared" si="13"/>
        <v>92.07</v>
      </c>
      <c r="S31" s="429">
        <f t="shared" si="14"/>
        <v>141.63999999999999</v>
      </c>
      <c r="T31" s="429">
        <f t="shared" si="15"/>
        <v>2.77</v>
      </c>
      <c r="U31" s="429">
        <f t="shared" si="16"/>
        <v>15.24</v>
      </c>
      <c r="V31" s="429">
        <f t="shared" si="17"/>
        <v>251.72</v>
      </c>
      <c r="W31" s="429">
        <f t="shared" si="18"/>
        <v>146.13999999999999</v>
      </c>
      <c r="X31" s="429">
        <f t="shared" si="19"/>
        <v>2981.3</v>
      </c>
      <c r="Y31" s="429">
        <f t="shared" si="20"/>
        <v>59.63</v>
      </c>
      <c r="Z31" s="440">
        <f t="shared" si="21"/>
        <v>3040.93</v>
      </c>
      <c r="AA31" s="430">
        <f t="shared" si="22"/>
        <v>608.19000000000005</v>
      </c>
      <c r="AB31" s="430">
        <f t="shared" si="23"/>
        <v>3649.12</v>
      </c>
      <c r="AC31" s="433">
        <f t="shared" si="24"/>
        <v>-0.08</v>
      </c>
      <c r="AD31" s="429">
        <f t="shared" si="5"/>
        <v>2723.83</v>
      </c>
      <c r="AE31" s="429">
        <f t="shared" si="6"/>
        <v>2783.46</v>
      </c>
      <c r="AF31" s="432">
        <f t="shared" si="7"/>
        <v>2809631</v>
      </c>
      <c r="AG31" s="432">
        <f t="shared" si="7"/>
        <v>2871139</v>
      </c>
      <c r="AH31" s="419" t="s">
        <v>1709</v>
      </c>
      <c r="AI31" s="419">
        <v>2</v>
      </c>
      <c r="AJ31" s="441">
        <f t="shared" si="25"/>
        <v>1824.56</v>
      </c>
    </row>
    <row r="32" spans="1:37" ht="38.25" x14ac:dyDescent="0.2">
      <c r="A32" s="397"/>
      <c r="B32" s="403" t="s">
        <v>1601</v>
      </c>
      <c r="C32" s="403" t="s">
        <v>1602</v>
      </c>
      <c r="D32" s="404">
        <v>0.04</v>
      </c>
      <c r="E32" s="404">
        <v>3.75</v>
      </c>
      <c r="F32" s="404">
        <v>28.66</v>
      </c>
      <c r="G32" s="405"/>
      <c r="H32" s="404">
        <f t="shared" si="3"/>
        <v>32.450000000000003</v>
      </c>
      <c r="I32" s="422">
        <f t="shared" si="4"/>
        <v>26.53</v>
      </c>
      <c r="J32" s="429">
        <f t="shared" si="8"/>
        <v>114.07</v>
      </c>
      <c r="K32" s="429">
        <f t="shared" si="26"/>
        <v>0.61</v>
      </c>
      <c r="L32" s="429">
        <f t="shared" si="27"/>
        <v>0.18</v>
      </c>
      <c r="M32" s="429">
        <f t="shared" si="9"/>
        <v>1.22</v>
      </c>
      <c r="N32" s="429">
        <f t="shared" si="10"/>
        <v>0.33</v>
      </c>
      <c r="O32" s="429">
        <f t="shared" si="11"/>
        <v>0.01</v>
      </c>
      <c r="P32" s="422"/>
      <c r="Q32" s="422">
        <f t="shared" si="12"/>
        <v>142.94999999999999</v>
      </c>
      <c r="R32" s="429">
        <f t="shared" si="13"/>
        <v>5.09</v>
      </c>
      <c r="S32" s="429">
        <f t="shared" si="14"/>
        <v>7.84</v>
      </c>
      <c r="T32" s="429">
        <f t="shared" si="15"/>
        <v>3.66</v>
      </c>
      <c r="U32" s="429">
        <f t="shared" si="16"/>
        <v>1.41</v>
      </c>
      <c r="V32" s="429">
        <f t="shared" si="17"/>
        <v>18</v>
      </c>
      <c r="W32" s="429">
        <f t="shared" si="18"/>
        <v>8.3000000000000007</v>
      </c>
      <c r="X32" s="429">
        <f t="shared" si="19"/>
        <v>169.25</v>
      </c>
      <c r="Y32" s="429">
        <f t="shared" si="20"/>
        <v>3.39</v>
      </c>
      <c r="Z32" s="440">
        <f t="shared" si="21"/>
        <v>172.64</v>
      </c>
      <c r="AA32" s="430">
        <f t="shared" si="22"/>
        <v>34.53</v>
      </c>
      <c r="AB32" s="430">
        <f t="shared" si="23"/>
        <v>207.17</v>
      </c>
      <c r="AC32" s="433">
        <f t="shared" si="24"/>
        <v>-0.11</v>
      </c>
      <c r="AD32" s="429">
        <f t="shared" si="5"/>
        <v>149.13</v>
      </c>
      <c r="AE32" s="429">
        <f t="shared" si="6"/>
        <v>152.52000000000001</v>
      </c>
      <c r="AF32" s="432">
        <f t="shared" si="7"/>
        <v>153828</v>
      </c>
      <c r="AG32" s="432">
        <f t="shared" si="7"/>
        <v>157324</v>
      </c>
      <c r="AH32" s="396"/>
      <c r="AI32" s="396"/>
      <c r="AJ32" s="426" t="e">
        <f t="shared" si="25"/>
        <v>#DIV/0!</v>
      </c>
    </row>
    <row r="33" spans="1:36" ht="25.5" x14ac:dyDescent="0.2">
      <c r="A33" s="397"/>
      <c r="B33" s="403" t="s">
        <v>1603</v>
      </c>
      <c r="C33" s="403" t="s">
        <v>1604</v>
      </c>
      <c r="D33" s="405"/>
      <c r="E33" s="405"/>
      <c r="F33" s="404">
        <v>450.65</v>
      </c>
      <c r="G33" s="405"/>
      <c r="H33" s="404">
        <f t="shared" si="3"/>
        <v>450.65</v>
      </c>
      <c r="I33" s="422">
        <f t="shared" si="4"/>
        <v>0</v>
      </c>
      <c r="J33" s="429">
        <f t="shared" si="8"/>
        <v>1793.59</v>
      </c>
      <c r="K33" s="429">
        <f t="shared" si="26"/>
        <v>0</v>
      </c>
      <c r="L33" s="429">
        <f t="shared" si="27"/>
        <v>0</v>
      </c>
      <c r="M33" s="429">
        <f t="shared" si="9"/>
        <v>0</v>
      </c>
      <c r="N33" s="429">
        <f t="shared" si="10"/>
        <v>0</v>
      </c>
      <c r="O33" s="429">
        <f t="shared" si="11"/>
        <v>0</v>
      </c>
      <c r="P33" s="422"/>
      <c r="Q33" s="422">
        <f t="shared" si="12"/>
        <v>1793.59</v>
      </c>
      <c r="R33" s="429">
        <f t="shared" si="13"/>
        <v>63.92</v>
      </c>
      <c r="S33" s="429">
        <f t="shared" si="14"/>
        <v>98.33</v>
      </c>
      <c r="T33" s="429">
        <f t="shared" si="15"/>
        <v>0</v>
      </c>
      <c r="U33" s="429">
        <f t="shared" si="16"/>
        <v>10.27</v>
      </c>
      <c r="V33" s="429">
        <f t="shared" si="17"/>
        <v>172.52</v>
      </c>
      <c r="W33" s="429">
        <f t="shared" si="18"/>
        <v>101.34</v>
      </c>
      <c r="X33" s="429">
        <f t="shared" si="19"/>
        <v>2067.4499999999998</v>
      </c>
      <c r="Y33" s="429">
        <f t="shared" si="20"/>
        <v>41.35</v>
      </c>
      <c r="Z33" s="440">
        <f t="shared" si="21"/>
        <v>2108.8000000000002</v>
      </c>
      <c r="AA33" s="430">
        <f t="shared" si="22"/>
        <v>421.76</v>
      </c>
      <c r="AB33" s="430">
        <f t="shared" si="23"/>
        <v>2530.56</v>
      </c>
      <c r="AC33" s="433">
        <f t="shared" si="24"/>
        <v>0</v>
      </c>
      <c r="AD33" s="429">
        <f t="shared" si="5"/>
        <v>1891.92</v>
      </c>
      <c r="AE33" s="429">
        <f t="shared" si="6"/>
        <v>1933.27</v>
      </c>
      <c r="AF33" s="432">
        <f t="shared" si="7"/>
        <v>1951516</v>
      </c>
      <c r="AG33" s="432">
        <f t="shared" si="7"/>
        <v>1994168</v>
      </c>
      <c r="AH33" s="396"/>
      <c r="AI33" s="396"/>
      <c r="AJ33" s="426" t="e">
        <f t="shared" si="25"/>
        <v>#DIV/0!</v>
      </c>
    </row>
    <row r="34" spans="1:36" ht="27.95" hidden="1" customHeight="1" x14ac:dyDescent="0.2">
      <c r="A34" s="435"/>
      <c r="B34" s="436" t="s">
        <v>1605</v>
      </c>
      <c r="C34" s="437"/>
      <c r="D34" s="439">
        <f>SUM(D17:D33)</f>
        <v>537.80999999999995</v>
      </c>
      <c r="E34" s="439">
        <f t="shared" ref="E34:G34" si="28">SUM(E17:E33)</f>
        <v>1231.3599999999999</v>
      </c>
      <c r="F34" s="439">
        <f t="shared" si="28"/>
        <v>17480.759999999998</v>
      </c>
      <c r="G34" s="439">
        <f t="shared" si="28"/>
        <v>0</v>
      </c>
      <c r="H34" s="439">
        <f t="shared" si="3"/>
        <v>19249.93</v>
      </c>
      <c r="I34" s="422"/>
      <c r="J34" s="445"/>
      <c r="K34" s="445"/>
      <c r="L34" s="445"/>
      <c r="M34" s="445"/>
      <c r="N34" s="445"/>
      <c r="O34" s="445"/>
      <c r="P34" s="445"/>
      <c r="Q34" s="422"/>
      <c r="R34" s="445"/>
      <c r="S34" s="445"/>
      <c r="T34" s="445"/>
      <c r="U34" s="445"/>
      <c r="V34" s="445"/>
      <c r="W34" s="445"/>
      <c r="X34" s="445"/>
      <c r="Y34" s="445"/>
      <c r="Z34" s="445"/>
      <c r="AA34" s="445"/>
      <c r="AB34" s="445"/>
      <c r="AC34" s="446"/>
      <c r="AD34" s="446"/>
      <c r="AE34" s="446"/>
      <c r="AF34" s="446"/>
      <c r="AG34" s="425"/>
      <c r="AH34" s="396"/>
      <c r="AI34" s="396"/>
      <c r="AJ34" s="426"/>
    </row>
    <row r="35" spans="1:36" ht="12.75" hidden="1" customHeight="1" x14ac:dyDescent="0.2">
      <c r="A35" s="435"/>
      <c r="B35" s="447" t="s">
        <v>1606</v>
      </c>
      <c r="C35" s="448"/>
      <c r="D35" s="439">
        <f>D14+D34</f>
        <v>616.76</v>
      </c>
      <c r="E35" s="439">
        <f t="shared" ref="E35:G35" si="29">E14+E34</f>
        <v>1231.3599999999999</v>
      </c>
      <c r="F35" s="439">
        <f t="shared" si="29"/>
        <v>17480.759999999998</v>
      </c>
      <c r="G35" s="439">
        <f t="shared" si="29"/>
        <v>29.1</v>
      </c>
      <c r="H35" s="439">
        <f t="shared" si="3"/>
        <v>19357.98</v>
      </c>
      <c r="I35" s="429"/>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5"/>
      <c r="AH35" s="396"/>
      <c r="AI35" s="396"/>
      <c r="AJ35" s="426"/>
    </row>
    <row r="36" spans="1:36" ht="12.75" hidden="1" customHeight="1" x14ac:dyDescent="0.2">
      <c r="A36" s="427" t="s">
        <v>1607</v>
      </c>
      <c r="B36" s="428"/>
      <c r="C36" s="428"/>
      <c r="D36" s="428"/>
      <c r="E36" s="428"/>
      <c r="F36" s="428"/>
      <c r="G36" s="428"/>
      <c r="H36" s="428"/>
      <c r="I36" s="422"/>
      <c r="J36" s="422"/>
      <c r="K36" s="422"/>
      <c r="L36" s="422"/>
      <c r="M36" s="422"/>
      <c r="N36" s="422"/>
      <c r="O36" s="422"/>
      <c r="P36" s="422"/>
      <c r="Q36" s="422"/>
      <c r="R36" s="422"/>
      <c r="S36" s="422"/>
      <c r="T36" s="422"/>
      <c r="U36" s="422"/>
      <c r="V36" s="422"/>
      <c r="W36" s="422"/>
      <c r="X36" s="422"/>
      <c r="Y36" s="422"/>
      <c r="Z36" s="422"/>
      <c r="AA36" s="422"/>
      <c r="AB36" s="422"/>
      <c r="AC36" s="422"/>
      <c r="AD36" s="422"/>
      <c r="AE36" s="422"/>
      <c r="AF36" s="422"/>
      <c r="AG36" s="425"/>
      <c r="AH36" s="396"/>
      <c r="AI36" s="396"/>
      <c r="AJ36" s="426"/>
    </row>
    <row r="37" spans="1:36" ht="25.5" hidden="1" customHeight="1" x14ac:dyDescent="0.2">
      <c r="A37" s="397">
        <v>4</v>
      </c>
      <c r="B37" s="398" t="s">
        <v>1608</v>
      </c>
      <c r="C37" s="398" t="s">
        <v>1609</v>
      </c>
      <c r="D37" s="400">
        <f>D35*2.3%</f>
        <v>14.19</v>
      </c>
      <c r="E37" s="400">
        <f>E35*2.3%</f>
        <v>28.32</v>
      </c>
      <c r="F37" s="402"/>
      <c r="G37" s="402"/>
      <c r="H37" s="400">
        <f t="shared" si="3"/>
        <v>42.51</v>
      </c>
      <c r="I37" s="422"/>
      <c r="J37" s="422"/>
      <c r="K37" s="422"/>
      <c r="L37" s="422"/>
      <c r="M37" s="422"/>
      <c r="N37" s="422"/>
      <c r="O37" s="422"/>
      <c r="P37" s="422"/>
      <c r="Q37" s="422"/>
      <c r="R37" s="422"/>
      <c r="S37" s="422"/>
      <c r="T37" s="422"/>
      <c r="U37" s="422"/>
      <c r="V37" s="422"/>
      <c r="W37" s="422"/>
      <c r="X37" s="422"/>
      <c r="Y37" s="422"/>
      <c r="Z37" s="422"/>
      <c r="AA37" s="422"/>
      <c r="AB37" s="422"/>
      <c r="AC37" s="422"/>
      <c r="AD37" s="422"/>
      <c r="AE37" s="422"/>
      <c r="AF37" s="422"/>
      <c r="AG37" s="425"/>
      <c r="AH37" s="396"/>
      <c r="AI37" s="396"/>
      <c r="AJ37" s="426"/>
    </row>
    <row r="38" spans="1:36" ht="12.75" hidden="1" customHeight="1" x14ac:dyDescent="0.2">
      <c r="A38" s="435"/>
      <c r="B38" s="436" t="s">
        <v>1610</v>
      </c>
      <c r="C38" s="437"/>
      <c r="D38" s="439">
        <v>14.19</v>
      </c>
      <c r="E38" s="439">
        <v>28.32</v>
      </c>
      <c r="F38" s="449"/>
      <c r="G38" s="449"/>
      <c r="H38" s="439">
        <f t="shared" si="3"/>
        <v>42.51</v>
      </c>
      <c r="I38" s="422"/>
      <c r="J38" s="422"/>
      <c r="K38" s="422"/>
      <c r="L38" s="422"/>
      <c r="M38" s="422"/>
      <c r="N38" s="422"/>
      <c r="O38" s="422"/>
      <c r="P38" s="422"/>
      <c r="Q38" s="422"/>
      <c r="R38" s="422"/>
      <c r="S38" s="422"/>
      <c r="T38" s="422"/>
      <c r="U38" s="422"/>
      <c r="V38" s="422"/>
      <c r="W38" s="422"/>
      <c r="X38" s="422"/>
      <c r="Y38" s="422"/>
      <c r="Z38" s="422"/>
      <c r="AA38" s="422"/>
      <c r="AB38" s="422"/>
      <c r="AC38" s="422"/>
      <c r="AD38" s="422"/>
      <c r="AE38" s="422"/>
      <c r="AF38" s="422"/>
      <c r="AG38" s="425"/>
      <c r="AH38" s="396"/>
      <c r="AI38" s="396"/>
      <c r="AJ38" s="426"/>
    </row>
    <row r="39" spans="1:36" ht="12.75" hidden="1" customHeight="1" x14ac:dyDescent="0.2">
      <c r="A39" s="435"/>
      <c r="B39" s="436" t="s">
        <v>1611</v>
      </c>
      <c r="C39" s="437"/>
      <c r="D39" s="439">
        <f>D35+D38</f>
        <v>630.95000000000005</v>
      </c>
      <c r="E39" s="439">
        <f t="shared" ref="E39:G39" si="30">E35+E38</f>
        <v>1259.68</v>
      </c>
      <c r="F39" s="439">
        <f t="shared" si="30"/>
        <v>17480.759999999998</v>
      </c>
      <c r="G39" s="439">
        <f t="shared" si="30"/>
        <v>29.1</v>
      </c>
      <c r="H39" s="439">
        <f t="shared" si="3"/>
        <v>19400.490000000002</v>
      </c>
      <c r="I39" s="429"/>
      <c r="J39" s="422"/>
      <c r="K39" s="422"/>
      <c r="L39" s="422"/>
      <c r="M39" s="422"/>
      <c r="N39" s="422"/>
      <c r="O39" s="422"/>
      <c r="P39" s="422"/>
      <c r="Q39" s="422"/>
      <c r="R39" s="422"/>
      <c r="S39" s="422"/>
      <c r="T39" s="422"/>
      <c r="U39" s="422"/>
      <c r="V39" s="422"/>
      <c r="W39" s="422"/>
      <c r="X39" s="422"/>
      <c r="Y39" s="422"/>
      <c r="Z39" s="422"/>
      <c r="AA39" s="422"/>
      <c r="AB39" s="422"/>
      <c r="AC39" s="422"/>
      <c r="AD39" s="422"/>
      <c r="AE39" s="422"/>
      <c r="AF39" s="422"/>
      <c r="AG39" s="425"/>
      <c r="AH39" s="396"/>
      <c r="AI39" s="396"/>
      <c r="AJ39" s="426"/>
    </row>
    <row r="40" spans="1:36" ht="12.75" hidden="1" customHeight="1" x14ac:dyDescent="0.2">
      <c r="A40" s="427" t="s">
        <v>1612</v>
      </c>
      <c r="B40" s="428"/>
      <c r="C40" s="428"/>
      <c r="D40" s="428"/>
      <c r="E40" s="428"/>
      <c r="F40" s="428"/>
      <c r="G40" s="428"/>
      <c r="H40" s="428"/>
      <c r="I40" s="422"/>
      <c r="J40" s="422"/>
      <c r="K40" s="422"/>
      <c r="L40" s="422"/>
      <c r="M40" s="422"/>
      <c r="N40" s="422"/>
      <c r="O40" s="422"/>
      <c r="P40" s="422"/>
      <c r="Q40" s="422"/>
      <c r="R40" s="422"/>
      <c r="S40" s="422"/>
      <c r="T40" s="422"/>
      <c r="U40" s="422"/>
      <c r="V40" s="422"/>
      <c r="W40" s="422"/>
      <c r="X40" s="422"/>
      <c r="Y40" s="422"/>
      <c r="Z40" s="422"/>
      <c r="AA40" s="422"/>
      <c r="AB40" s="422"/>
      <c r="AC40" s="422"/>
      <c r="AD40" s="422"/>
      <c r="AE40" s="422"/>
      <c r="AF40" s="422"/>
      <c r="AG40" s="425"/>
      <c r="AH40" s="396"/>
      <c r="AI40" s="396"/>
      <c r="AJ40" s="426"/>
    </row>
    <row r="41" spans="1:36" ht="38.25" hidden="1" customHeight="1" x14ac:dyDescent="0.2">
      <c r="A41" s="397">
        <v>5</v>
      </c>
      <c r="B41" s="398" t="s">
        <v>1613</v>
      </c>
      <c r="C41" s="398" t="s">
        <v>1614</v>
      </c>
      <c r="D41" s="400">
        <f>D39*0.66%</f>
        <v>4.16</v>
      </c>
      <c r="E41" s="400">
        <f>E39*0.66%</f>
        <v>8.31</v>
      </c>
      <c r="F41" s="402"/>
      <c r="G41" s="402"/>
      <c r="H41" s="400">
        <f t="shared" si="3"/>
        <v>12.47</v>
      </c>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2"/>
      <c r="AF41" s="422"/>
      <c r="AG41" s="425"/>
      <c r="AH41" s="396"/>
      <c r="AI41" s="396"/>
      <c r="AJ41" s="426"/>
    </row>
    <row r="42" spans="1:36" ht="12.75" hidden="1" customHeight="1" x14ac:dyDescent="0.2">
      <c r="A42" s="397">
        <v>6</v>
      </c>
      <c r="B42" s="398" t="s">
        <v>1615</v>
      </c>
      <c r="C42" s="398" t="s">
        <v>1616</v>
      </c>
      <c r="D42" s="402"/>
      <c r="E42" s="402"/>
      <c r="F42" s="402"/>
      <c r="G42" s="400">
        <f>SUM(G43:G46)</f>
        <v>30.43</v>
      </c>
      <c r="H42" s="400">
        <f t="shared" si="3"/>
        <v>30.43</v>
      </c>
      <c r="I42" s="429"/>
      <c r="J42" s="422"/>
      <c r="K42" s="422"/>
      <c r="L42" s="422"/>
      <c r="M42" s="422"/>
      <c r="N42" s="422"/>
      <c r="O42" s="422"/>
      <c r="P42" s="422"/>
      <c r="Q42" s="422"/>
      <c r="R42" s="422"/>
      <c r="S42" s="422"/>
      <c r="T42" s="422"/>
      <c r="U42" s="422"/>
      <c r="V42" s="422"/>
      <c r="W42" s="422"/>
      <c r="X42" s="422"/>
      <c r="Y42" s="422"/>
      <c r="Z42" s="422"/>
      <c r="AA42" s="422"/>
      <c r="AB42" s="422"/>
      <c r="AC42" s="422"/>
      <c r="AD42" s="422"/>
      <c r="AE42" s="422"/>
      <c r="AF42" s="422"/>
      <c r="AG42" s="425"/>
      <c r="AH42" s="396"/>
      <c r="AI42" s="396"/>
      <c r="AJ42" s="426"/>
    </row>
    <row r="43" spans="1:36" ht="25.5" hidden="1" customHeight="1" x14ac:dyDescent="0.2">
      <c r="A43" s="397"/>
      <c r="B43" s="403" t="s">
        <v>1617</v>
      </c>
      <c r="C43" s="403" t="s">
        <v>1618</v>
      </c>
      <c r="D43" s="405"/>
      <c r="E43" s="405"/>
      <c r="F43" s="405"/>
      <c r="G43" s="406">
        <f>7.96*0.8</f>
        <v>6.37</v>
      </c>
      <c r="H43" s="400">
        <f t="shared" si="3"/>
        <v>6.37</v>
      </c>
      <c r="I43" s="422"/>
      <c r="J43" s="422"/>
      <c r="K43" s="422"/>
      <c r="L43" s="422"/>
      <c r="M43" s="422"/>
      <c r="N43" s="422"/>
      <c r="O43" s="422"/>
      <c r="P43" s="429">
        <f>H43*15.15</f>
        <v>96.51</v>
      </c>
      <c r="Q43" s="422"/>
      <c r="R43" s="429"/>
      <c r="S43" s="422"/>
      <c r="T43" s="422"/>
      <c r="U43" s="422"/>
      <c r="V43" s="422"/>
      <c r="W43" s="429"/>
      <c r="X43" s="429"/>
      <c r="Y43" s="429">
        <f>P43*0.02</f>
        <v>1.93</v>
      </c>
      <c r="Z43" s="429"/>
      <c r="AA43" s="429"/>
      <c r="AB43" s="429"/>
      <c r="AC43" s="422"/>
      <c r="AD43" s="429">
        <f>I43+J43+K43+L43+O43+P43+S43+AC43</f>
        <v>96.51</v>
      </c>
      <c r="AE43" s="429">
        <f>I43+J43+K43+L43+O43+P43+S43+Y43+AC43</f>
        <v>98.44</v>
      </c>
      <c r="AF43" s="432">
        <f t="shared" ref="AF43:AG46" si="31">AD43*1000*$F$135</f>
        <v>99550</v>
      </c>
      <c r="AG43" s="432">
        <f t="shared" si="31"/>
        <v>101541</v>
      </c>
      <c r="AH43" s="396"/>
      <c r="AI43" s="396"/>
      <c r="AJ43" s="426"/>
    </row>
    <row r="44" spans="1:36" ht="25.5" hidden="1" customHeight="1" x14ac:dyDescent="0.2">
      <c r="A44" s="397"/>
      <c r="B44" s="403" t="s">
        <v>1619</v>
      </c>
      <c r="C44" s="403" t="s">
        <v>1620</v>
      </c>
      <c r="D44" s="405"/>
      <c r="E44" s="405"/>
      <c r="F44" s="405"/>
      <c r="G44" s="406">
        <f>27.42*0.8-0.01</f>
        <v>21.93</v>
      </c>
      <c r="H44" s="400">
        <f t="shared" si="3"/>
        <v>21.93</v>
      </c>
      <c r="I44" s="422"/>
      <c r="J44" s="422"/>
      <c r="K44" s="422"/>
      <c r="L44" s="422"/>
      <c r="M44" s="422"/>
      <c r="N44" s="422"/>
      <c r="O44" s="422"/>
      <c r="P44" s="429">
        <f>H44*15.15</f>
        <v>332.24</v>
      </c>
      <c r="Q44" s="422"/>
      <c r="R44" s="429"/>
      <c r="S44" s="422"/>
      <c r="T44" s="422"/>
      <c r="U44" s="422"/>
      <c r="V44" s="422"/>
      <c r="W44" s="429"/>
      <c r="X44" s="429"/>
      <c r="Y44" s="429">
        <f>P44*0.02</f>
        <v>6.64</v>
      </c>
      <c r="Z44" s="429"/>
      <c r="AA44" s="429"/>
      <c r="AB44" s="429"/>
      <c r="AC44" s="422"/>
      <c r="AD44" s="429">
        <f>I44+J44+K44+L44+O44+P44+S44+AC44</f>
        <v>332.24</v>
      </c>
      <c r="AE44" s="429">
        <f>I44+J44+K44+L44+O44+P44+S44+Y44+AC44</f>
        <v>338.88</v>
      </c>
      <c r="AF44" s="432">
        <f t="shared" si="31"/>
        <v>342706</v>
      </c>
      <c r="AG44" s="432">
        <f t="shared" si="31"/>
        <v>349555</v>
      </c>
      <c r="AH44" s="396"/>
      <c r="AI44" s="396"/>
      <c r="AJ44" s="426"/>
    </row>
    <row r="45" spans="1:36" ht="25.5" hidden="1" customHeight="1" x14ac:dyDescent="0.2">
      <c r="A45" s="397"/>
      <c r="B45" s="403" t="s">
        <v>1621</v>
      </c>
      <c r="C45" s="403" t="s">
        <v>1622</v>
      </c>
      <c r="D45" s="405"/>
      <c r="E45" s="405"/>
      <c r="F45" s="405"/>
      <c r="G45" s="404">
        <f>0.55*0.8</f>
        <v>0.44</v>
      </c>
      <c r="H45" s="400">
        <f t="shared" si="3"/>
        <v>0.44</v>
      </c>
      <c r="I45" s="422"/>
      <c r="J45" s="422"/>
      <c r="K45" s="422"/>
      <c r="L45" s="422"/>
      <c r="M45" s="422"/>
      <c r="N45" s="422"/>
      <c r="O45" s="422"/>
      <c r="P45" s="429">
        <f>H45*15.15</f>
        <v>6.67</v>
      </c>
      <c r="Q45" s="422"/>
      <c r="R45" s="429"/>
      <c r="S45" s="422"/>
      <c r="T45" s="422"/>
      <c r="U45" s="422"/>
      <c r="V45" s="422"/>
      <c r="W45" s="429"/>
      <c r="X45" s="429"/>
      <c r="Y45" s="429">
        <f>P45*0.02</f>
        <v>0.13</v>
      </c>
      <c r="Z45" s="429"/>
      <c r="AA45" s="429"/>
      <c r="AB45" s="429"/>
      <c r="AC45" s="422"/>
      <c r="AD45" s="429">
        <f>I45+J45+K45+L45+O45+P45+S45+AC45</f>
        <v>6.67</v>
      </c>
      <c r="AE45" s="429">
        <f>I45+J45+K45+L45+O45+P45+S45+Y45+AC45</f>
        <v>6.8</v>
      </c>
      <c r="AF45" s="432">
        <f t="shared" si="31"/>
        <v>6880</v>
      </c>
      <c r="AG45" s="432">
        <f t="shared" si="31"/>
        <v>7014</v>
      </c>
      <c r="AH45" s="396"/>
      <c r="AI45" s="396"/>
      <c r="AJ45" s="426"/>
    </row>
    <row r="46" spans="1:36" ht="25.5" hidden="1" customHeight="1" x14ac:dyDescent="0.2">
      <c r="A46" s="397"/>
      <c r="B46" s="403" t="s">
        <v>1623</v>
      </c>
      <c r="C46" s="403" t="s">
        <v>1624</v>
      </c>
      <c r="D46" s="405"/>
      <c r="E46" s="405"/>
      <c r="F46" s="405"/>
      <c r="G46" s="406">
        <f>2.11*0.8</f>
        <v>1.69</v>
      </c>
      <c r="H46" s="400">
        <f t="shared" si="3"/>
        <v>1.69</v>
      </c>
      <c r="I46" s="422"/>
      <c r="J46" s="422"/>
      <c r="K46" s="422"/>
      <c r="L46" s="422"/>
      <c r="M46" s="422"/>
      <c r="N46" s="422"/>
      <c r="O46" s="422"/>
      <c r="P46" s="429">
        <f>H46*15.15</f>
        <v>25.6</v>
      </c>
      <c r="Q46" s="422"/>
      <c r="R46" s="429"/>
      <c r="S46" s="422"/>
      <c r="T46" s="422"/>
      <c r="U46" s="422"/>
      <c r="V46" s="422"/>
      <c r="W46" s="429"/>
      <c r="X46" s="429"/>
      <c r="Y46" s="429">
        <f>P46*0.02</f>
        <v>0.51</v>
      </c>
      <c r="Z46" s="429"/>
      <c r="AA46" s="429"/>
      <c r="AB46" s="429"/>
      <c r="AC46" s="422"/>
      <c r="AD46" s="429">
        <f>I46+J46+K46+L46+O46+P46+S46+AC46</f>
        <v>25.6</v>
      </c>
      <c r="AE46" s="429">
        <f>I46+J46+K46+L46+O46+P46+S46+Y46+AC46</f>
        <v>26.11</v>
      </c>
      <c r="AF46" s="432">
        <f t="shared" si="31"/>
        <v>26406</v>
      </c>
      <c r="AG46" s="432">
        <f t="shared" si="31"/>
        <v>26932</v>
      </c>
      <c r="AH46" s="396"/>
      <c r="AI46" s="396"/>
      <c r="AJ46" s="426"/>
    </row>
    <row r="47" spans="1:36" ht="12.75" hidden="1" customHeight="1" x14ac:dyDescent="0.2">
      <c r="A47" s="397">
        <v>7</v>
      </c>
      <c r="B47" s="398" t="s">
        <v>1625</v>
      </c>
      <c r="C47" s="398" t="s">
        <v>1626</v>
      </c>
      <c r="D47" s="402"/>
      <c r="E47" s="402"/>
      <c r="F47" s="402"/>
      <c r="G47" s="400">
        <v>0.25</v>
      </c>
      <c r="H47" s="400">
        <f t="shared" si="3"/>
        <v>0.25</v>
      </c>
      <c r="I47" s="422"/>
      <c r="J47" s="422"/>
      <c r="K47" s="422"/>
      <c r="L47" s="422"/>
      <c r="M47" s="422"/>
      <c r="N47" s="422"/>
      <c r="O47" s="429">
        <f>G47*10.51</f>
        <v>2.63</v>
      </c>
      <c r="P47" s="422"/>
      <c r="Q47" s="422"/>
      <c r="R47" s="422"/>
      <c r="S47" s="422"/>
      <c r="T47" s="422"/>
      <c r="U47" s="422"/>
      <c r="V47" s="422"/>
      <c r="W47" s="422"/>
      <c r="X47" s="422"/>
      <c r="Y47" s="422"/>
      <c r="Z47" s="422"/>
      <c r="AA47" s="422"/>
      <c r="AB47" s="422"/>
      <c r="AC47" s="422"/>
      <c r="AD47" s="422"/>
      <c r="AE47" s="422"/>
      <c r="AF47" s="422"/>
      <c r="AG47" s="425"/>
      <c r="AH47" s="396"/>
      <c r="AI47" s="396"/>
      <c r="AJ47" s="426"/>
    </row>
    <row r="48" spans="1:36" ht="12.75" hidden="1" customHeight="1" x14ac:dyDescent="0.2">
      <c r="A48" s="435"/>
      <c r="B48" s="436" t="s">
        <v>1627</v>
      </c>
      <c r="C48" s="437"/>
      <c r="D48" s="439">
        <f>D41+D42+D47</f>
        <v>4.16</v>
      </c>
      <c r="E48" s="439">
        <f t="shared" ref="E48:G48" si="32">E41+E42+E47</f>
        <v>8.31</v>
      </c>
      <c r="F48" s="439">
        <f t="shared" si="32"/>
        <v>0</v>
      </c>
      <c r="G48" s="439">
        <f t="shared" si="32"/>
        <v>30.68</v>
      </c>
      <c r="H48" s="439">
        <f t="shared" si="3"/>
        <v>43.15</v>
      </c>
      <c r="I48" s="422"/>
      <c r="J48" s="422"/>
      <c r="K48" s="422"/>
      <c r="L48" s="422"/>
      <c r="M48" s="422"/>
      <c r="N48" s="422"/>
      <c r="O48" s="422"/>
      <c r="P48" s="422"/>
      <c r="Q48" s="422"/>
      <c r="R48" s="422"/>
      <c r="S48" s="422"/>
      <c r="T48" s="422"/>
      <c r="U48" s="422"/>
      <c r="V48" s="422"/>
      <c r="W48" s="422"/>
      <c r="X48" s="422"/>
      <c r="Y48" s="422"/>
      <c r="Z48" s="422"/>
      <c r="AA48" s="422"/>
      <c r="AB48" s="422"/>
      <c r="AC48" s="422"/>
      <c r="AD48" s="422"/>
      <c r="AE48" s="422"/>
      <c r="AF48" s="422"/>
      <c r="AG48" s="425"/>
      <c r="AH48" s="396"/>
      <c r="AI48" s="396"/>
      <c r="AJ48" s="426"/>
    </row>
    <row r="49" spans="1:36" ht="12.75" hidden="1" customHeight="1" x14ac:dyDescent="0.2">
      <c r="A49" s="435"/>
      <c r="B49" s="436" t="s">
        <v>1628</v>
      </c>
      <c r="C49" s="437"/>
      <c r="D49" s="439">
        <f>D39+D48</f>
        <v>635.11</v>
      </c>
      <c r="E49" s="439">
        <f t="shared" ref="E49:G49" si="33">E39+E48</f>
        <v>1267.99</v>
      </c>
      <c r="F49" s="439">
        <f t="shared" si="33"/>
        <v>17480.759999999998</v>
      </c>
      <c r="G49" s="439">
        <f t="shared" si="33"/>
        <v>59.78</v>
      </c>
      <c r="H49" s="439">
        <f t="shared" si="3"/>
        <v>19443.64</v>
      </c>
      <c r="I49" s="429"/>
      <c r="J49" s="422"/>
      <c r="K49" s="422"/>
      <c r="L49" s="422"/>
      <c r="M49" s="422"/>
      <c r="N49" s="422"/>
      <c r="O49" s="422"/>
      <c r="P49" s="422"/>
      <c r="Q49" s="422"/>
      <c r="R49" s="422"/>
      <c r="S49" s="422"/>
      <c r="T49" s="422"/>
      <c r="U49" s="422"/>
      <c r="V49" s="422"/>
      <c r="W49" s="422"/>
      <c r="X49" s="422"/>
      <c r="Y49" s="422"/>
      <c r="Z49" s="422"/>
      <c r="AA49" s="422"/>
      <c r="AB49" s="422"/>
      <c r="AC49" s="422"/>
      <c r="AD49" s="422"/>
      <c r="AE49" s="422"/>
      <c r="AF49" s="422"/>
      <c r="AG49" s="425"/>
      <c r="AH49" s="396"/>
      <c r="AI49" s="396"/>
      <c r="AJ49" s="426"/>
    </row>
    <row r="50" spans="1:36" ht="12.75" hidden="1" customHeight="1" x14ac:dyDescent="0.2">
      <c r="A50" s="427" t="s">
        <v>1629</v>
      </c>
      <c r="B50" s="428"/>
      <c r="C50" s="428"/>
      <c r="D50" s="428"/>
      <c r="E50" s="428"/>
      <c r="F50" s="428"/>
      <c r="G50" s="428"/>
      <c r="H50" s="428"/>
      <c r="I50" s="422"/>
      <c r="J50" s="422"/>
      <c r="K50" s="422"/>
      <c r="L50" s="422"/>
      <c r="M50" s="422"/>
      <c r="N50" s="422"/>
      <c r="O50" s="422"/>
      <c r="P50" s="422"/>
      <c r="Q50" s="422"/>
      <c r="R50" s="422"/>
      <c r="S50" s="422"/>
      <c r="T50" s="422"/>
      <c r="U50" s="422"/>
      <c r="V50" s="422"/>
      <c r="W50" s="422"/>
      <c r="X50" s="422"/>
      <c r="Y50" s="422"/>
      <c r="Z50" s="422"/>
      <c r="AA50" s="422"/>
      <c r="AB50" s="422"/>
      <c r="AC50" s="422"/>
      <c r="AD50" s="422"/>
      <c r="AE50" s="422"/>
      <c r="AF50" s="422"/>
      <c r="AG50" s="425"/>
      <c r="AH50" s="396"/>
      <c r="AI50" s="396"/>
      <c r="AJ50" s="426"/>
    </row>
    <row r="51" spans="1:36" ht="38.25" hidden="1" customHeight="1" x14ac:dyDescent="0.2">
      <c r="A51" s="397">
        <v>8</v>
      </c>
      <c r="B51" s="398" t="s">
        <v>1630</v>
      </c>
      <c r="C51" s="398" t="s">
        <v>1631</v>
      </c>
      <c r="D51" s="399"/>
      <c r="E51" s="399"/>
      <c r="F51" s="399"/>
      <c r="G51" s="400">
        <f>(H49+H58)*2.14%</f>
        <v>458.69</v>
      </c>
      <c r="H51" s="400">
        <f t="shared" si="3"/>
        <v>458.69</v>
      </c>
      <c r="I51" s="422"/>
      <c r="J51" s="422"/>
      <c r="K51" s="422"/>
      <c r="L51" s="422"/>
      <c r="M51" s="422"/>
      <c r="N51" s="422"/>
      <c r="O51" s="422"/>
      <c r="P51" s="422"/>
      <c r="Q51" s="422"/>
      <c r="R51" s="422"/>
      <c r="S51" s="422"/>
      <c r="T51" s="422"/>
      <c r="U51" s="422"/>
      <c r="V51" s="422"/>
      <c r="W51" s="429">
        <f>G51*10.51</f>
        <v>4820.83</v>
      </c>
      <c r="X51" s="429"/>
      <c r="Y51" s="422"/>
      <c r="Z51" s="422"/>
      <c r="AA51" s="422"/>
      <c r="AB51" s="422"/>
      <c r="AC51" s="422"/>
      <c r="AD51" s="422"/>
      <c r="AE51" s="422"/>
      <c r="AF51" s="422"/>
      <c r="AG51" s="425"/>
      <c r="AH51" s="396"/>
      <c r="AI51" s="396"/>
      <c r="AJ51" s="426"/>
    </row>
    <row r="52" spans="1:36" ht="27.95" hidden="1" customHeight="1" x14ac:dyDescent="0.2">
      <c r="A52" s="435"/>
      <c r="B52" s="436" t="s">
        <v>1632</v>
      </c>
      <c r="C52" s="437"/>
      <c r="D52" s="450">
        <f>D51</f>
        <v>0</v>
      </c>
      <c r="E52" s="450">
        <f t="shared" ref="E52:G52" si="34">E51</f>
        <v>0</v>
      </c>
      <c r="F52" s="450">
        <f t="shared" si="34"/>
        <v>0</v>
      </c>
      <c r="G52" s="450">
        <f t="shared" si="34"/>
        <v>458.69</v>
      </c>
      <c r="H52" s="438">
        <f t="shared" si="3"/>
        <v>458.69</v>
      </c>
      <c r="I52" s="422"/>
      <c r="J52" s="422"/>
      <c r="K52" s="422"/>
      <c r="L52" s="422"/>
      <c r="M52" s="422"/>
      <c r="N52" s="422"/>
      <c r="O52" s="422"/>
      <c r="P52" s="422"/>
      <c r="Q52" s="422"/>
      <c r="R52" s="422"/>
      <c r="S52" s="422"/>
      <c r="T52" s="422"/>
      <c r="U52" s="422"/>
      <c r="V52" s="422"/>
      <c r="W52" s="422"/>
      <c r="X52" s="422"/>
      <c r="Y52" s="422"/>
      <c r="Z52" s="422"/>
      <c r="AA52" s="422"/>
      <c r="AB52" s="422"/>
      <c r="AC52" s="422"/>
      <c r="AD52" s="422"/>
      <c r="AE52" s="422"/>
      <c r="AF52" s="422"/>
      <c r="AG52" s="425"/>
      <c r="AH52" s="396"/>
      <c r="AI52" s="396"/>
      <c r="AJ52" s="426"/>
    </row>
    <row r="53" spans="1:36" ht="12.75" hidden="1" customHeight="1" x14ac:dyDescent="0.2">
      <c r="A53" s="427" t="s">
        <v>1633</v>
      </c>
      <c r="B53" s="428"/>
      <c r="C53" s="428"/>
      <c r="D53" s="428"/>
      <c r="E53" s="428"/>
      <c r="F53" s="428"/>
      <c r="G53" s="428"/>
      <c r="H53" s="428"/>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2"/>
      <c r="AF53" s="422"/>
      <c r="AG53" s="425"/>
      <c r="AH53" s="396"/>
      <c r="AI53" s="396"/>
      <c r="AJ53" s="426"/>
    </row>
    <row r="54" spans="1:36" ht="12.75" hidden="1" customHeight="1" x14ac:dyDescent="0.2">
      <c r="A54" s="397">
        <v>9</v>
      </c>
      <c r="B54" s="398" t="s">
        <v>1634</v>
      </c>
      <c r="C54" s="398" t="s">
        <v>1635</v>
      </c>
      <c r="D54" s="399"/>
      <c r="E54" s="399"/>
      <c r="F54" s="399"/>
      <c r="G54" s="400">
        <v>602.66999999999996</v>
      </c>
      <c r="H54" s="400">
        <f t="shared" si="3"/>
        <v>602.66999999999996</v>
      </c>
      <c r="I54" s="422"/>
      <c r="J54" s="422"/>
      <c r="K54" s="422"/>
      <c r="L54" s="422"/>
      <c r="M54" s="422"/>
      <c r="N54" s="422"/>
      <c r="O54" s="422"/>
      <c r="P54" s="422"/>
      <c r="Q54" s="422"/>
      <c r="R54" s="429">
        <f>G54*1.19*4.15</f>
        <v>2976.29</v>
      </c>
      <c r="S54" s="422"/>
      <c r="T54" s="422"/>
      <c r="U54" s="422"/>
      <c r="V54" s="422"/>
      <c r="W54" s="422"/>
      <c r="X54" s="422"/>
      <c r="Y54" s="422"/>
      <c r="Z54" s="422"/>
      <c r="AA54" s="422"/>
      <c r="AB54" s="422"/>
      <c r="AC54" s="422"/>
      <c r="AD54" s="422"/>
      <c r="AE54" s="422"/>
      <c r="AF54" s="422"/>
      <c r="AG54" s="425"/>
      <c r="AH54" s="396"/>
      <c r="AI54" s="396"/>
      <c r="AJ54" s="426"/>
    </row>
    <row r="55" spans="1:36" ht="12.75" hidden="1" customHeight="1" x14ac:dyDescent="0.2">
      <c r="A55" s="397">
        <v>10</v>
      </c>
      <c r="B55" s="398" t="s">
        <v>1636</v>
      </c>
      <c r="C55" s="398" t="s">
        <v>1710</v>
      </c>
      <c r="D55" s="399"/>
      <c r="E55" s="399"/>
      <c r="F55" s="399"/>
      <c r="G55" s="400">
        <v>927.14</v>
      </c>
      <c r="H55" s="400">
        <f t="shared" ref="H55:H76" si="35">SUM(D55:G55)</f>
        <v>927.14</v>
      </c>
      <c r="I55" s="422"/>
      <c r="J55" s="422"/>
      <c r="K55" s="422"/>
      <c r="L55" s="422"/>
      <c r="M55" s="422"/>
      <c r="N55" s="429"/>
      <c r="O55" s="422"/>
      <c r="P55" s="422"/>
      <c r="Q55" s="422"/>
      <c r="R55" s="422"/>
      <c r="S55" s="429">
        <f>H55*1.19*4.15</f>
        <v>4578.68</v>
      </c>
      <c r="T55" s="429"/>
      <c r="U55" s="429"/>
      <c r="V55" s="429"/>
      <c r="W55" s="422"/>
      <c r="X55" s="422"/>
      <c r="Y55" s="429">
        <f>S55*0.02</f>
        <v>91.57</v>
      </c>
      <c r="Z55" s="429"/>
      <c r="AA55" s="429"/>
      <c r="AB55" s="429"/>
      <c r="AC55" s="422"/>
      <c r="AD55" s="429">
        <f>I55+J55+K55+L55+O55+P55+S55+AC55</f>
        <v>4578.68</v>
      </c>
      <c r="AE55" s="429">
        <f>I55+J55+K55+L55+O55+P55+S55+Y55+AC55</f>
        <v>4670.25</v>
      </c>
      <c r="AF55" s="432">
        <f>AD55*1000*$F$107</f>
        <v>4655600</v>
      </c>
      <c r="AG55" s="432">
        <f>AE55*1000*F107</f>
        <v>4748708</v>
      </c>
      <c r="AH55" s="396"/>
      <c r="AI55" s="396"/>
      <c r="AJ55" s="426"/>
    </row>
    <row r="56" spans="1:36" ht="12.75" hidden="1" customHeight="1" x14ac:dyDescent="0.2">
      <c r="A56" s="397">
        <v>11</v>
      </c>
      <c r="B56" s="398" t="s">
        <v>1634</v>
      </c>
      <c r="C56" s="398" t="s">
        <v>32</v>
      </c>
      <c r="D56" s="399"/>
      <c r="E56" s="399"/>
      <c r="F56" s="399"/>
      <c r="G56" s="400">
        <v>318.68</v>
      </c>
      <c r="H56" s="400">
        <f t="shared" si="35"/>
        <v>318.68</v>
      </c>
      <c r="I56" s="422"/>
      <c r="J56" s="422"/>
      <c r="K56" s="422"/>
      <c r="L56" s="422"/>
      <c r="M56" s="422"/>
      <c r="N56" s="422"/>
      <c r="O56" s="422"/>
      <c r="P56" s="422"/>
      <c r="Q56" s="422"/>
      <c r="R56" s="422"/>
      <c r="S56" s="422"/>
      <c r="T56" s="429">
        <f>G56*1.266*4.23</f>
        <v>1706.59</v>
      </c>
      <c r="U56" s="429"/>
      <c r="V56" s="429"/>
      <c r="W56" s="422"/>
      <c r="X56" s="422"/>
      <c r="Y56" s="422"/>
      <c r="Z56" s="422"/>
      <c r="AA56" s="422"/>
      <c r="AB56" s="422"/>
      <c r="AC56" s="422"/>
      <c r="AD56" s="422"/>
      <c r="AE56" s="422"/>
      <c r="AF56" s="422"/>
      <c r="AG56" s="425"/>
      <c r="AH56" s="396"/>
      <c r="AI56" s="396"/>
      <c r="AJ56" s="426"/>
    </row>
    <row r="57" spans="1:36" ht="25.5" hidden="1" customHeight="1" x14ac:dyDescent="0.2">
      <c r="A57" s="397">
        <v>12</v>
      </c>
      <c r="B57" s="398" t="s">
        <v>1637</v>
      </c>
      <c r="C57" s="398" t="s">
        <v>1638</v>
      </c>
      <c r="D57" s="399"/>
      <c r="E57" s="399"/>
      <c r="F57" s="399"/>
      <c r="G57" s="400">
        <v>142.21</v>
      </c>
      <c r="H57" s="400">
        <f t="shared" si="35"/>
        <v>142.21</v>
      </c>
      <c r="I57" s="422"/>
      <c r="J57" s="422"/>
      <c r="K57" s="422"/>
      <c r="L57" s="422"/>
      <c r="M57" s="422"/>
      <c r="N57" s="422"/>
      <c r="O57" s="422"/>
      <c r="P57" s="422"/>
      <c r="Q57" s="422"/>
      <c r="R57" s="422"/>
      <c r="S57" s="422"/>
      <c r="T57" s="422"/>
      <c r="U57" s="429">
        <f>G57*5.29</f>
        <v>752.29</v>
      </c>
      <c r="V57" s="422"/>
      <c r="W57" s="422"/>
      <c r="X57" s="422"/>
      <c r="Y57" s="422"/>
      <c r="Z57" s="422"/>
      <c r="AA57" s="422"/>
      <c r="AB57" s="422"/>
      <c r="AC57" s="422"/>
      <c r="AD57" s="422"/>
      <c r="AE57" s="422"/>
      <c r="AF57" s="422"/>
      <c r="AG57" s="425"/>
      <c r="AH57" s="396"/>
      <c r="AI57" s="396"/>
      <c r="AJ57" s="426"/>
    </row>
    <row r="58" spans="1:36" ht="27.95" hidden="1" customHeight="1" x14ac:dyDescent="0.2">
      <c r="A58" s="435"/>
      <c r="B58" s="436" t="s">
        <v>1639</v>
      </c>
      <c r="C58" s="437"/>
      <c r="D58" s="450"/>
      <c r="E58" s="450"/>
      <c r="F58" s="450"/>
      <c r="G58" s="439">
        <f>SUM(G54:G57)</f>
        <v>1990.7</v>
      </c>
      <c r="H58" s="439">
        <f t="shared" si="35"/>
        <v>1990.7</v>
      </c>
      <c r="I58" s="422"/>
      <c r="J58" s="422"/>
      <c r="K58" s="422"/>
      <c r="L58" s="422"/>
      <c r="M58" s="422"/>
      <c r="N58" s="422"/>
      <c r="O58" s="422"/>
      <c r="P58" s="422"/>
      <c r="Q58" s="422"/>
      <c r="R58" s="422"/>
      <c r="S58" s="422"/>
      <c r="T58" s="422"/>
      <c r="U58" s="422"/>
      <c r="V58" s="422"/>
      <c r="W58" s="422"/>
      <c r="X58" s="422"/>
      <c r="Y58" s="422"/>
      <c r="Z58" s="422"/>
      <c r="AA58" s="422"/>
      <c r="AB58" s="422"/>
      <c r="AC58" s="422"/>
      <c r="AD58" s="422"/>
      <c r="AE58" s="422"/>
      <c r="AF58" s="422"/>
      <c r="AG58" s="425"/>
      <c r="AH58" s="396"/>
      <c r="AI58" s="396"/>
      <c r="AJ58" s="426"/>
    </row>
    <row r="59" spans="1:36" ht="27.6" hidden="1" customHeight="1" x14ac:dyDescent="0.2">
      <c r="A59" s="435"/>
      <c r="B59" s="436" t="s">
        <v>1640</v>
      </c>
      <c r="C59" s="437"/>
      <c r="D59" s="439">
        <f>D49+D52+D58</f>
        <v>635.11</v>
      </c>
      <c r="E59" s="439">
        <f t="shared" ref="E59:G59" si="36">E49+E52+E58</f>
        <v>1267.99</v>
      </c>
      <c r="F59" s="439">
        <f t="shared" si="36"/>
        <v>17480.759999999998</v>
      </c>
      <c r="G59" s="439">
        <f t="shared" si="36"/>
        <v>2509.17</v>
      </c>
      <c r="H59" s="439">
        <f t="shared" si="35"/>
        <v>21893.03</v>
      </c>
      <c r="I59" s="429"/>
      <c r="J59" s="422"/>
      <c r="K59" s="422"/>
      <c r="L59" s="422"/>
      <c r="M59" s="422"/>
      <c r="N59" s="422"/>
      <c r="O59" s="422"/>
      <c r="P59" s="422"/>
      <c r="Q59" s="422"/>
      <c r="R59" s="422"/>
      <c r="S59" s="422"/>
      <c r="T59" s="422"/>
      <c r="U59" s="422"/>
      <c r="V59" s="422"/>
      <c r="W59" s="422"/>
      <c r="X59" s="422"/>
      <c r="Y59" s="422"/>
      <c r="Z59" s="422"/>
      <c r="AA59" s="422"/>
      <c r="AB59" s="422"/>
      <c r="AC59" s="422"/>
      <c r="AD59" s="422"/>
      <c r="AE59" s="422"/>
      <c r="AF59" s="422"/>
      <c r="AG59" s="425"/>
      <c r="AH59" s="396"/>
      <c r="AI59" s="396"/>
      <c r="AJ59" s="426"/>
    </row>
    <row r="60" spans="1:36" ht="12.75" hidden="1" customHeight="1" x14ac:dyDescent="0.2">
      <c r="A60" s="427" t="s">
        <v>1641</v>
      </c>
      <c r="B60" s="428"/>
      <c r="C60" s="428"/>
      <c r="D60" s="428"/>
      <c r="E60" s="428"/>
      <c r="F60" s="428"/>
      <c r="G60" s="428"/>
      <c r="H60" s="428"/>
      <c r="I60" s="422"/>
      <c r="J60" s="422"/>
      <c r="K60" s="422"/>
      <c r="L60" s="422"/>
      <c r="M60" s="422"/>
      <c r="N60" s="422"/>
      <c r="O60" s="422"/>
      <c r="P60" s="422"/>
      <c r="Q60" s="422"/>
      <c r="R60" s="422"/>
      <c r="S60" s="422"/>
      <c r="T60" s="422"/>
      <c r="U60" s="422"/>
      <c r="V60" s="422"/>
      <c r="W60" s="422"/>
      <c r="X60" s="422"/>
      <c r="Y60" s="422"/>
      <c r="Z60" s="422"/>
      <c r="AA60" s="422"/>
      <c r="AB60" s="422"/>
      <c r="AC60" s="422"/>
      <c r="AD60" s="422"/>
      <c r="AE60" s="422"/>
      <c r="AF60" s="422"/>
      <c r="AG60" s="425"/>
      <c r="AH60" s="396"/>
      <c r="AI60" s="396"/>
      <c r="AJ60" s="426"/>
    </row>
    <row r="61" spans="1:36" ht="25.5" hidden="1" customHeight="1" x14ac:dyDescent="0.2">
      <c r="A61" s="397">
        <v>13</v>
      </c>
      <c r="B61" s="398" t="s">
        <v>1642</v>
      </c>
      <c r="C61" s="398" t="s">
        <v>1643</v>
      </c>
      <c r="D61" s="400">
        <f>D59*0.02</f>
        <v>12.7</v>
      </c>
      <c r="E61" s="400">
        <f>E59*0.02</f>
        <v>25.36</v>
      </c>
      <c r="F61" s="400">
        <f>F59*0.02</f>
        <v>349.62</v>
      </c>
      <c r="G61" s="400">
        <f>G59*0.02</f>
        <v>50.18</v>
      </c>
      <c r="H61" s="400">
        <f t="shared" si="35"/>
        <v>437.86</v>
      </c>
      <c r="I61" s="429"/>
      <c r="J61" s="422"/>
      <c r="K61" s="422"/>
      <c r="L61" s="422"/>
      <c r="M61" s="422"/>
      <c r="N61" s="422"/>
      <c r="O61" s="422"/>
      <c r="P61" s="422"/>
      <c r="Q61" s="422"/>
      <c r="R61" s="422"/>
      <c r="S61" s="422"/>
      <c r="T61" s="422"/>
      <c r="U61" s="422"/>
      <c r="V61" s="422"/>
      <c r="W61" s="422"/>
      <c r="X61" s="422"/>
      <c r="Y61" s="422"/>
      <c r="Z61" s="422"/>
      <c r="AA61" s="422"/>
      <c r="AB61" s="422"/>
      <c r="AC61" s="422"/>
      <c r="AD61" s="422"/>
      <c r="AE61" s="422"/>
      <c r="AF61" s="422"/>
      <c r="AG61" s="425"/>
      <c r="AH61" s="396"/>
      <c r="AI61" s="396"/>
      <c r="AJ61" s="426"/>
    </row>
    <row r="62" spans="1:36" ht="22.15" hidden="1" customHeight="1" x14ac:dyDescent="0.2">
      <c r="A62" s="435"/>
      <c r="B62" s="436" t="s">
        <v>1644</v>
      </c>
      <c r="C62" s="437"/>
      <c r="D62" s="439">
        <f>D61</f>
        <v>12.7</v>
      </c>
      <c r="E62" s="439">
        <f>E61</f>
        <v>25.36</v>
      </c>
      <c r="F62" s="439">
        <f>F61</f>
        <v>349.62</v>
      </c>
      <c r="G62" s="439">
        <f>G61</f>
        <v>50.18</v>
      </c>
      <c r="H62" s="439">
        <f t="shared" si="35"/>
        <v>437.86</v>
      </c>
      <c r="I62" s="422"/>
      <c r="J62" s="422"/>
      <c r="K62" s="422"/>
      <c r="L62" s="422"/>
      <c r="M62" s="422"/>
      <c r="N62" s="422"/>
      <c r="O62" s="422"/>
      <c r="P62" s="422"/>
      <c r="Q62" s="422"/>
      <c r="R62" s="422"/>
      <c r="S62" s="422"/>
      <c r="T62" s="422"/>
      <c r="U62" s="422"/>
      <c r="V62" s="422"/>
      <c r="W62" s="422"/>
      <c r="X62" s="422"/>
      <c r="Y62" s="422"/>
      <c r="Z62" s="422"/>
      <c r="AA62" s="422"/>
      <c r="AB62" s="422"/>
      <c r="AC62" s="422"/>
      <c r="AD62" s="422"/>
      <c r="AE62" s="422"/>
      <c r="AF62" s="422"/>
      <c r="AG62" s="425"/>
      <c r="AH62" s="396"/>
      <c r="AI62" s="396"/>
      <c r="AJ62" s="426"/>
    </row>
    <row r="63" spans="1:36" ht="41.25" customHeight="1" x14ac:dyDescent="0.2">
      <c r="A63" s="435"/>
      <c r="B63" s="451" t="s">
        <v>1645</v>
      </c>
      <c r="C63" s="437"/>
      <c r="D63" s="439">
        <f>D59+D62</f>
        <v>647.80999999999995</v>
      </c>
      <c r="E63" s="439">
        <f>E59+E62</f>
        <v>1293.3499999999999</v>
      </c>
      <c r="F63" s="439">
        <f>F59+F62</f>
        <v>17830.38</v>
      </c>
      <c r="G63" s="439">
        <f>G59+G62</f>
        <v>2559.35</v>
      </c>
      <c r="H63" s="439">
        <f t="shared" si="35"/>
        <v>22330.89</v>
      </c>
      <c r="I63" s="452">
        <f t="shared" ref="I63:AC63" si="37">SUM(I13:I62)</f>
        <v>12936.82</v>
      </c>
      <c r="J63" s="452">
        <f t="shared" si="37"/>
        <v>69573.440000000002</v>
      </c>
      <c r="K63" s="452">
        <f t="shared" si="37"/>
        <v>297.57</v>
      </c>
      <c r="L63" s="452">
        <f t="shared" si="37"/>
        <v>87.29</v>
      </c>
      <c r="M63" s="452">
        <f t="shared" ref="M63:AB63" si="38">M17+M18+M19+M20+M21+M22+M23+M24+M25+M26+M27+M28+M29+M30+M31+M32+M33</f>
        <v>569.09</v>
      </c>
      <c r="N63" s="452">
        <f t="shared" si="38"/>
        <v>155.83000000000001</v>
      </c>
      <c r="O63" s="452">
        <f t="shared" si="38"/>
        <v>2.63</v>
      </c>
      <c r="P63" s="452">
        <f t="shared" si="38"/>
        <v>461.01</v>
      </c>
      <c r="Q63" s="452">
        <f t="shared" si="38"/>
        <v>83514.59</v>
      </c>
      <c r="R63" s="452">
        <f t="shared" si="38"/>
        <v>2976.28</v>
      </c>
      <c r="S63" s="452">
        <f t="shared" si="38"/>
        <v>4578.68</v>
      </c>
      <c r="T63" s="452">
        <f t="shared" si="38"/>
        <v>1706.59</v>
      </c>
      <c r="U63" s="452">
        <f t="shared" si="38"/>
        <v>752.29</v>
      </c>
      <c r="V63" s="452">
        <f t="shared" si="38"/>
        <v>10013.84</v>
      </c>
      <c r="W63" s="452">
        <f t="shared" si="38"/>
        <v>4820.83</v>
      </c>
      <c r="X63" s="452">
        <f t="shared" si="38"/>
        <v>98349.26</v>
      </c>
      <c r="Y63" s="452">
        <f t="shared" si="38"/>
        <v>1966.99</v>
      </c>
      <c r="Z63" s="452">
        <f t="shared" si="38"/>
        <v>100316.25</v>
      </c>
      <c r="AA63" s="452">
        <f t="shared" si="38"/>
        <v>20063.259999999998</v>
      </c>
      <c r="AB63" s="452">
        <f t="shared" si="38"/>
        <v>120379.51</v>
      </c>
      <c r="AC63" s="452">
        <f t="shared" si="37"/>
        <v>-53.57</v>
      </c>
      <c r="AD63" s="452">
        <f>SUM(AD12:AD62)</f>
        <v>93079.41</v>
      </c>
      <c r="AE63" s="452">
        <f>SUM(AE12:AE62)</f>
        <v>95161.68</v>
      </c>
      <c r="AF63" s="453">
        <f>SUM(AF12:AF62)</f>
        <v>95944109</v>
      </c>
      <c r="AG63" s="453">
        <f>SUM(AG12:AG62)</f>
        <v>98090623</v>
      </c>
      <c r="AH63" s="396"/>
      <c r="AI63" s="396"/>
      <c r="AJ63" s="426"/>
    </row>
    <row r="64" spans="1:36" ht="40.5" hidden="1" customHeight="1" outlineLevel="1" x14ac:dyDescent="0.2">
      <c r="A64" s="454" t="s">
        <v>1646</v>
      </c>
      <c r="B64" s="455"/>
      <c r="C64" s="455"/>
      <c r="D64" s="455"/>
      <c r="E64" s="455"/>
      <c r="F64" s="455"/>
      <c r="G64" s="455"/>
      <c r="H64" s="456"/>
      <c r="I64" s="457">
        <f t="shared" ref="I64:W64" si="39">I63*1.02</f>
        <v>13195.56</v>
      </c>
      <c r="J64" s="457">
        <f t="shared" si="39"/>
        <v>70964.91</v>
      </c>
      <c r="K64" s="457">
        <f t="shared" si="39"/>
        <v>303.52</v>
      </c>
      <c r="L64" s="457">
        <f t="shared" si="39"/>
        <v>89.04</v>
      </c>
      <c r="M64" s="457">
        <f t="shared" si="39"/>
        <v>580.47</v>
      </c>
      <c r="N64" s="457">
        <f t="shared" si="39"/>
        <v>158.94999999999999</v>
      </c>
      <c r="O64" s="457">
        <f t="shared" si="39"/>
        <v>2.68</v>
      </c>
      <c r="P64" s="457">
        <f t="shared" si="39"/>
        <v>470.23</v>
      </c>
      <c r="Q64" s="457">
        <f t="shared" si="39"/>
        <v>85184.88</v>
      </c>
      <c r="R64" s="457">
        <f t="shared" si="39"/>
        <v>3035.81</v>
      </c>
      <c r="S64" s="457">
        <f t="shared" si="39"/>
        <v>4670.25</v>
      </c>
      <c r="T64" s="457">
        <f t="shared" si="39"/>
        <v>1740.72</v>
      </c>
      <c r="U64" s="457">
        <f t="shared" si="39"/>
        <v>767.34</v>
      </c>
      <c r="V64" s="457">
        <f t="shared" si="39"/>
        <v>10214.120000000001</v>
      </c>
      <c r="W64" s="457">
        <f t="shared" si="39"/>
        <v>4917.25</v>
      </c>
      <c r="X64" s="458"/>
      <c r="Y64" s="458"/>
      <c r="Z64" s="458"/>
      <c r="AA64" s="458"/>
      <c r="AB64" s="458"/>
      <c r="AC64" s="457"/>
      <c r="AD64" s="457"/>
      <c r="AE64" s="458"/>
      <c r="AF64" s="458"/>
      <c r="AG64" s="396"/>
    </row>
    <row r="65" spans="1:33" ht="58.5" hidden="1" customHeight="1" outlineLevel="1" x14ac:dyDescent="0.2">
      <c r="A65" s="407">
        <v>14</v>
      </c>
      <c r="B65" s="408" t="s">
        <v>1647</v>
      </c>
      <c r="C65" s="408" t="s">
        <v>1564</v>
      </c>
      <c r="D65" s="408"/>
      <c r="E65" s="408"/>
      <c r="F65" s="408"/>
      <c r="G65" s="409">
        <f>ROUND(G12*4.23*1.266*1.02,2)</f>
        <v>158.94999999999999</v>
      </c>
      <c r="H65" s="409">
        <f t="shared" si="35"/>
        <v>158.94999999999999</v>
      </c>
      <c r="I65" s="459"/>
      <c r="J65" s="459"/>
      <c r="K65" s="458"/>
      <c r="L65" s="458"/>
      <c r="M65" s="458"/>
      <c r="N65" s="458"/>
      <c r="O65" s="458"/>
      <c r="P65" s="458"/>
      <c r="Q65" s="458"/>
      <c r="R65" s="458"/>
      <c r="S65" s="458"/>
      <c r="T65" s="458"/>
      <c r="U65" s="458"/>
      <c r="V65" s="458"/>
      <c r="W65" s="458"/>
      <c r="X65" s="458"/>
      <c r="Y65" s="458"/>
      <c r="Z65" s="458"/>
      <c r="AA65" s="458"/>
      <c r="AB65" s="458"/>
      <c r="AC65" s="458"/>
      <c r="AD65" s="458"/>
      <c r="AE65" s="458"/>
      <c r="AF65" s="458"/>
      <c r="AG65" s="396"/>
    </row>
    <row r="66" spans="1:33" ht="49.5" hidden="1" customHeight="1" outlineLevel="1" x14ac:dyDescent="0.2">
      <c r="A66" s="407">
        <v>15</v>
      </c>
      <c r="B66" s="408" t="s">
        <v>1647</v>
      </c>
      <c r="C66" s="408" t="s">
        <v>1648</v>
      </c>
      <c r="D66" s="408">
        <f>ROUND(D63*7,2)</f>
        <v>4534.67</v>
      </c>
      <c r="E66" s="408"/>
      <c r="F66" s="408"/>
      <c r="G66" s="408"/>
      <c r="H66" s="409">
        <f t="shared" si="35"/>
        <v>4534.67</v>
      </c>
      <c r="I66" s="459"/>
      <c r="J66" s="459"/>
      <c r="K66" s="458"/>
      <c r="L66" s="458"/>
      <c r="M66" s="458"/>
      <c r="N66" s="458"/>
      <c r="O66" s="458"/>
      <c r="P66" s="458"/>
      <c r="Q66" s="458"/>
      <c r="R66" s="458"/>
      <c r="S66" s="458"/>
      <c r="T66" s="458"/>
      <c r="U66" s="458"/>
      <c r="V66" s="458"/>
      <c r="W66" s="458"/>
      <c r="X66" s="458"/>
      <c r="Y66" s="458"/>
      <c r="Z66" s="458"/>
      <c r="AA66" s="458"/>
      <c r="AB66" s="458"/>
      <c r="AC66" s="458"/>
      <c r="AD66" s="458"/>
      <c r="AE66" s="458"/>
      <c r="AF66" s="458"/>
      <c r="AG66" s="396"/>
    </row>
    <row r="67" spans="1:33" ht="51" hidden="1" outlineLevel="1" x14ac:dyDescent="0.2">
      <c r="A67" s="407">
        <v>16</v>
      </c>
      <c r="B67" s="408" t="s">
        <v>1647</v>
      </c>
      <c r="C67" s="408" t="s">
        <v>1649</v>
      </c>
      <c r="D67" s="408"/>
      <c r="E67" s="408">
        <f>ROUND(E63*7,2)</f>
        <v>9053.4500000000007</v>
      </c>
      <c r="F67" s="408"/>
      <c r="G67" s="408"/>
      <c r="H67" s="409">
        <f t="shared" si="35"/>
        <v>9053.4500000000007</v>
      </c>
      <c r="I67" s="458"/>
      <c r="J67" s="458"/>
      <c r="K67" s="458"/>
      <c r="L67" s="458"/>
      <c r="M67" s="458"/>
      <c r="N67" s="458"/>
      <c r="O67" s="458"/>
      <c r="P67" s="458"/>
      <c r="Q67" s="458"/>
      <c r="R67" s="458"/>
      <c r="S67" s="458"/>
      <c r="T67" s="458"/>
      <c r="U67" s="458"/>
      <c r="V67" s="458"/>
      <c r="W67" s="458"/>
      <c r="X67" s="458"/>
      <c r="Y67" s="458"/>
      <c r="Z67" s="458"/>
      <c r="AA67" s="458"/>
      <c r="AB67" s="458"/>
      <c r="AC67" s="458"/>
      <c r="AD67" s="458"/>
      <c r="AE67" s="458"/>
      <c r="AF67" s="458"/>
      <c r="AG67" s="396"/>
    </row>
    <row r="68" spans="1:33" ht="51" hidden="1" outlineLevel="1" x14ac:dyDescent="0.2">
      <c r="A68" s="407">
        <v>17</v>
      </c>
      <c r="B68" s="398" t="s">
        <v>1650</v>
      </c>
      <c r="C68" s="408" t="s">
        <v>1651</v>
      </c>
      <c r="D68" s="408"/>
      <c r="E68" s="408"/>
      <c r="F68" s="409">
        <f>ROUND(F63*3.98,2)</f>
        <v>70964.91</v>
      </c>
      <c r="G68" s="408"/>
      <c r="H68" s="409">
        <f t="shared" si="35"/>
        <v>70964.91</v>
      </c>
      <c r="I68" s="458"/>
      <c r="J68" s="458"/>
      <c r="K68" s="458"/>
      <c r="L68" s="458"/>
      <c r="M68" s="458"/>
      <c r="N68" s="458"/>
      <c r="O68" s="458"/>
      <c r="P68" s="458"/>
      <c r="Q68" s="458"/>
      <c r="R68" s="458"/>
      <c r="S68" s="458"/>
      <c r="T68" s="458"/>
      <c r="U68" s="458"/>
      <c r="V68" s="458"/>
      <c r="W68" s="458"/>
      <c r="X68" s="458"/>
      <c r="Y68" s="458"/>
      <c r="Z68" s="458"/>
      <c r="AA68" s="458"/>
      <c r="AB68" s="458"/>
      <c r="AC68" s="458"/>
      <c r="AD68" s="458"/>
      <c r="AE68" s="458"/>
      <c r="AF68" s="458"/>
      <c r="AG68" s="396"/>
    </row>
    <row r="69" spans="1:33" ht="12.75" hidden="1" customHeight="1" outlineLevel="1" x14ac:dyDescent="0.2">
      <c r="A69" s="407">
        <v>18</v>
      </c>
      <c r="B69" s="398" t="s">
        <v>1650</v>
      </c>
      <c r="C69" s="398" t="s">
        <v>1652</v>
      </c>
      <c r="D69" s="410"/>
      <c r="E69" s="410"/>
      <c r="F69" s="410"/>
      <c r="G69" s="409">
        <f>ROUND(G47*10.51*1.02,2)</f>
        <v>2.68</v>
      </c>
      <c r="H69" s="409">
        <f t="shared" si="35"/>
        <v>2.68</v>
      </c>
      <c r="I69" s="459"/>
      <c r="J69" s="459"/>
      <c r="K69" s="458"/>
      <c r="L69" s="458"/>
      <c r="M69" s="458"/>
      <c r="N69" s="458"/>
      <c r="O69" s="458"/>
      <c r="P69" s="458"/>
      <c r="Q69" s="458"/>
      <c r="R69" s="458"/>
      <c r="S69" s="458"/>
      <c r="T69" s="458"/>
      <c r="U69" s="458"/>
      <c r="V69" s="458"/>
      <c r="W69" s="458"/>
      <c r="X69" s="458"/>
      <c r="Y69" s="458"/>
      <c r="Z69" s="458"/>
      <c r="AA69" s="458"/>
      <c r="AB69" s="458"/>
      <c r="AC69" s="458"/>
      <c r="AD69" s="458"/>
      <c r="AE69" s="458"/>
      <c r="AF69" s="458"/>
      <c r="AG69" s="396"/>
    </row>
    <row r="70" spans="1:33" ht="51" hidden="1" outlineLevel="1" x14ac:dyDescent="0.2">
      <c r="A70" s="407">
        <v>19</v>
      </c>
      <c r="B70" s="398" t="s">
        <v>1650</v>
      </c>
      <c r="C70" s="411" t="s">
        <v>1653</v>
      </c>
      <c r="D70" s="410"/>
      <c r="E70" s="410"/>
      <c r="F70" s="410"/>
      <c r="G70" s="412">
        <f>G51*10.51*1.02</f>
        <v>4917.25</v>
      </c>
      <c r="H70" s="409">
        <f t="shared" si="35"/>
        <v>4917.25</v>
      </c>
      <c r="I70" s="458"/>
      <c r="J70" s="458"/>
      <c r="K70" s="458"/>
      <c r="L70" s="458"/>
      <c r="M70" s="458"/>
      <c r="N70" s="458"/>
      <c r="O70" s="458"/>
      <c r="P70" s="458"/>
      <c r="Q70" s="458"/>
      <c r="R70" s="458"/>
      <c r="S70" s="458"/>
      <c r="T70" s="458"/>
      <c r="U70" s="458"/>
      <c r="V70" s="458"/>
      <c r="W70" s="458"/>
      <c r="X70" s="458"/>
      <c r="Y70" s="458"/>
      <c r="Z70" s="458"/>
      <c r="AA70" s="458"/>
      <c r="AB70" s="458"/>
      <c r="AC70" s="458"/>
      <c r="AD70" s="458"/>
      <c r="AE70" s="458"/>
      <c r="AF70" s="458"/>
      <c r="AG70" s="396"/>
    </row>
    <row r="71" spans="1:33" ht="38.25" hidden="1" outlineLevel="1" x14ac:dyDescent="0.2">
      <c r="A71" s="407">
        <v>20</v>
      </c>
      <c r="B71" s="398" t="s">
        <v>1654</v>
      </c>
      <c r="C71" s="411" t="s">
        <v>1655</v>
      </c>
      <c r="D71" s="410"/>
      <c r="E71" s="410"/>
      <c r="F71" s="410"/>
      <c r="G71" s="412">
        <f>G54*1.19*4.15*1.02</f>
        <v>3035.81</v>
      </c>
      <c r="H71" s="409">
        <f t="shared" si="35"/>
        <v>3035.81</v>
      </c>
      <c r="I71" s="458"/>
      <c r="J71" s="458"/>
      <c r="K71" s="458"/>
      <c r="L71" s="458"/>
      <c r="M71" s="458"/>
      <c r="N71" s="458"/>
      <c r="O71" s="458"/>
      <c r="P71" s="458"/>
      <c r="Q71" s="458"/>
      <c r="R71" s="458"/>
      <c r="S71" s="458"/>
      <c r="T71" s="458"/>
      <c r="U71" s="458"/>
      <c r="V71" s="458"/>
      <c r="W71" s="458"/>
      <c r="X71" s="458"/>
      <c r="Y71" s="458"/>
      <c r="Z71" s="458"/>
      <c r="AA71" s="458"/>
      <c r="AB71" s="458"/>
      <c r="AC71" s="458"/>
      <c r="AD71" s="458"/>
      <c r="AE71" s="458"/>
      <c r="AF71" s="458"/>
      <c r="AG71" s="396"/>
    </row>
    <row r="72" spans="1:33" ht="28.15" hidden="1" customHeight="1" outlineLevel="1" x14ac:dyDescent="0.2">
      <c r="A72" s="407">
        <v>21</v>
      </c>
      <c r="B72" s="398" t="s">
        <v>1654</v>
      </c>
      <c r="C72" s="411" t="s">
        <v>1711</v>
      </c>
      <c r="D72" s="410"/>
      <c r="E72" s="410"/>
      <c r="F72" s="410"/>
      <c r="G72" s="412">
        <f>G55*1.19*4.15*1.02</f>
        <v>4670.25</v>
      </c>
      <c r="H72" s="460">
        <f t="shared" si="35"/>
        <v>4670.25</v>
      </c>
      <c r="I72" s="459"/>
      <c r="J72" s="459"/>
      <c r="K72" s="458"/>
      <c r="L72" s="458"/>
      <c r="M72" s="458"/>
      <c r="N72" s="458"/>
      <c r="O72" s="458"/>
      <c r="P72" s="458"/>
      <c r="Q72" s="458"/>
      <c r="R72" s="458"/>
      <c r="S72" s="458"/>
      <c r="T72" s="458"/>
      <c r="U72" s="458"/>
      <c r="V72" s="458"/>
      <c r="W72" s="458"/>
      <c r="X72" s="458"/>
      <c r="Y72" s="458"/>
      <c r="Z72" s="458"/>
      <c r="AA72" s="458"/>
      <c r="AB72" s="458"/>
      <c r="AC72" s="458"/>
      <c r="AD72" s="458"/>
      <c r="AE72" s="458"/>
      <c r="AF72" s="458"/>
      <c r="AG72" s="396"/>
    </row>
    <row r="73" spans="1:33" ht="38.25" hidden="1" outlineLevel="1" x14ac:dyDescent="0.2">
      <c r="A73" s="407">
        <v>22</v>
      </c>
      <c r="B73" s="398" t="s">
        <v>1654</v>
      </c>
      <c r="C73" s="411" t="s">
        <v>1656</v>
      </c>
      <c r="D73" s="410"/>
      <c r="E73" s="410"/>
      <c r="F73" s="410"/>
      <c r="G73" s="412">
        <f>G56*1.266*4.23*1.02</f>
        <v>1740.72</v>
      </c>
      <c r="H73" s="409">
        <f t="shared" si="35"/>
        <v>1740.72</v>
      </c>
      <c r="I73" s="458"/>
      <c r="J73" s="458"/>
      <c r="K73" s="458"/>
      <c r="L73" s="458"/>
      <c r="M73" s="458"/>
      <c r="N73" s="458"/>
      <c r="O73" s="458"/>
      <c r="P73" s="458"/>
      <c r="Q73" s="458"/>
      <c r="R73" s="458"/>
      <c r="S73" s="458"/>
      <c r="T73" s="458"/>
      <c r="U73" s="458"/>
      <c r="V73" s="458"/>
      <c r="W73" s="458"/>
      <c r="X73" s="458"/>
      <c r="Y73" s="458"/>
      <c r="Z73" s="458"/>
      <c r="AA73" s="458"/>
      <c r="AB73" s="458"/>
      <c r="AC73" s="458"/>
      <c r="AD73" s="458"/>
      <c r="AE73" s="458"/>
      <c r="AF73" s="458"/>
      <c r="AG73" s="396"/>
    </row>
    <row r="74" spans="1:33" ht="42" hidden="1" customHeight="1" outlineLevel="1" x14ac:dyDescent="0.2">
      <c r="A74" s="407">
        <v>23</v>
      </c>
      <c r="B74" s="398" t="s">
        <v>1637</v>
      </c>
      <c r="C74" s="411" t="s">
        <v>1657</v>
      </c>
      <c r="D74" s="410"/>
      <c r="E74" s="410"/>
      <c r="F74" s="410"/>
      <c r="G74" s="412">
        <f>G57*5.29*1.02</f>
        <v>767.34</v>
      </c>
      <c r="H74" s="409">
        <f t="shared" si="35"/>
        <v>767.34</v>
      </c>
      <c r="I74" s="459"/>
      <c r="J74" s="459"/>
      <c r="K74" s="458"/>
      <c r="L74" s="458"/>
      <c r="M74" s="458"/>
      <c r="N74" s="458"/>
      <c r="O74" s="458"/>
      <c r="P74" s="458"/>
      <c r="Q74" s="458"/>
      <c r="R74" s="458"/>
      <c r="S74" s="458"/>
      <c r="T74" s="458"/>
      <c r="U74" s="458"/>
      <c r="V74" s="458"/>
      <c r="W74" s="458"/>
      <c r="X74" s="458"/>
      <c r="Y74" s="458"/>
      <c r="Z74" s="458"/>
      <c r="AA74" s="458"/>
      <c r="AB74" s="458"/>
      <c r="AC74" s="458"/>
      <c r="AD74" s="458"/>
      <c r="AE74" s="458"/>
      <c r="AF74" s="458"/>
      <c r="AG74" s="396"/>
    </row>
    <row r="75" spans="1:33" ht="51" hidden="1" outlineLevel="1" x14ac:dyDescent="0.2">
      <c r="A75" s="407">
        <v>24</v>
      </c>
      <c r="B75" s="398" t="s">
        <v>1647</v>
      </c>
      <c r="C75" s="411" t="s">
        <v>1658</v>
      </c>
      <c r="D75" s="410"/>
      <c r="E75" s="410"/>
      <c r="F75" s="410"/>
      <c r="G75" s="412">
        <f>ROUND(30.43*15.15*1.02,2)</f>
        <v>470.23</v>
      </c>
      <c r="H75" s="409">
        <f t="shared" si="35"/>
        <v>470.23</v>
      </c>
      <c r="I75" s="458"/>
      <c r="J75" s="458"/>
      <c r="K75" s="458"/>
      <c r="L75" s="458"/>
      <c r="M75" s="458"/>
      <c r="N75" s="458"/>
      <c r="O75" s="458"/>
      <c r="P75" s="458"/>
      <c r="Q75" s="458"/>
      <c r="R75" s="458"/>
      <c r="S75" s="458"/>
      <c r="T75" s="458"/>
      <c r="U75" s="458"/>
      <c r="V75" s="458"/>
      <c r="W75" s="458"/>
      <c r="X75" s="458"/>
      <c r="Y75" s="458"/>
      <c r="Z75" s="458"/>
      <c r="AA75" s="458"/>
      <c r="AB75" s="458"/>
      <c r="AC75" s="458"/>
      <c r="AD75" s="458"/>
      <c r="AE75" s="458"/>
      <c r="AF75" s="458"/>
      <c r="AG75" s="396"/>
    </row>
    <row r="76" spans="1:33" ht="28.15" hidden="1" customHeight="1" outlineLevel="1" x14ac:dyDescent="0.2">
      <c r="A76" s="461">
        <v>25</v>
      </c>
      <c r="B76" s="462" t="s">
        <v>1659</v>
      </c>
      <c r="C76" s="462" t="s">
        <v>1660</v>
      </c>
      <c r="D76" s="439">
        <f>SUM(D65:D75)</f>
        <v>4534.67</v>
      </c>
      <c r="E76" s="439">
        <f t="shared" ref="E76:F76" si="40">SUM(E65:E75)</f>
        <v>9053.4500000000007</v>
      </c>
      <c r="F76" s="439">
        <f t="shared" si="40"/>
        <v>70964.91</v>
      </c>
      <c r="G76" s="439">
        <f>SUM(G65:G75)</f>
        <v>15763.23</v>
      </c>
      <c r="H76" s="439">
        <f t="shared" si="35"/>
        <v>100316.26</v>
      </c>
      <c r="I76" s="463"/>
      <c r="J76" s="463"/>
      <c r="K76" s="458"/>
      <c r="L76" s="458"/>
      <c r="M76" s="458"/>
      <c r="N76" s="458"/>
      <c r="O76" s="458"/>
      <c r="P76" s="458"/>
      <c r="Q76" s="458"/>
      <c r="R76" s="458"/>
      <c r="S76" s="458"/>
      <c r="T76" s="458"/>
      <c r="U76" s="458"/>
      <c r="V76" s="458"/>
      <c r="W76" s="458"/>
      <c r="X76" s="458"/>
      <c r="Y76" s="458"/>
      <c r="Z76" s="458"/>
      <c r="AA76" s="458"/>
      <c r="AB76" s="458"/>
      <c r="AC76" s="458"/>
      <c r="AD76" s="458"/>
      <c r="AE76" s="458"/>
      <c r="AF76" s="458"/>
      <c r="AG76" s="396"/>
    </row>
    <row r="77" spans="1:33" ht="142.5" hidden="1" customHeight="1" outlineLevel="1" x14ac:dyDescent="0.2">
      <c r="A77" s="461">
        <v>26</v>
      </c>
      <c r="B77" s="398" t="s">
        <v>1661</v>
      </c>
      <c r="C77" s="398" t="s">
        <v>1662</v>
      </c>
      <c r="D77" s="400">
        <f>ROUND(D76*0.2,2)</f>
        <v>906.93</v>
      </c>
      <c r="E77" s="400">
        <f t="shared" ref="E77:G77" si="41">ROUND(E76*0.2,2)</f>
        <v>1810.69</v>
      </c>
      <c r="F77" s="400">
        <f t="shared" si="41"/>
        <v>14192.98</v>
      </c>
      <c r="G77" s="400">
        <f t="shared" si="41"/>
        <v>3152.65</v>
      </c>
      <c r="H77" s="400">
        <f>SUM(D77:G77)</f>
        <v>20063.25</v>
      </c>
      <c r="I77" s="463"/>
      <c r="J77" s="463"/>
      <c r="K77" s="458"/>
      <c r="L77" s="458"/>
      <c r="M77" s="458"/>
      <c r="N77" s="458"/>
      <c r="O77" s="458"/>
      <c r="P77" s="458"/>
      <c r="Q77" s="458"/>
      <c r="R77" s="458"/>
      <c r="S77" s="458"/>
      <c r="T77" s="458"/>
      <c r="U77" s="458"/>
      <c r="V77" s="458"/>
      <c r="W77" s="458"/>
      <c r="X77" s="458"/>
      <c r="Y77" s="458"/>
      <c r="Z77" s="458"/>
      <c r="AA77" s="458"/>
      <c r="AB77" s="458"/>
      <c r="AC77" s="458"/>
      <c r="AD77" s="458"/>
      <c r="AE77" s="458"/>
      <c r="AF77" s="458"/>
      <c r="AG77" s="396"/>
    </row>
    <row r="78" spans="1:33" hidden="1" outlineLevel="1" x14ac:dyDescent="0.2">
      <c r="A78" s="413">
        <v>27</v>
      </c>
      <c r="B78" s="414" t="s">
        <v>1659</v>
      </c>
      <c r="C78" s="414" t="s">
        <v>1663</v>
      </c>
      <c r="D78" s="415">
        <f>D76+D77</f>
        <v>5441.6</v>
      </c>
      <c r="E78" s="415">
        <f t="shared" ref="E78:G78" si="42">E76+E77</f>
        <v>10864.14</v>
      </c>
      <c r="F78" s="415">
        <f t="shared" si="42"/>
        <v>85157.89</v>
      </c>
      <c r="G78" s="415">
        <f t="shared" si="42"/>
        <v>18915.88</v>
      </c>
      <c r="H78" s="415">
        <f>SUM(D78:G78)</f>
        <v>120379.51</v>
      </c>
      <c r="I78" s="463"/>
      <c r="J78" s="463"/>
      <c r="K78" s="458"/>
      <c r="L78" s="458"/>
      <c r="M78" s="458"/>
      <c r="N78" s="458"/>
      <c r="O78" s="458"/>
      <c r="P78" s="458"/>
      <c r="Q78" s="458"/>
      <c r="R78" s="458"/>
      <c r="S78" s="458"/>
      <c r="T78" s="458"/>
      <c r="U78" s="458"/>
      <c r="V78" s="458"/>
      <c r="W78" s="458"/>
      <c r="X78" s="458"/>
      <c r="Y78" s="458"/>
      <c r="Z78" s="458"/>
      <c r="AA78" s="458"/>
      <c r="AB78" s="458"/>
      <c r="AC78" s="458"/>
      <c r="AD78" s="458"/>
      <c r="AE78" s="458"/>
      <c r="AF78" s="458"/>
      <c r="AG78" s="396"/>
    </row>
    <row r="79" spans="1:33" ht="12.75" hidden="1" customHeight="1" outlineLevel="1" x14ac:dyDescent="0.2">
      <c r="A79" s="464" t="s">
        <v>1664</v>
      </c>
      <c r="B79" s="408"/>
      <c r="C79" s="408"/>
      <c r="D79" s="408"/>
      <c r="E79" s="408"/>
      <c r="F79" s="408"/>
      <c r="G79" s="408"/>
      <c r="H79" s="408"/>
      <c r="I79" s="408"/>
      <c r="J79" s="408"/>
      <c r="K79" s="396"/>
      <c r="L79" s="396"/>
      <c r="M79" s="396"/>
      <c r="N79" s="396"/>
      <c r="O79" s="396"/>
      <c r="P79" s="396"/>
      <c r="Q79" s="396"/>
      <c r="R79" s="396"/>
      <c r="S79" s="396"/>
      <c r="T79" s="396"/>
      <c r="U79" s="396"/>
      <c r="V79" s="396"/>
      <c r="W79" s="396"/>
      <c r="X79" s="396"/>
      <c r="Y79" s="396"/>
      <c r="Z79" s="396"/>
      <c r="AA79" s="396"/>
      <c r="AB79" s="396"/>
      <c r="AC79" s="396"/>
      <c r="AD79" s="396"/>
      <c r="AE79" s="396"/>
      <c r="AF79" s="396"/>
      <c r="AG79" s="396"/>
    </row>
    <row r="80" spans="1:33" ht="25.5" hidden="1" outlineLevel="1" x14ac:dyDescent="0.2">
      <c r="A80" s="397">
        <v>28</v>
      </c>
      <c r="B80" s="398" t="s">
        <v>1665</v>
      </c>
      <c r="C80" s="398" t="s">
        <v>1666</v>
      </c>
      <c r="D80" s="400">
        <f>ROUND(0.15*7*D37,2)</f>
        <v>14.9</v>
      </c>
      <c r="E80" s="401">
        <f>ROUND(0.15*7*E37,2)</f>
        <v>29.74</v>
      </c>
      <c r="F80" s="399"/>
      <c r="G80" s="399"/>
      <c r="H80" s="401">
        <f>E80+D80</f>
        <v>44.64</v>
      </c>
      <c r="I80" s="465"/>
      <c r="J80" s="465"/>
      <c r="K80" s="396"/>
      <c r="L80" s="396"/>
      <c r="M80" s="396"/>
      <c r="N80" s="396"/>
      <c r="O80" s="396"/>
      <c r="P80" s="396"/>
      <c r="Q80" s="396"/>
      <c r="R80" s="396"/>
      <c r="S80" s="396"/>
      <c r="T80" s="396"/>
      <c r="U80" s="396"/>
      <c r="V80" s="396"/>
      <c r="W80" s="396"/>
      <c r="X80" s="396"/>
      <c r="Y80" s="396"/>
      <c r="Z80" s="396"/>
      <c r="AA80" s="396"/>
      <c r="AB80" s="396"/>
      <c r="AC80" s="396"/>
      <c r="AD80" s="396"/>
      <c r="AE80" s="396"/>
      <c r="AF80" s="396"/>
      <c r="AG80" s="396"/>
    </row>
    <row r="81" spans="1:8" hidden="1" outlineLevel="1" x14ac:dyDescent="0.2">
      <c r="A81" s="391"/>
      <c r="B81" s="391"/>
      <c r="C81" s="391"/>
      <c r="D81" s="391"/>
      <c r="E81" s="391"/>
      <c r="F81" s="391"/>
      <c r="G81" s="391"/>
      <c r="H81" s="391"/>
    </row>
    <row r="82" spans="1:8" hidden="1" outlineLevel="1" x14ac:dyDescent="0.2">
      <c r="A82" s="391"/>
      <c r="B82" s="391"/>
      <c r="C82" s="391"/>
      <c r="D82" s="391"/>
      <c r="E82" s="391"/>
      <c r="F82" s="391"/>
      <c r="G82" s="391"/>
      <c r="H82" s="391"/>
    </row>
    <row r="83" spans="1:8" ht="13.15" hidden="1" customHeight="1" outlineLevel="1" x14ac:dyDescent="0.2">
      <c r="A83" s="391"/>
      <c r="B83" s="391"/>
      <c r="C83" s="391"/>
      <c r="D83" s="391"/>
      <c r="E83" s="391"/>
      <c r="F83" s="391"/>
      <c r="G83" s="391"/>
      <c r="H83" s="391"/>
    </row>
    <row r="84" spans="1:8" ht="15.75" hidden="1" outlineLevel="1" x14ac:dyDescent="0.2">
      <c r="A84" s="466" t="s">
        <v>1712</v>
      </c>
      <c r="B84" s="466"/>
      <c r="C84" s="466"/>
      <c r="D84" s="466"/>
      <c r="E84" s="466"/>
      <c r="F84" s="466"/>
      <c r="G84" s="466"/>
      <c r="H84" s="466"/>
    </row>
    <row r="85" spans="1:8" hidden="1" outlineLevel="1" x14ac:dyDescent="0.2">
      <c r="A85" s="467"/>
      <c r="B85" s="468"/>
      <c r="C85" s="468"/>
      <c r="D85" s="469"/>
      <c r="E85" s="469"/>
      <c r="F85" s="469"/>
      <c r="G85" s="469"/>
      <c r="H85" s="469"/>
    </row>
    <row r="86" spans="1:8" ht="15.75" hidden="1" outlineLevel="1" x14ac:dyDescent="0.25">
      <c r="A86" s="470" t="s">
        <v>1713</v>
      </c>
      <c r="B86" s="470"/>
      <c r="C86" s="470"/>
      <c r="D86" s="470" t="s">
        <v>1714</v>
      </c>
      <c r="E86" s="470"/>
      <c r="F86" s="471"/>
      <c r="G86" s="469"/>
      <c r="H86" s="469"/>
    </row>
    <row r="87" spans="1:8" ht="15.75" hidden="1" outlineLevel="1" x14ac:dyDescent="0.25">
      <c r="A87" s="470" t="s">
        <v>1715</v>
      </c>
      <c r="B87" s="470"/>
      <c r="C87" s="470"/>
      <c r="D87" s="472" t="s">
        <v>1716</v>
      </c>
      <c r="E87" s="470"/>
      <c r="F87" s="471"/>
      <c r="G87" s="469"/>
      <c r="H87" s="469"/>
    </row>
    <row r="88" spans="1:8" ht="15.75" hidden="1" outlineLevel="1" x14ac:dyDescent="0.25">
      <c r="A88" s="470" t="s">
        <v>1717</v>
      </c>
      <c r="B88" s="470"/>
      <c r="C88" s="470"/>
      <c r="D88" s="472" t="s">
        <v>1718</v>
      </c>
      <c r="E88" s="472"/>
      <c r="F88" s="471"/>
      <c r="G88" s="469"/>
      <c r="H88" s="469"/>
    </row>
    <row r="89" spans="1:8" ht="15" hidden="1" outlineLevel="1" x14ac:dyDescent="0.25">
      <c r="A89" s="3"/>
      <c r="B89" s="3"/>
      <c r="C89" s="3"/>
      <c r="D89" s="3"/>
      <c r="E89" s="3"/>
      <c r="F89" s="471"/>
      <c r="G89" s="469"/>
      <c r="H89" s="469"/>
    </row>
    <row r="90" spans="1:8" ht="15" hidden="1" outlineLevel="1" x14ac:dyDescent="0.25">
      <c r="A90" s="473" t="s">
        <v>1719</v>
      </c>
      <c r="B90" s="474"/>
      <c r="C90" s="474"/>
      <c r="D90" s="474"/>
      <c r="E90" s="475"/>
      <c r="F90" s="471"/>
      <c r="G90" s="469"/>
      <c r="H90" s="469"/>
    </row>
    <row r="91" spans="1:8" ht="15" hidden="1" outlineLevel="1" x14ac:dyDescent="0.25">
      <c r="A91" s="476" t="s">
        <v>1720</v>
      </c>
      <c r="B91" s="477"/>
      <c r="C91" s="477"/>
      <c r="D91" s="477"/>
      <c r="E91" s="478"/>
      <c r="F91" s="479"/>
      <c r="G91" s="469"/>
      <c r="H91" s="469"/>
    </row>
    <row r="92" spans="1:8" ht="60" hidden="1" outlineLevel="1" x14ac:dyDescent="0.25">
      <c r="A92" s="480"/>
      <c r="B92" s="481" t="s">
        <v>1721</v>
      </c>
      <c r="C92" s="482" t="s">
        <v>1722</v>
      </c>
      <c r="D92" s="482" t="s">
        <v>1723</v>
      </c>
      <c r="E92" s="481" t="s">
        <v>1724</v>
      </c>
      <c r="F92" s="479"/>
      <c r="G92" s="469"/>
      <c r="H92" s="469"/>
    </row>
    <row r="93" spans="1:8" ht="15" hidden="1" outlineLevel="1" x14ac:dyDescent="0.25">
      <c r="A93" s="483">
        <v>1</v>
      </c>
      <c r="B93" s="483">
        <v>105</v>
      </c>
      <c r="C93" s="484">
        <v>3.5</v>
      </c>
      <c r="D93" s="485">
        <f>(B93-100)/100*C93/12</f>
        <v>1.4999999999999999E-2</v>
      </c>
      <c r="E93" s="486">
        <f>1+D93</f>
        <v>1.0149999999999999</v>
      </c>
      <c r="F93" s="479"/>
      <c r="G93" s="469"/>
      <c r="H93" s="469"/>
    </row>
    <row r="94" spans="1:8" ht="15" hidden="1" outlineLevel="1" x14ac:dyDescent="0.25">
      <c r="A94" s="476" t="s">
        <v>1720</v>
      </c>
      <c r="B94" s="477"/>
      <c r="C94" s="477"/>
      <c r="D94" s="477"/>
      <c r="E94" s="478"/>
      <c r="F94" s="479"/>
      <c r="G94" s="469"/>
      <c r="H94" s="469"/>
    </row>
    <row r="95" spans="1:8" ht="60" hidden="1" outlineLevel="1" x14ac:dyDescent="0.25">
      <c r="A95" s="480"/>
      <c r="B95" s="481" t="s">
        <v>1725</v>
      </c>
      <c r="C95" s="482" t="s">
        <v>1726</v>
      </c>
      <c r="D95" s="482" t="s">
        <v>1727</v>
      </c>
      <c r="E95" s="481" t="s">
        <v>1728</v>
      </c>
      <c r="F95" s="479"/>
      <c r="G95" s="469"/>
      <c r="H95" s="469"/>
    </row>
    <row r="96" spans="1:8" ht="15" hidden="1" outlineLevel="1" x14ac:dyDescent="0.25">
      <c r="A96" s="483">
        <v>2</v>
      </c>
      <c r="B96" s="483">
        <v>105</v>
      </c>
      <c r="C96" s="484">
        <v>2.5</v>
      </c>
      <c r="D96" s="485">
        <f>(B96-100)/100*C96/12</f>
        <v>0.01</v>
      </c>
      <c r="E96" s="486">
        <f>1+D96</f>
        <v>1.01</v>
      </c>
      <c r="F96" s="479"/>
      <c r="G96" s="469"/>
      <c r="H96" s="469"/>
    </row>
    <row r="97" spans="1:8" ht="15" hidden="1" outlineLevel="1" x14ac:dyDescent="0.25">
      <c r="A97" s="476" t="s">
        <v>1729</v>
      </c>
      <c r="B97" s="477"/>
      <c r="C97" s="477"/>
      <c r="D97" s="477"/>
      <c r="E97" s="478"/>
      <c r="F97" s="479"/>
      <c r="G97" s="469"/>
      <c r="H97" s="469"/>
    </row>
    <row r="98" spans="1:8" ht="60" hidden="1" outlineLevel="1" x14ac:dyDescent="0.25">
      <c r="A98" s="480"/>
      <c r="B98" s="481" t="s">
        <v>1725</v>
      </c>
      <c r="C98" s="482" t="s">
        <v>1730</v>
      </c>
      <c r="D98" s="482" t="s">
        <v>1731</v>
      </c>
      <c r="E98" s="487" t="s">
        <v>1732</v>
      </c>
      <c r="F98" s="479"/>
      <c r="G98" s="469"/>
      <c r="H98" s="469"/>
    </row>
    <row r="99" spans="1:8" ht="15" hidden="1" outlineLevel="1" x14ac:dyDescent="0.25">
      <c r="A99" s="483">
        <v>3</v>
      </c>
      <c r="B99" s="483">
        <v>105.1</v>
      </c>
      <c r="C99" s="484">
        <v>1.6</v>
      </c>
      <c r="D99" s="485">
        <f>(B99-100)/100*C99/12</f>
        <v>7.0000000000000001E-3</v>
      </c>
      <c r="E99" s="486">
        <f>1+0.5*D99</f>
        <v>1.004</v>
      </c>
      <c r="F99" s="479"/>
      <c r="G99" s="469"/>
      <c r="H99" s="469"/>
    </row>
    <row r="100" spans="1:8" ht="33" hidden="1" customHeight="1" outlineLevel="1" x14ac:dyDescent="0.25">
      <c r="A100" s="483">
        <v>4</v>
      </c>
      <c r="B100" s="488" t="s">
        <v>1733</v>
      </c>
      <c r="C100" s="489"/>
      <c r="D100" s="481" t="s">
        <v>1734</v>
      </c>
      <c r="E100" s="490" t="s">
        <v>1735</v>
      </c>
      <c r="F100" s="479"/>
      <c r="G100" s="469"/>
      <c r="H100" s="469"/>
    </row>
    <row r="101" spans="1:8" ht="15" hidden="1" outlineLevel="1" x14ac:dyDescent="0.25">
      <c r="A101" s="491"/>
      <c r="B101" s="492"/>
      <c r="C101" s="489"/>
      <c r="D101" s="493">
        <f>D96+D99</f>
        <v>1.7000000000000001E-2</v>
      </c>
      <c r="E101" s="490">
        <f>1+0.5*D101</f>
        <v>1.0089999999999999</v>
      </c>
      <c r="F101" s="479"/>
      <c r="G101" s="469"/>
      <c r="H101" s="469"/>
    </row>
    <row r="102" spans="1:8" ht="15" hidden="1" outlineLevel="1" x14ac:dyDescent="0.25">
      <c r="A102" s="494">
        <v>5</v>
      </c>
      <c r="B102" s="489" t="s">
        <v>1736</v>
      </c>
      <c r="C102" s="489"/>
      <c r="D102" s="487" t="s">
        <v>1737</v>
      </c>
      <c r="E102" s="490">
        <f>E93*E101</f>
        <v>1.024</v>
      </c>
      <c r="F102" s="479"/>
      <c r="G102" s="469"/>
      <c r="H102" s="469"/>
    </row>
    <row r="103" spans="1:8" ht="15" hidden="1" outlineLevel="1" x14ac:dyDescent="0.25">
      <c r="A103" s="495" t="s">
        <v>1738</v>
      </c>
      <c r="B103" s="496"/>
      <c r="C103" s="496"/>
      <c r="D103" s="496"/>
      <c r="E103" s="497"/>
      <c r="F103" s="479"/>
      <c r="G103" s="469"/>
      <c r="H103" s="469"/>
    </row>
    <row r="104" spans="1:8" ht="15" hidden="1" outlineLevel="1" x14ac:dyDescent="0.25">
      <c r="A104" s="498" t="s">
        <v>1739</v>
      </c>
      <c r="B104" s="499"/>
      <c r="C104" s="500"/>
      <c r="D104" s="501"/>
      <c r="E104" s="502">
        <f>S63</f>
        <v>4578.68</v>
      </c>
      <c r="F104" s="479"/>
      <c r="G104" s="469"/>
      <c r="H104" s="469"/>
    </row>
    <row r="105" spans="1:8" ht="15" hidden="1" outlineLevel="1" x14ac:dyDescent="0.25">
      <c r="A105" s="503" t="s">
        <v>1740</v>
      </c>
      <c r="B105" s="504"/>
      <c r="C105" s="505"/>
      <c r="D105" s="501"/>
      <c r="E105" s="506">
        <f>E102</f>
        <v>1.024</v>
      </c>
      <c r="F105" s="479"/>
      <c r="G105" s="469"/>
      <c r="H105" s="469"/>
    </row>
    <row r="106" spans="1:8" ht="15" hidden="1" outlineLevel="1" x14ac:dyDescent="0.25">
      <c r="A106" s="507" t="s">
        <v>1741</v>
      </c>
      <c r="B106" s="508"/>
      <c r="C106" s="509"/>
      <c r="D106" s="465"/>
      <c r="E106" s="510">
        <f>E104*E105</f>
        <v>4688.57</v>
      </c>
      <c r="F106" s="479"/>
      <c r="G106" s="469"/>
      <c r="H106" s="469"/>
    </row>
    <row r="107" spans="1:8" ht="15" hidden="1" customHeight="1" outlineLevel="1" x14ac:dyDescent="0.25">
      <c r="A107" s="511" t="s">
        <v>1742</v>
      </c>
      <c r="B107" s="512"/>
      <c r="C107" s="513" t="s">
        <v>1743</v>
      </c>
      <c r="D107" s="513"/>
      <c r="E107" s="514">
        <f>E104+(E106-E104)*(1-30/100)</f>
        <v>4655.6000000000004</v>
      </c>
      <c r="F107" s="479">
        <f>E107/E104</f>
        <v>1.0167996016319101</v>
      </c>
      <c r="G107" s="469"/>
      <c r="H107" s="469"/>
    </row>
    <row r="108" spans="1:8" hidden="1" outlineLevel="1" x14ac:dyDescent="0.2">
      <c r="A108" s="119"/>
      <c r="B108" s="119"/>
      <c r="C108" s="515" t="s">
        <v>1744</v>
      </c>
      <c r="D108" s="516"/>
      <c r="E108" s="517">
        <f>E107-E104</f>
        <v>76.92</v>
      </c>
      <c r="F108" s="518"/>
      <c r="G108" s="469"/>
      <c r="H108" s="469"/>
    </row>
    <row r="109" spans="1:8" hidden="1" outlineLevel="1" x14ac:dyDescent="0.2">
      <c r="A109" s="467"/>
      <c r="B109" s="468"/>
      <c r="C109" s="468"/>
      <c r="D109" s="469"/>
      <c r="E109" s="469"/>
      <c r="F109" s="469"/>
      <c r="G109" s="469"/>
      <c r="H109" s="469"/>
    </row>
    <row r="110" spans="1:8" hidden="1" outlineLevel="1" x14ac:dyDescent="0.2">
      <c r="A110" s="467"/>
      <c r="B110" s="468"/>
      <c r="C110" s="468"/>
      <c r="D110" s="469"/>
      <c r="E110" s="469"/>
      <c r="F110" s="469"/>
      <c r="G110" s="469"/>
      <c r="H110" s="469"/>
    </row>
    <row r="111" spans="1:8" hidden="1" outlineLevel="1" x14ac:dyDescent="0.2">
      <c r="A111" s="467"/>
      <c r="B111" s="468"/>
      <c r="C111" s="468"/>
      <c r="D111" s="469"/>
      <c r="E111" s="469"/>
      <c r="F111" s="469"/>
      <c r="G111" s="469"/>
      <c r="H111" s="469"/>
    </row>
    <row r="112" spans="1:8" hidden="1" outlineLevel="1" x14ac:dyDescent="0.2">
      <c r="A112" s="467"/>
      <c r="B112" s="468"/>
      <c r="C112" s="468"/>
      <c r="D112" s="469"/>
      <c r="E112" s="469"/>
      <c r="F112" s="469"/>
      <c r="G112" s="469"/>
      <c r="H112" s="469"/>
    </row>
    <row r="113" spans="1:8" hidden="1" outlineLevel="1" x14ac:dyDescent="0.2">
      <c r="A113" s="467"/>
      <c r="B113" s="468"/>
      <c r="C113" s="468"/>
      <c r="D113" s="469"/>
      <c r="E113" s="469"/>
      <c r="F113" s="469"/>
      <c r="G113" s="469"/>
      <c r="H113" s="469"/>
    </row>
    <row r="114" spans="1:8" hidden="1" outlineLevel="1" x14ac:dyDescent="0.2">
      <c r="A114" s="467"/>
      <c r="B114" s="468"/>
      <c r="C114" s="468"/>
      <c r="D114" s="469"/>
      <c r="E114" s="469"/>
      <c r="F114" s="469"/>
      <c r="G114" s="469"/>
      <c r="H114" s="469"/>
    </row>
    <row r="115" spans="1:8" hidden="1" outlineLevel="1" x14ac:dyDescent="0.2">
      <c r="A115" s="467"/>
      <c r="B115" s="468"/>
      <c r="C115" s="468"/>
      <c r="D115" s="469"/>
      <c r="E115" s="469"/>
      <c r="F115" s="469"/>
      <c r="G115" s="469"/>
      <c r="H115" s="469"/>
    </row>
    <row r="116" spans="1:8" ht="15.75" hidden="1" outlineLevel="1" x14ac:dyDescent="0.25">
      <c r="A116" s="470" t="s">
        <v>1713</v>
      </c>
      <c r="B116" s="470"/>
      <c r="C116" s="470"/>
      <c r="D116" s="470">
        <v>3.5</v>
      </c>
      <c r="E116" s="470" t="s">
        <v>1745</v>
      </c>
      <c r="F116" s="471"/>
      <c r="G116" s="469"/>
      <c r="H116" s="469"/>
    </row>
    <row r="117" spans="1:8" ht="15.75" hidden="1" outlineLevel="1" x14ac:dyDescent="0.25">
      <c r="A117" s="470" t="s">
        <v>1715</v>
      </c>
      <c r="B117" s="470"/>
      <c r="C117" s="470"/>
      <c r="D117" s="472" t="s">
        <v>1746</v>
      </c>
      <c r="E117" s="470"/>
      <c r="F117" s="471"/>
      <c r="G117" s="469"/>
      <c r="H117" s="469"/>
    </row>
    <row r="118" spans="1:8" ht="15.75" hidden="1" outlineLevel="1" x14ac:dyDescent="0.25">
      <c r="A118" s="470" t="s">
        <v>1717</v>
      </c>
      <c r="B118" s="470"/>
      <c r="C118" s="470"/>
      <c r="D118" s="472" t="s">
        <v>1747</v>
      </c>
      <c r="E118" s="472"/>
      <c r="F118" s="471"/>
      <c r="G118" s="469"/>
      <c r="H118" s="469"/>
    </row>
    <row r="119" spans="1:8" ht="15" hidden="1" outlineLevel="1" x14ac:dyDescent="0.25">
      <c r="A119" s="3"/>
      <c r="B119" s="3"/>
      <c r="C119" s="3"/>
      <c r="D119" s="3"/>
      <c r="E119" s="3"/>
      <c r="F119" s="471"/>
      <c r="G119" s="469"/>
      <c r="H119" s="469"/>
    </row>
    <row r="120" spans="1:8" ht="15" hidden="1" outlineLevel="1" x14ac:dyDescent="0.25">
      <c r="A120" s="473" t="s">
        <v>1748</v>
      </c>
      <c r="B120" s="474"/>
      <c r="C120" s="474"/>
      <c r="D120" s="474"/>
      <c r="E120" s="475"/>
      <c r="F120" s="471"/>
      <c r="G120" s="469"/>
      <c r="H120" s="469"/>
    </row>
    <row r="121" spans="1:8" ht="15" hidden="1" outlineLevel="1" x14ac:dyDescent="0.25">
      <c r="A121" s="476" t="s">
        <v>1720</v>
      </c>
      <c r="B121" s="477"/>
      <c r="C121" s="477"/>
      <c r="D121" s="477"/>
      <c r="E121" s="478"/>
      <c r="F121" s="479"/>
      <c r="G121" s="469"/>
      <c r="H121" s="469"/>
    </row>
    <row r="122" spans="1:8" ht="60" hidden="1" outlineLevel="1" x14ac:dyDescent="0.25">
      <c r="A122" s="480"/>
      <c r="B122" s="481" t="s">
        <v>1721</v>
      </c>
      <c r="C122" s="482" t="s">
        <v>1749</v>
      </c>
      <c r="D122" s="482" t="s">
        <v>1723</v>
      </c>
      <c r="E122" s="481" t="s">
        <v>1724</v>
      </c>
      <c r="F122" s="479"/>
      <c r="G122" s="469"/>
      <c r="H122" s="469"/>
    </row>
    <row r="123" spans="1:8" ht="15" hidden="1" outlineLevel="1" x14ac:dyDescent="0.25">
      <c r="A123" s="483">
        <v>1</v>
      </c>
      <c r="B123" s="483">
        <v>105</v>
      </c>
      <c r="C123" s="484">
        <v>6</v>
      </c>
      <c r="D123" s="485">
        <f>(B123-100)/100*C123/12</f>
        <v>2.5000000000000001E-2</v>
      </c>
      <c r="E123" s="486">
        <f>1+D123</f>
        <v>1.0249999999999999</v>
      </c>
      <c r="F123" s="479"/>
      <c r="G123" s="469"/>
      <c r="H123" s="469"/>
    </row>
    <row r="124" spans="1:8" ht="15" hidden="1" outlineLevel="1" x14ac:dyDescent="0.25">
      <c r="A124" s="476" t="s">
        <v>1729</v>
      </c>
      <c r="B124" s="477"/>
      <c r="C124" s="477"/>
      <c r="D124" s="477"/>
      <c r="E124" s="478"/>
      <c r="F124" s="479"/>
      <c r="G124" s="469"/>
      <c r="H124" s="469"/>
    </row>
    <row r="125" spans="1:8" ht="60" hidden="1" outlineLevel="1" x14ac:dyDescent="0.25">
      <c r="A125" s="480"/>
      <c r="B125" s="481" t="s">
        <v>1725</v>
      </c>
      <c r="C125" s="482" t="s">
        <v>1750</v>
      </c>
      <c r="D125" s="482" t="s">
        <v>1727</v>
      </c>
      <c r="E125" s="481" t="s">
        <v>1728</v>
      </c>
      <c r="F125" s="479"/>
      <c r="G125" s="469"/>
      <c r="H125" s="469"/>
    </row>
    <row r="126" spans="1:8" ht="15" hidden="1" outlineLevel="1" x14ac:dyDescent="0.25">
      <c r="A126" s="483">
        <v>2</v>
      </c>
      <c r="B126" s="483">
        <v>105.1</v>
      </c>
      <c r="C126" s="484">
        <v>2.5</v>
      </c>
      <c r="D126" s="485">
        <f>(B126-100)/100*C126/12</f>
        <v>1.0999999999999999E-2</v>
      </c>
      <c r="E126" s="486">
        <f>1+D126</f>
        <v>1.0109999999999999</v>
      </c>
      <c r="F126" s="479"/>
      <c r="G126" s="469"/>
      <c r="H126" s="469"/>
    </row>
    <row r="127" spans="1:8" ht="15" hidden="1" outlineLevel="1" x14ac:dyDescent="0.25">
      <c r="A127" s="476" t="s">
        <v>1729</v>
      </c>
      <c r="B127" s="477"/>
      <c r="C127" s="477"/>
      <c r="D127" s="477"/>
      <c r="E127" s="478"/>
      <c r="F127" s="479"/>
      <c r="G127" s="469"/>
      <c r="H127" s="469"/>
    </row>
    <row r="128" spans="1:8" ht="60" hidden="1" outlineLevel="1" x14ac:dyDescent="0.25">
      <c r="A128" s="480"/>
      <c r="B128" s="481" t="s">
        <v>1725</v>
      </c>
      <c r="C128" s="482" t="s">
        <v>1751</v>
      </c>
      <c r="D128" s="482" t="s">
        <v>1731</v>
      </c>
      <c r="E128" s="487" t="s">
        <v>1732</v>
      </c>
      <c r="F128" s="479"/>
      <c r="G128" s="469"/>
      <c r="H128" s="469"/>
    </row>
    <row r="129" spans="1:9" ht="15" hidden="1" outlineLevel="1" x14ac:dyDescent="0.25">
      <c r="A129" s="483">
        <v>3</v>
      </c>
      <c r="B129" s="483">
        <v>105.1</v>
      </c>
      <c r="C129" s="484">
        <v>3.5</v>
      </c>
      <c r="D129" s="485">
        <f>(B129-100)/100*C129/12</f>
        <v>1.4999999999999999E-2</v>
      </c>
      <c r="E129" s="486">
        <f>1+0.5*D129</f>
        <v>1.008</v>
      </c>
      <c r="F129" s="479"/>
      <c r="G129" s="469"/>
      <c r="H129" s="469"/>
    </row>
    <row r="130" spans="1:9" ht="30" hidden="1" outlineLevel="1" x14ac:dyDescent="0.25">
      <c r="A130" s="494">
        <v>5</v>
      </c>
      <c r="B130" s="489" t="s">
        <v>1736</v>
      </c>
      <c r="C130" s="489"/>
      <c r="D130" s="487" t="s">
        <v>1752</v>
      </c>
      <c r="E130" s="490">
        <f>E123*E126*E129</f>
        <v>1.0449999999999999</v>
      </c>
      <c r="F130" s="479"/>
      <c r="G130" s="469"/>
      <c r="H130" s="469"/>
    </row>
    <row r="131" spans="1:9" ht="15" hidden="1" outlineLevel="1" x14ac:dyDescent="0.25">
      <c r="A131" s="495" t="s">
        <v>1738</v>
      </c>
      <c r="B131" s="496"/>
      <c r="C131" s="496"/>
      <c r="D131" s="496"/>
      <c r="E131" s="497"/>
      <c r="F131" s="479"/>
      <c r="G131" s="469"/>
      <c r="H131" s="469"/>
    </row>
    <row r="132" spans="1:9" ht="15" hidden="1" outlineLevel="1" x14ac:dyDescent="0.25">
      <c r="A132" s="503" t="s">
        <v>1753</v>
      </c>
      <c r="B132" s="504"/>
      <c r="C132" s="505"/>
      <c r="D132" s="501"/>
      <c r="E132" s="502">
        <f>AE63-S63</f>
        <v>90583</v>
      </c>
      <c r="F132" s="479"/>
      <c r="G132" s="469"/>
      <c r="H132" s="469"/>
    </row>
    <row r="133" spans="1:9" ht="15" hidden="1" outlineLevel="1" x14ac:dyDescent="0.25">
      <c r="A133" s="503" t="s">
        <v>1740</v>
      </c>
      <c r="B133" s="504"/>
      <c r="C133" s="505"/>
      <c r="D133" s="501"/>
      <c r="E133" s="506">
        <f>E130</f>
        <v>1.0449999999999999</v>
      </c>
      <c r="F133" s="479"/>
      <c r="G133" s="469"/>
      <c r="H133" s="469"/>
    </row>
    <row r="134" spans="1:9" ht="15" hidden="1" outlineLevel="1" x14ac:dyDescent="0.25">
      <c r="A134" s="507" t="s">
        <v>1741</v>
      </c>
      <c r="B134" s="508"/>
      <c r="C134" s="509"/>
      <c r="D134" s="465"/>
      <c r="E134" s="510">
        <f>E132*E133</f>
        <v>94659.24</v>
      </c>
      <c r="F134" s="479"/>
      <c r="G134" s="469"/>
      <c r="H134" s="469"/>
    </row>
    <row r="135" spans="1:9" ht="15" hidden="1" customHeight="1" outlineLevel="1" x14ac:dyDescent="0.25">
      <c r="A135" s="511" t="s">
        <v>1742</v>
      </c>
      <c r="B135" s="512"/>
      <c r="C135" s="513" t="s">
        <v>1743</v>
      </c>
      <c r="D135" s="513"/>
      <c r="E135" s="514">
        <f>E132+(E134-E132)*(1-30/100)</f>
        <v>93436.37</v>
      </c>
      <c r="F135" s="479">
        <f>E135/E132</f>
        <v>1.03150006071779</v>
      </c>
      <c r="G135" s="469"/>
      <c r="H135" s="469"/>
    </row>
    <row r="136" spans="1:9" hidden="1" outlineLevel="1" x14ac:dyDescent="0.2">
      <c r="A136" s="119"/>
      <c r="B136" s="119"/>
      <c r="C136" s="515" t="s">
        <v>1744</v>
      </c>
      <c r="D136" s="516"/>
      <c r="E136" s="517">
        <f>E135-E132</f>
        <v>2853.37</v>
      </c>
      <c r="F136" s="518"/>
      <c r="G136" s="469"/>
      <c r="H136" s="469"/>
    </row>
    <row r="137" spans="1:9" collapsed="1" x14ac:dyDescent="0.2"/>
    <row r="141" spans="1:9" x14ac:dyDescent="0.2">
      <c r="G141" s="519"/>
      <c r="I141" s="520"/>
    </row>
  </sheetData>
  <mergeCells count="31">
    <mergeCell ref="AJ6:AJ9"/>
    <mergeCell ref="AD6:AD9"/>
    <mergeCell ref="AE6:AE9"/>
    <mergeCell ref="AF6:AF9"/>
    <mergeCell ref="AG6:AG9"/>
    <mergeCell ref="AH6:AH9"/>
    <mergeCell ref="AI6:AI9"/>
    <mergeCell ref="AC6:AC9"/>
    <mergeCell ref="R6:R9"/>
    <mergeCell ref="S6:S9"/>
    <mergeCell ref="T6:T9"/>
    <mergeCell ref="U6:U9"/>
    <mergeCell ref="V6:V9"/>
    <mergeCell ref="W6:W9"/>
    <mergeCell ref="X6:X9"/>
    <mergeCell ref="Y6:Y9"/>
    <mergeCell ref="Z6:Z9"/>
    <mergeCell ref="AA6:AA9"/>
    <mergeCell ref="AB6:AB9"/>
    <mergeCell ref="Q6:Q9"/>
    <mergeCell ref="A6:A9"/>
    <mergeCell ref="B6:B9"/>
    <mergeCell ref="C6:C9"/>
    <mergeCell ref="I6:I9"/>
    <mergeCell ref="J6:J9"/>
    <mergeCell ref="K6:K9"/>
    <mergeCell ref="L6:L9"/>
    <mergeCell ref="M6:M9"/>
    <mergeCell ref="N6:N9"/>
    <mergeCell ref="O6:O9"/>
    <mergeCell ref="P6:P9"/>
  </mergeCells>
  <pageMargins left="0.42" right="0.25" top="0.5" bottom="0.52" header="0.3" footer="0.3"/>
  <pageSetup paperSize="9" scale="89" fitToHeight="10000" orientation="landscape" r:id="rId1"/>
  <headerFooter alignWithMargins="0">
    <oddHeader>&amp;LГРАНД-Смета 2019</oddHeader>
    <oddFooter>&amp;LД-ДРП-18-002-3995&amp;C01&amp;RСтраница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B190"/>
  <sheetViews>
    <sheetView zoomScale="70" zoomScaleNormal="70" zoomScaleSheetLayoutView="70" workbookViewId="0">
      <pane xSplit="5" ySplit="7" topLeftCell="F37" activePane="bottomRight" state="frozen"/>
      <selection pane="topRight" activeCell="F1" sqref="F1"/>
      <selection pane="bottomLeft" activeCell="A8" sqref="A8"/>
      <selection pane="bottomRight" activeCell="A42" sqref="A42:XFD42"/>
    </sheetView>
  </sheetViews>
  <sheetFormatPr defaultRowHeight="15.75" outlineLevelCol="1" x14ac:dyDescent="0.25"/>
  <cols>
    <col min="1" max="1" width="9.140625" style="287" customWidth="1" outlineLevel="1"/>
    <col min="2" max="2" width="12.85546875" style="287" customWidth="1"/>
    <col min="3" max="3" width="59.140625" style="287" customWidth="1"/>
    <col min="4" max="4" width="13.7109375" style="287" customWidth="1"/>
    <col min="5" max="5" width="12.5703125" style="287" customWidth="1"/>
    <col min="6" max="6" width="45.42578125" style="287" customWidth="1"/>
    <col min="7" max="7" width="15.42578125" style="287" customWidth="1"/>
    <col min="8" max="11" width="18.7109375" style="287" customWidth="1"/>
    <col min="12" max="12" width="20.5703125" style="287" customWidth="1"/>
    <col min="13" max="14" width="14.5703125" style="287" customWidth="1"/>
    <col min="15" max="15" width="22.28515625" style="287" customWidth="1"/>
    <col min="16" max="16" width="24.28515625" style="287" customWidth="1"/>
    <col min="17" max="17" width="23.28515625" style="287" customWidth="1"/>
    <col min="18" max="18" width="22.28515625" style="287" customWidth="1"/>
    <col min="19" max="23" width="21" style="287" customWidth="1"/>
    <col min="24" max="24" width="34.7109375" style="287" customWidth="1"/>
    <col min="25" max="25" width="10.7109375" style="287" customWidth="1"/>
    <col min="26" max="27" width="20.5703125" style="287" bestFit="1" customWidth="1"/>
    <col min="28" max="28" width="17.28515625" style="287" bestFit="1" customWidth="1"/>
    <col min="29" max="16384" width="9.140625" style="287"/>
  </cols>
  <sheetData>
    <row r="1" spans="1:24" s="286" customFormat="1" x14ac:dyDescent="0.25">
      <c r="B1" s="707" t="s">
        <v>2224</v>
      </c>
      <c r="C1" s="707"/>
      <c r="D1" s="707"/>
      <c r="E1" s="707"/>
      <c r="F1" s="707"/>
      <c r="G1" s="707"/>
      <c r="H1" s="707"/>
      <c r="I1" s="707"/>
      <c r="J1" s="707"/>
      <c r="K1" s="707"/>
      <c r="L1" s="707"/>
      <c r="M1" s="707"/>
      <c r="N1" s="707"/>
      <c r="O1" s="707"/>
      <c r="P1" s="707"/>
      <c r="Q1" s="707"/>
      <c r="R1" s="707"/>
      <c r="S1" s="707"/>
      <c r="T1" s="707"/>
      <c r="U1" s="707"/>
      <c r="V1" s="707"/>
      <c r="W1" s="707"/>
      <c r="X1" s="707"/>
    </row>
    <row r="2" spans="1:24" s="286" customFormat="1" x14ac:dyDescent="0.25">
      <c r="B2" s="708"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C2" s="708"/>
      <c r="D2" s="708"/>
      <c r="E2" s="708"/>
      <c r="F2" s="708"/>
      <c r="G2" s="708"/>
      <c r="H2" s="708"/>
      <c r="I2" s="708"/>
      <c r="J2" s="708"/>
      <c r="K2" s="708"/>
      <c r="L2" s="708"/>
      <c r="M2" s="708"/>
      <c r="N2" s="708"/>
      <c r="O2" s="708"/>
      <c r="P2" s="708"/>
      <c r="Q2" s="708"/>
      <c r="R2" s="708"/>
      <c r="S2" s="708"/>
      <c r="T2" s="708"/>
      <c r="U2" s="708"/>
      <c r="V2" s="708"/>
      <c r="W2" s="708"/>
      <c r="X2" s="708"/>
    </row>
    <row r="3" spans="1:24" x14ac:dyDescent="0.25">
      <c r="B3" s="541"/>
      <c r="C3" s="541"/>
      <c r="D3" s="541"/>
      <c r="E3" s="541"/>
      <c r="F3" s="541"/>
      <c r="G3" s="541"/>
      <c r="H3" s="541"/>
      <c r="I3" s="541"/>
      <c r="J3" s="541"/>
      <c r="K3" s="541"/>
      <c r="L3" s="541"/>
      <c r="M3" s="541"/>
      <c r="N3" s="541"/>
      <c r="O3" s="541"/>
      <c r="P3" s="541"/>
      <c r="Q3" s="541"/>
      <c r="R3" s="541"/>
      <c r="S3" s="541"/>
      <c r="T3" s="541"/>
      <c r="U3" s="541"/>
      <c r="V3" s="541"/>
      <c r="W3" s="541"/>
    </row>
    <row r="4" spans="1:24" ht="51" customHeight="1" x14ac:dyDescent="0.25">
      <c r="A4" s="709" t="s">
        <v>820</v>
      </c>
      <c r="B4" s="710" t="s">
        <v>153</v>
      </c>
      <c r="C4" s="711" t="s">
        <v>821</v>
      </c>
      <c r="D4" s="711" t="s">
        <v>3</v>
      </c>
      <c r="E4" s="710" t="s">
        <v>822</v>
      </c>
      <c r="F4" s="711" t="s">
        <v>823</v>
      </c>
      <c r="G4" s="710" t="s">
        <v>824</v>
      </c>
      <c r="H4" s="710" t="s">
        <v>2218</v>
      </c>
      <c r="I4" s="922" t="s">
        <v>2213</v>
      </c>
      <c r="J4" s="923"/>
      <c r="K4" s="924"/>
      <c r="L4" s="710" t="s">
        <v>2219</v>
      </c>
      <c r="M4" s="710" t="s">
        <v>825</v>
      </c>
      <c r="N4" s="710" t="s">
        <v>826</v>
      </c>
      <c r="O4" s="710" t="s">
        <v>2220</v>
      </c>
      <c r="P4" s="710" t="s">
        <v>834</v>
      </c>
      <c r="Q4" s="710" t="s">
        <v>827</v>
      </c>
      <c r="R4" s="710" t="s">
        <v>828</v>
      </c>
      <c r="S4" s="710" t="s">
        <v>2221</v>
      </c>
      <c r="T4" s="712" t="s">
        <v>2211</v>
      </c>
      <c r="U4" s="710" t="s">
        <v>2222</v>
      </c>
      <c r="V4" s="712" t="s">
        <v>2212</v>
      </c>
      <c r="W4" s="710" t="s">
        <v>2223</v>
      </c>
      <c r="X4" s="710" t="s">
        <v>829</v>
      </c>
    </row>
    <row r="5" spans="1:24" ht="51" customHeight="1" x14ac:dyDescent="0.25">
      <c r="A5" s="709"/>
      <c r="B5" s="710"/>
      <c r="C5" s="711"/>
      <c r="D5" s="711"/>
      <c r="E5" s="710"/>
      <c r="F5" s="711"/>
      <c r="G5" s="710"/>
      <c r="H5" s="710"/>
      <c r="I5" s="925" t="s">
        <v>2214</v>
      </c>
      <c r="J5" s="925" t="s">
        <v>2215</v>
      </c>
      <c r="K5" s="925" t="s">
        <v>2228</v>
      </c>
      <c r="L5" s="710"/>
      <c r="M5" s="710"/>
      <c r="N5" s="710"/>
      <c r="O5" s="710"/>
      <c r="P5" s="710"/>
      <c r="Q5" s="710"/>
      <c r="R5" s="710"/>
      <c r="S5" s="710"/>
      <c r="T5" s="712"/>
      <c r="U5" s="710"/>
      <c r="V5" s="712"/>
      <c r="W5" s="710"/>
      <c r="X5" s="710"/>
    </row>
    <row r="6" spans="1:24" ht="51" customHeight="1" x14ac:dyDescent="0.25">
      <c r="A6" s="709"/>
      <c r="B6" s="710"/>
      <c r="C6" s="711"/>
      <c r="D6" s="711"/>
      <c r="E6" s="710"/>
      <c r="F6" s="711"/>
      <c r="G6" s="710"/>
      <c r="H6" s="710"/>
      <c r="I6" s="926"/>
      <c r="J6" s="926"/>
      <c r="K6" s="926"/>
      <c r="L6" s="710"/>
      <c r="M6" s="710"/>
      <c r="N6" s="710"/>
      <c r="O6" s="710"/>
      <c r="P6" s="711"/>
      <c r="Q6" s="710"/>
      <c r="R6" s="710"/>
      <c r="S6" s="710"/>
      <c r="T6" s="712"/>
      <c r="U6" s="710"/>
      <c r="V6" s="712"/>
      <c r="W6" s="710"/>
      <c r="X6" s="710"/>
    </row>
    <row r="7" spans="1:24" x14ac:dyDescent="0.25">
      <c r="A7" s="289"/>
      <c r="B7" s="539">
        <v>1</v>
      </c>
      <c r="C7" s="540">
        <v>2</v>
      </c>
      <c r="D7" s="539">
        <v>3</v>
      </c>
      <c r="E7" s="540">
        <v>4</v>
      </c>
      <c r="F7" s="539">
        <v>5</v>
      </c>
      <c r="G7" s="540">
        <v>6</v>
      </c>
      <c r="H7" s="540">
        <v>7</v>
      </c>
      <c r="I7" s="594" t="s">
        <v>2225</v>
      </c>
      <c r="J7" s="594" t="s">
        <v>2226</v>
      </c>
      <c r="K7" s="594" t="s">
        <v>2227</v>
      </c>
      <c r="L7" s="539">
        <v>8</v>
      </c>
      <c r="M7" s="540">
        <v>9</v>
      </c>
      <c r="N7" s="539">
        <v>10</v>
      </c>
      <c r="O7" s="540">
        <v>11</v>
      </c>
      <c r="P7" s="539">
        <v>12</v>
      </c>
      <c r="Q7" s="540">
        <v>13</v>
      </c>
      <c r="R7" s="539">
        <v>14</v>
      </c>
      <c r="S7" s="540">
        <v>15</v>
      </c>
      <c r="T7" s="540">
        <v>16</v>
      </c>
      <c r="U7" s="539">
        <v>17</v>
      </c>
      <c r="V7" s="540">
        <v>18</v>
      </c>
      <c r="W7" s="539">
        <v>19</v>
      </c>
      <c r="X7" s="540">
        <v>20</v>
      </c>
    </row>
    <row r="8" spans="1:24" s="547" customFormat="1" x14ac:dyDescent="0.25">
      <c r="A8" s="546">
        <v>1</v>
      </c>
      <c r="B8" s="548">
        <v>1</v>
      </c>
      <c r="C8" s="549" t="s">
        <v>2214</v>
      </c>
      <c r="D8" s="550"/>
      <c r="E8" s="549"/>
      <c r="F8" s="550"/>
      <c r="G8" s="551"/>
      <c r="H8" s="549"/>
      <c r="I8" s="549"/>
      <c r="J8" s="549"/>
      <c r="K8" s="549"/>
      <c r="L8" s="595">
        <f>SUM(L9:L12)</f>
        <v>35940299.229999997</v>
      </c>
      <c r="M8" s="549"/>
      <c r="N8" s="550"/>
      <c r="O8" s="595">
        <f>SUM(O9:O12)</f>
        <v>35940299.229999997</v>
      </c>
      <c r="P8" s="550"/>
      <c r="Q8" s="549"/>
      <c r="R8" s="550"/>
      <c r="S8" s="595">
        <f>SUM(S9:S12)</f>
        <v>35940299.229999997</v>
      </c>
      <c r="T8" s="549"/>
      <c r="U8" s="595">
        <f>SUM(U9:U12)</f>
        <v>35940299.229999997</v>
      </c>
      <c r="V8" s="549"/>
      <c r="W8" s="595">
        <f>SUM(W9:W12)</f>
        <v>35940299.229999997</v>
      </c>
      <c r="X8" s="549"/>
    </row>
    <row r="9" spans="1:24" s="311" customFormat="1" x14ac:dyDescent="0.25">
      <c r="A9" s="545">
        <v>2</v>
      </c>
      <c r="B9" s="552" t="str">
        <f t="shared" ref="B9:B61" ca="1" si="0">IF(A9&gt;OFFSET(A9,-1,0),OFFSET(B9,-1,0)&amp;"."&amp;1,LEFT(OFFSET(B9,-1,0),SEARCH("^^",SUBSTITUTE("."&amp;OFFSET(B9,-1,0),".","^^",A9))-1)&amp;1--MID(OFFSET(B9,-1,0),SEARCH("^^",SUBSTITUTE("."&amp;OFFSET(B9,-1,0),".","^^",A9)),SEARCH("^^",SUBSTITUTE(OFFSET(B9,-1,0)&amp;".",".","^^",A9))-SEARCH("^^",SUBSTITUTE("."&amp;OFFSET(B9,-1,0),".","^^",A9))))</f>
        <v>1.1</v>
      </c>
      <c r="C9" s="357" t="s">
        <v>104</v>
      </c>
      <c r="D9" s="358" t="s">
        <v>35</v>
      </c>
      <c r="E9" s="357">
        <v>1</v>
      </c>
      <c r="F9" s="358" t="s">
        <v>2217</v>
      </c>
      <c r="G9" s="553">
        <v>46204</v>
      </c>
      <c r="H9" s="350">
        <f>'Cводная смета ПИР'!$G$20</f>
        <v>14929390.67</v>
      </c>
      <c r="I9" s="350">
        <f>H9</f>
        <v>14929390.67</v>
      </c>
      <c r="J9" s="357"/>
      <c r="K9" s="357"/>
      <c r="L9" s="575">
        <f>E9*H9</f>
        <v>14929390.67</v>
      </c>
      <c r="M9" s="357">
        <v>1</v>
      </c>
      <c r="N9" s="358">
        <v>1</v>
      </c>
      <c r="O9" s="351">
        <f>L9*M9*N9</f>
        <v>14929390.67</v>
      </c>
      <c r="P9" s="358">
        <v>1</v>
      </c>
      <c r="Q9" s="357">
        <v>1</v>
      </c>
      <c r="R9" s="358">
        <v>1</v>
      </c>
      <c r="S9" s="561">
        <f>O9*P9*Q9*R9</f>
        <v>14929390.67</v>
      </c>
      <c r="T9" s="563">
        <v>1</v>
      </c>
      <c r="U9" s="564">
        <f>S9*T9</f>
        <v>14929390.67</v>
      </c>
      <c r="V9" s="565">
        <v>1</v>
      </c>
      <c r="W9" s="564">
        <f>U9*V9</f>
        <v>14929390.67</v>
      </c>
      <c r="X9" s="357"/>
    </row>
    <row r="10" spans="1:24" s="311" customFormat="1" x14ac:dyDescent="0.25">
      <c r="A10" s="545">
        <v>2</v>
      </c>
      <c r="B10" s="552" t="str">
        <f t="shared" ca="1" si="0"/>
        <v>1.2</v>
      </c>
      <c r="C10" s="357" t="s">
        <v>0</v>
      </c>
      <c r="D10" s="358" t="s">
        <v>35</v>
      </c>
      <c r="E10" s="357">
        <v>1</v>
      </c>
      <c r="F10" s="358" t="s">
        <v>2217</v>
      </c>
      <c r="G10" s="553">
        <v>46204</v>
      </c>
      <c r="H10" s="350">
        <f>'Cводная смета ПИР'!$G$22</f>
        <v>19300107</v>
      </c>
      <c r="I10" s="350">
        <f>H10</f>
        <v>19300107</v>
      </c>
      <c r="J10" s="357"/>
      <c r="K10" s="357"/>
      <c r="L10" s="575">
        <f>E10*H10</f>
        <v>19300107</v>
      </c>
      <c r="M10" s="357">
        <v>1</v>
      </c>
      <c r="N10" s="358">
        <v>1</v>
      </c>
      <c r="O10" s="351">
        <f>L10*M10*N10</f>
        <v>19300107</v>
      </c>
      <c r="P10" s="358">
        <v>1</v>
      </c>
      <c r="Q10" s="357">
        <v>1</v>
      </c>
      <c r="R10" s="358">
        <v>1</v>
      </c>
      <c r="S10" s="561">
        <f>O10*P10*Q10*R10</f>
        <v>19300107</v>
      </c>
      <c r="T10" s="563">
        <v>1</v>
      </c>
      <c r="U10" s="564">
        <f>S10*T10</f>
        <v>19300107</v>
      </c>
      <c r="V10" s="565">
        <v>1</v>
      </c>
      <c r="W10" s="564">
        <f>U10*V10</f>
        <v>19300107</v>
      </c>
      <c r="X10" s="357"/>
    </row>
    <row r="11" spans="1:24" s="311" customFormat="1" x14ac:dyDescent="0.25">
      <c r="A11" s="545">
        <v>2</v>
      </c>
      <c r="B11" s="552" t="str">
        <f t="shared" ca="1" si="0"/>
        <v>1.3</v>
      </c>
      <c r="C11" s="357" t="s">
        <v>2355</v>
      </c>
      <c r="D11" s="358" t="s">
        <v>2356</v>
      </c>
      <c r="E11" s="626">
        <v>1</v>
      </c>
      <c r="F11" s="573"/>
      <c r="G11" s="625"/>
      <c r="H11" s="355"/>
      <c r="I11" s="355"/>
      <c r="J11" s="357"/>
      <c r="K11" s="357"/>
      <c r="L11" s="575"/>
      <c r="M11" s="357"/>
      <c r="N11" s="358"/>
      <c r="O11" s="351"/>
      <c r="P11" s="358"/>
      <c r="Q11" s="357"/>
      <c r="R11" s="358"/>
      <c r="S11" s="561"/>
      <c r="T11" s="563"/>
      <c r="U11" s="564"/>
      <c r="V11" s="565"/>
      <c r="W11" s="564"/>
      <c r="X11" s="357"/>
    </row>
    <row r="12" spans="1:24" s="311" customFormat="1" x14ac:dyDescent="0.25">
      <c r="A12" s="545">
        <v>2</v>
      </c>
      <c r="B12" s="552" t="str">
        <f t="shared" ca="1" si="0"/>
        <v>1.4</v>
      </c>
      <c r="C12" s="357" t="s">
        <v>151</v>
      </c>
      <c r="D12" s="358" t="s">
        <v>35</v>
      </c>
      <c r="E12" s="357">
        <v>1</v>
      </c>
      <c r="F12" s="358" t="s">
        <v>2217</v>
      </c>
      <c r="G12" s="553">
        <v>46204</v>
      </c>
      <c r="H12" s="350">
        <f>'Cводная смета ПИР'!$G$23</f>
        <v>1710801.56</v>
      </c>
      <c r="I12" s="350">
        <f>H12</f>
        <v>1710801.56</v>
      </c>
      <c r="J12" s="357"/>
      <c r="K12" s="357"/>
      <c r="L12" s="575">
        <f>E12*H12</f>
        <v>1710801.56</v>
      </c>
      <c r="M12" s="357">
        <v>1</v>
      </c>
      <c r="N12" s="358">
        <v>1</v>
      </c>
      <c r="O12" s="351">
        <f>L12*M12*N12</f>
        <v>1710801.56</v>
      </c>
      <c r="P12" s="358">
        <v>1</v>
      </c>
      <c r="Q12" s="357">
        <v>1</v>
      </c>
      <c r="R12" s="358">
        <v>1</v>
      </c>
      <c r="S12" s="561">
        <f>O12*P12*Q12*R12</f>
        <v>1710801.56</v>
      </c>
      <c r="T12" s="563">
        <v>1</v>
      </c>
      <c r="U12" s="564">
        <f>S12*T12</f>
        <v>1710801.56</v>
      </c>
      <c r="V12" s="565">
        <v>1</v>
      </c>
      <c r="W12" s="564">
        <f>U12*V12</f>
        <v>1710801.56</v>
      </c>
      <c r="X12" s="357"/>
    </row>
    <row r="13" spans="1:24" s="311" customFormat="1" x14ac:dyDescent="0.25">
      <c r="A13" s="545">
        <v>2</v>
      </c>
      <c r="B13" s="552" t="str">
        <f t="shared" ca="1" si="0"/>
        <v>1.5</v>
      </c>
      <c r="C13" s="357" t="s">
        <v>2357</v>
      </c>
      <c r="D13" s="358" t="s">
        <v>2356</v>
      </c>
      <c r="E13" s="626">
        <v>1</v>
      </c>
      <c r="F13" s="573"/>
      <c r="G13" s="625"/>
      <c r="H13" s="355"/>
      <c r="I13" s="355"/>
      <c r="J13" s="357"/>
      <c r="K13" s="357"/>
      <c r="L13" s="575"/>
      <c r="M13" s="357"/>
      <c r="N13" s="358"/>
      <c r="O13" s="351"/>
      <c r="P13" s="358"/>
      <c r="Q13" s="357"/>
      <c r="R13" s="358"/>
      <c r="S13" s="561"/>
      <c r="T13" s="563"/>
      <c r="U13" s="564"/>
      <c r="V13" s="565"/>
      <c r="W13" s="564"/>
      <c r="X13" s="357"/>
    </row>
    <row r="14" spans="1:24" s="547" customFormat="1" x14ac:dyDescent="0.25">
      <c r="A14" s="546">
        <v>1</v>
      </c>
      <c r="B14" s="548" t="str">
        <f t="shared" ca="1" si="0"/>
        <v>2</v>
      </c>
      <c r="C14" s="549" t="s">
        <v>2216</v>
      </c>
      <c r="D14" s="550"/>
      <c r="E14" s="549"/>
      <c r="F14" s="554"/>
      <c r="G14" s="551">
        <v>46204</v>
      </c>
      <c r="H14" s="555" t="e">
        <f>SUM(H15:H15)</f>
        <v>#REF!</v>
      </c>
      <c r="I14" s="555" t="e">
        <f>SUM(I15:I15)</f>
        <v>#REF!</v>
      </c>
      <c r="J14" s="549"/>
      <c r="K14" s="549"/>
      <c r="L14" s="555" t="e">
        <f>SUM(L15:L15)</f>
        <v>#REF!</v>
      </c>
      <c r="M14" s="549"/>
      <c r="N14" s="550"/>
      <c r="O14" s="555" t="e">
        <f>SUM(O15:O15)</f>
        <v>#REF!</v>
      </c>
      <c r="P14" s="550"/>
      <c r="Q14" s="549"/>
      <c r="R14" s="550"/>
      <c r="S14" s="555" t="e">
        <f>SUM(S15:S15)</f>
        <v>#REF!</v>
      </c>
      <c r="T14" s="549"/>
      <c r="U14" s="555" t="e">
        <f>SUM(U15:U15)</f>
        <v>#REF!</v>
      </c>
      <c r="V14" s="549"/>
      <c r="W14" s="555" t="e">
        <f>SUM(W15:W15)</f>
        <v>#REF!</v>
      </c>
      <c r="X14" s="549"/>
    </row>
    <row r="15" spans="1:24" s="547" customFormat="1" x14ac:dyDescent="0.25">
      <c r="A15" s="546">
        <v>2</v>
      </c>
      <c r="B15" s="552" t="str">
        <f t="shared" ca="1" si="0"/>
        <v>2.1</v>
      </c>
      <c r="C15" s="357" t="s">
        <v>2216</v>
      </c>
      <c r="D15" s="358" t="s">
        <v>35</v>
      </c>
      <c r="E15" s="357">
        <v>1</v>
      </c>
      <c r="F15" s="358" t="s">
        <v>1401</v>
      </c>
      <c r="G15" s="553">
        <v>46204</v>
      </c>
      <c r="H15" s="350" t="e">
        <f>#REF!</f>
        <v>#REF!</v>
      </c>
      <c r="I15" s="350" t="e">
        <f>H15</f>
        <v>#REF!</v>
      </c>
      <c r="J15" s="578"/>
      <c r="K15" s="578"/>
      <c r="L15" s="575" t="e">
        <f>E15*H15</f>
        <v>#REF!</v>
      </c>
      <c r="M15" s="357">
        <v>1</v>
      </c>
      <c r="N15" s="358">
        <v>1</v>
      </c>
      <c r="O15" s="351" t="e">
        <f>L15*M15*N15</f>
        <v>#REF!</v>
      </c>
      <c r="P15" s="358">
        <v>1</v>
      </c>
      <c r="Q15" s="357">
        <v>1</v>
      </c>
      <c r="R15" s="358">
        <v>1</v>
      </c>
      <c r="S15" s="561" t="e">
        <f>O15*P15*Q15*R15</f>
        <v>#REF!</v>
      </c>
      <c r="T15" s="563">
        <v>1</v>
      </c>
      <c r="U15" s="564" t="e">
        <f>S15*T15</f>
        <v>#REF!</v>
      </c>
      <c r="V15" s="565">
        <v>1</v>
      </c>
      <c r="W15" s="564" t="e">
        <f>U15*V15</f>
        <v>#REF!</v>
      </c>
      <c r="X15" s="578"/>
    </row>
    <row r="16" spans="1:24" s="547" customFormat="1" ht="47.25" x14ac:dyDescent="0.25">
      <c r="A16" s="546">
        <v>1</v>
      </c>
      <c r="B16" s="548" t="str">
        <f t="shared" ca="1" si="0"/>
        <v>3</v>
      </c>
      <c r="C16" s="550" t="s">
        <v>2232</v>
      </c>
      <c r="D16" s="550"/>
      <c r="E16" s="549"/>
      <c r="F16" s="554"/>
      <c r="G16" s="551"/>
      <c r="H16" s="555"/>
      <c r="I16" s="555"/>
      <c r="J16" s="549"/>
      <c r="K16" s="549"/>
      <c r="L16" s="595">
        <f>L17+L18+L19+L20+L21+L22+L23+L24+L52+L105</f>
        <v>2438454904.3000002</v>
      </c>
      <c r="M16" s="549"/>
      <c r="N16" s="550"/>
      <c r="O16" s="595">
        <f>O17+O18+O19+O20+O21+O22+O23+O24+O52+O105</f>
        <v>2459271612.52</v>
      </c>
      <c r="P16" s="550"/>
      <c r="Q16" s="549"/>
      <c r="R16" s="550"/>
      <c r="S16" s="595">
        <f>S17+S18+S19+S20+S21+S22+S23+S24+S52+S105</f>
        <v>2423467882.3000002</v>
      </c>
      <c r="T16" s="549"/>
      <c r="U16" s="595">
        <f>U17+U18+U19+U20+U21+U22+U23+U24+U52+U105</f>
        <v>2423467882.3000002</v>
      </c>
      <c r="V16" s="549"/>
      <c r="W16" s="595">
        <f>W17+W18+W19+W20+W21+W22+W23+W24+W52+W105</f>
        <v>2423467882.3000002</v>
      </c>
      <c r="X16" s="549"/>
    </row>
    <row r="17" spans="1:27" s="547" customFormat="1" ht="63" x14ac:dyDescent="0.25">
      <c r="A17" s="385">
        <v>2</v>
      </c>
      <c r="B17" s="552" t="str">
        <f t="shared" ca="1" si="0"/>
        <v>3.1</v>
      </c>
      <c r="C17" s="356" t="s">
        <v>2233</v>
      </c>
      <c r="D17" s="358" t="s">
        <v>2234</v>
      </c>
      <c r="E17" s="357">
        <f>8</f>
        <v>8</v>
      </c>
      <c r="F17" s="358" t="s">
        <v>2235</v>
      </c>
      <c r="G17" s="553">
        <v>46204</v>
      </c>
      <c r="H17" s="350">
        <f>1465109832/8</f>
        <v>183138729</v>
      </c>
      <c r="I17" s="581"/>
      <c r="J17" s="578"/>
      <c r="K17" s="578"/>
      <c r="L17" s="575">
        <f t="shared" ref="L17:L23" si="1">E17*H17</f>
        <v>1465109832</v>
      </c>
      <c r="M17" s="357">
        <v>1</v>
      </c>
      <c r="N17" s="358">
        <v>1</v>
      </c>
      <c r="O17" s="351">
        <f t="shared" ref="O17:O23" si="2">L17*M17*N17</f>
        <v>1465109832</v>
      </c>
      <c r="P17" s="358">
        <v>1</v>
      </c>
      <c r="Q17" s="357">
        <v>1</v>
      </c>
      <c r="R17" s="358">
        <v>1</v>
      </c>
      <c r="S17" s="561">
        <f t="shared" ref="S17:S23" si="3">O17*P17*Q17*R17</f>
        <v>1465109832</v>
      </c>
      <c r="T17" s="357">
        <v>1</v>
      </c>
      <c r="U17" s="564">
        <f t="shared" ref="U17:U23" si="4">S17*T17</f>
        <v>1465109832</v>
      </c>
      <c r="V17" s="357">
        <v>1</v>
      </c>
      <c r="W17" s="564">
        <f t="shared" ref="W17:W23" si="5">U17*V17</f>
        <v>1465109832</v>
      </c>
      <c r="X17" s="578"/>
    </row>
    <row r="18" spans="1:27" s="547" customFormat="1" ht="31.5" x14ac:dyDescent="0.25">
      <c r="A18" s="385">
        <v>2</v>
      </c>
      <c r="B18" s="552" t="str">
        <f t="shared" ca="1" si="0"/>
        <v>3.2</v>
      </c>
      <c r="C18" s="356" t="s">
        <v>2236</v>
      </c>
      <c r="D18" s="358" t="s">
        <v>2234</v>
      </c>
      <c r="E18" s="357">
        <v>1</v>
      </c>
      <c r="F18" s="358" t="s">
        <v>2235</v>
      </c>
      <c r="G18" s="553">
        <v>46204</v>
      </c>
      <c r="H18" s="350">
        <f>159969078</f>
        <v>159969078</v>
      </c>
      <c r="I18" s="581"/>
      <c r="J18" s="578"/>
      <c r="K18" s="578"/>
      <c r="L18" s="575">
        <f t="shared" si="1"/>
        <v>159969078</v>
      </c>
      <c r="M18" s="357">
        <v>1</v>
      </c>
      <c r="N18" s="358">
        <v>1</v>
      </c>
      <c r="O18" s="351">
        <f t="shared" si="2"/>
        <v>159969078</v>
      </c>
      <c r="P18" s="358">
        <v>1</v>
      </c>
      <c r="Q18" s="357">
        <v>1</v>
      </c>
      <c r="R18" s="358">
        <v>1</v>
      </c>
      <c r="S18" s="561">
        <f t="shared" si="3"/>
        <v>159969078</v>
      </c>
      <c r="T18" s="357">
        <v>1</v>
      </c>
      <c r="U18" s="564">
        <f t="shared" si="4"/>
        <v>159969078</v>
      </c>
      <c r="V18" s="357">
        <v>1</v>
      </c>
      <c r="W18" s="564">
        <f t="shared" si="5"/>
        <v>159969078</v>
      </c>
      <c r="X18" s="578"/>
    </row>
    <row r="19" spans="1:27" s="547" customFormat="1" ht="31.5" x14ac:dyDescent="0.25">
      <c r="A19" s="385">
        <v>2</v>
      </c>
      <c r="B19" s="552" t="str">
        <f t="shared" ca="1" si="0"/>
        <v>3.3</v>
      </c>
      <c r="C19" s="356" t="s">
        <v>2237</v>
      </c>
      <c r="D19" s="358" t="s">
        <v>2234</v>
      </c>
      <c r="E19" s="357">
        <v>1</v>
      </c>
      <c r="F19" s="358" t="s">
        <v>2235</v>
      </c>
      <c r="G19" s="553">
        <v>46204</v>
      </c>
      <c r="H19" s="350">
        <f>21454343</f>
        <v>21454343</v>
      </c>
      <c r="I19" s="581"/>
      <c r="J19" s="578"/>
      <c r="K19" s="578"/>
      <c r="L19" s="575">
        <f t="shared" si="1"/>
        <v>21454343</v>
      </c>
      <c r="M19" s="357">
        <v>1</v>
      </c>
      <c r="N19" s="358">
        <v>1</v>
      </c>
      <c r="O19" s="351">
        <f t="shared" si="2"/>
        <v>21454343</v>
      </c>
      <c r="P19" s="358">
        <v>1</v>
      </c>
      <c r="Q19" s="357">
        <v>1</v>
      </c>
      <c r="R19" s="358">
        <v>1</v>
      </c>
      <c r="S19" s="561">
        <f t="shared" si="3"/>
        <v>21454343</v>
      </c>
      <c r="T19" s="357">
        <v>1</v>
      </c>
      <c r="U19" s="564">
        <f t="shared" si="4"/>
        <v>21454343</v>
      </c>
      <c r="V19" s="357">
        <v>1</v>
      </c>
      <c r="W19" s="564">
        <f t="shared" si="5"/>
        <v>21454343</v>
      </c>
      <c r="X19" s="578"/>
    </row>
    <row r="20" spans="1:27" s="547" customFormat="1" ht="31.5" x14ac:dyDescent="0.25">
      <c r="A20" s="385">
        <v>2</v>
      </c>
      <c r="B20" s="552" t="str">
        <f t="shared" ca="1" si="0"/>
        <v>3.4</v>
      </c>
      <c r="C20" s="356" t="s">
        <v>2238</v>
      </c>
      <c r="D20" s="358" t="s">
        <v>2234</v>
      </c>
      <c r="E20" s="357">
        <v>1</v>
      </c>
      <c r="F20" s="358" t="s">
        <v>2235</v>
      </c>
      <c r="G20" s="553">
        <v>46204</v>
      </c>
      <c r="H20" s="350">
        <f>41718197</f>
        <v>41718197</v>
      </c>
      <c r="I20" s="581"/>
      <c r="J20" s="578"/>
      <c r="K20" s="578"/>
      <c r="L20" s="575">
        <f t="shared" si="1"/>
        <v>41718197</v>
      </c>
      <c r="M20" s="357">
        <v>1</v>
      </c>
      <c r="N20" s="358">
        <v>1</v>
      </c>
      <c r="O20" s="351">
        <f t="shared" si="2"/>
        <v>41718197</v>
      </c>
      <c r="P20" s="358">
        <v>1</v>
      </c>
      <c r="Q20" s="357">
        <v>1</v>
      </c>
      <c r="R20" s="358">
        <v>1</v>
      </c>
      <c r="S20" s="561">
        <f t="shared" si="3"/>
        <v>41718197</v>
      </c>
      <c r="T20" s="357">
        <v>1</v>
      </c>
      <c r="U20" s="564">
        <f t="shared" si="4"/>
        <v>41718197</v>
      </c>
      <c r="V20" s="357">
        <v>1</v>
      </c>
      <c r="W20" s="564">
        <f t="shared" si="5"/>
        <v>41718197</v>
      </c>
      <c r="X20" s="578"/>
    </row>
    <row r="21" spans="1:27" s="603" customFormat="1" ht="31.5" x14ac:dyDescent="0.25">
      <c r="A21" s="603">
        <v>2</v>
      </c>
      <c r="B21" s="604" t="str">
        <f t="shared" ca="1" si="0"/>
        <v>3.5</v>
      </c>
      <c r="C21" s="605" t="s">
        <v>2240</v>
      </c>
      <c r="D21" s="606" t="s">
        <v>2234</v>
      </c>
      <c r="E21" s="607">
        <v>1</v>
      </c>
      <c r="F21" s="606" t="s">
        <v>2235</v>
      </c>
      <c r="G21" s="608">
        <v>46204</v>
      </c>
      <c r="H21" s="609">
        <f>124029618.2</f>
        <v>124029618.2</v>
      </c>
      <c r="I21" s="610"/>
      <c r="J21" s="611"/>
      <c r="K21" s="611"/>
      <c r="L21" s="612">
        <f t="shared" si="1"/>
        <v>124029618.2</v>
      </c>
      <c r="M21" s="607">
        <v>1</v>
      </c>
      <c r="N21" s="606">
        <v>1</v>
      </c>
      <c r="O21" s="609">
        <f t="shared" si="2"/>
        <v>124029618.2</v>
      </c>
      <c r="P21" s="606">
        <v>1</v>
      </c>
      <c r="Q21" s="607">
        <v>1</v>
      </c>
      <c r="R21" s="606">
        <v>1</v>
      </c>
      <c r="S21" s="609">
        <f t="shared" si="3"/>
        <v>124029618.2</v>
      </c>
      <c r="T21" s="607">
        <v>1</v>
      </c>
      <c r="U21" s="613">
        <f t="shared" si="4"/>
        <v>124029618.2</v>
      </c>
      <c r="V21" s="607">
        <v>1</v>
      </c>
      <c r="W21" s="613">
        <f t="shared" si="5"/>
        <v>124029618.2</v>
      </c>
      <c r="X21" s="611"/>
    </row>
    <row r="22" spans="1:27" s="603" customFormat="1" ht="31.5" x14ac:dyDescent="0.25">
      <c r="A22" s="603">
        <v>2</v>
      </c>
      <c r="B22" s="604" t="str">
        <f t="shared" ca="1" si="0"/>
        <v>3.6</v>
      </c>
      <c r="C22" s="605" t="s">
        <v>2241</v>
      </c>
      <c r="D22" s="606" t="s">
        <v>2234</v>
      </c>
      <c r="E22" s="607">
        <v>1</v>
      </c>
      <c r="F22" s="606" t="s">
        <v>2235</v>
      </c>
      <c r="G22" s="608">
        <v>46204</v>
      </c>
      <c r="H22" s="609">
        <f>219766474.8</f>
        <v>219766474.80000001</v>
      </c>
      <c r="I22" s="610"/>
      <c r="J22" s="611"/>
      <c r="K22" s="611"/>
      <c r="L22" s="612">
        <f t="shared" si="1"/>
        <v>219766474.80000001</v>
      </c>
      <c r="M22" s="607">
        <v>1</v>
      </c>
      <c r="N22" s="606">
        <v>1</v>
      </c>
      <c r="O22" s="609">
        <f t="shared" si="2"/>
        <v>219766474.80000001</v>
      </c>
      <c r="P22" s="606">
        <v>1</v>
      </c>
      <c r="Q22" s="607">
        <v>1</v>
      </c>
      <c r="R22" s="606">
        <v>1</v>
      </c>
      <c r="S22" s="609">
        <f t="shared" si="3"/>
        <v>219766474.80000001</v>
      </c>
      <c r="T22" s="607">
        <v>1</v>
      </c>
      <c r="U22" s="613">
        <f t="shared" si="4"/>
        <v>219766474.80000001</v>
      </c>
      <c r="V22" s="607">
        <v>1</v>
      </c>
      <c r="W22" s="613">
        <f t="shared" si="5"/>
        <v>219766474.80000001</v>
      </c>
      <c r="X22" s="611"/>
    </row>
    <row r="23" spans="1:27" s="547" customFormat="1" ht="31.5" x14ac:dyDescent="0.25">
      <c r="A23" s="385">
        <v>2</v>
      </c>
      <c r="B23" s="552" t="str">
        <f t="shared" ca="1" si="0"/>
        <v>3.7</v>
      </c>
      <c r="C23" s="356" t="s">
        <v>2239</v>
      </c>
      <c r="D23" s="358" t="s">
        <v>2234</v>
      </c>
      <c r="E23" s="357">
        <v>1</v>
      </c>
      <c r="F23" s="358" t="s">
        <v>2235</v>
      </c>
      <c r="G23" s="553">
        <v>46204</v>
      </c>
      <c r="H23" s="350">
        <f>39515092</f>
        <v>39515092</v>
      </c>
      <c r="I23" s="581"/>
      <c r="J23" s="578"/>
      <c r="K23" s="578"/>
      <c r="L23" s="575">
        <f t="shared" si="1"/>
        <v>39515092</v>
      </c>
      <c r="M23" s="357">
        <v>1</v>
      </c>
      <c r="N23" s="358">
        <v>1</v>
      </c>
      <c r="O23" s="351">
        <f t="shared" si="2"/>
        <v>39515092</v>
      </c>
      <c r="P23" s="358">
        <v>1</v>
      </c>
      <c r="Q23" s="357">
        <v>1</v>
      </c>
      <c r="R23" s="358">
        <v>1</v>
      </c>
      <c r="S23" s="561">
        <f t="shared" si="3"/>
        <v>39515092</v>
      </c>
      <c r="T23" s="357">
        <v>1</v>
      </c>
      <c r="U23" s="564">
        <f t="shared" si="4"/>
        <v>39515092</v>
      </c>
      <c r="V23" s="357">
        <v>1</v>
      </c>
      <c r="W23" s="564">
        <f t="shared" si="5"/>
        <v>39515092</v>
      </c>
      <c r="X23" s="578"/>
    </row>
    <row r="24" spans="1:27" s="385" customFormat="1" ht="31.5" x14ac:dyDescent="0.25">
      <c r="A24" s="385">
        <v>2</v>
      </c>
      <c r="B24" s="552" t="str">
        <f t="shared" ca="1" si="0"/>
        <v>3.8</v>
      </c>
      <c r="C24" s="596" t="s">
        <v>1016</v>
      </c>
      <c r="D24" s="597"/>
      <c r="E24" s="597"/>
      <c r="F24" s="598"/>
      <c r="G24" s="580"/>
      <c r="H24" s="599"/>
      <c r="I24" s="599"/>
      <c r="J24" s="599"/>
      <c r="K24" s="599"/>
      <c r="L24" s="599">
        <f>L25+L34+L35+L36+L39+L40+L41+L44+L45+L46+L47+L48+L49+L50+L51</f>
        <v>131342990.51000001</v>
      </c>
      <c r="M24" s="556"/>
      <c r="N24" s="556"/>
      <c r="O24" s="599">
        <f>O25+O34+O35+O36+O39+O40+O41+O44+O45+O46+O47+O48+O49+O50+O51</f>
        <v>131342990.51000001</v>
      </c>
      <c r="P24" s="556"/>
      <c r="Q24" s="556"/>
      <c r="R24" s="556"/>
      <c r="S24" s="599">
        <f>S25+S34+S35+S36+S39+S40+S41+S44+S45+S46+S47+S48+S49+S50+S51</f>
        <v>117457741.33</v>
      </c>
      <c r="T24" s="600"/>
      <c r="U24" s="599">
        <f>U25+U34+U35+U36+U39+U40+U41+U44+U45+U46+U47+U48+U49+U50+U51</f>
        <v>117457741.33</v>
      </c>
      <c r="V24" s="601"/>
      <c r="W24" s="599">
        <f>W25+W34+W35+W36+W39+W40+W41+W44+W45+W46+W47+W48+W49+W50+W51</f>
        <v>117457741.33</v>
      </c>
      <c r="X24" s="598"/>
    </row>
    <row r="25" spans="1:27" s="297" customFormat="1" ht="110.25" x14ac:dyDescent="0.25">
      <c r="A25" s="297">
        <v>3</v>
      </c>
      <c r="B25" s="552" t="str">
        <f t="shared" ca="1" si="0"/>
        <v>3.8.1</v>
      </c>
      <c r="C25" s="567" t="s">
        <v>1017</v>
      </c>
      <c r="D25" s="569" t="s">
        <v>882</v>
      </c>
      <c r="E25" s="569" t="s">
        <v>880</v>
      </c>
      <c r="F25" s="568"/>
      <c r="G25" s="349"/>
      <c r="H25" s="571"/>
      <c r="I25" s="571"/>
      <c r="J25" s="571"/>
      <c r="K25" s="571"/>
      <c r="L25" s="571">
        <f>L26+L27+L28+L29+L30+L31+L32+L33</f>
        <v>77149848</v>
      </c>
      <c r="M25" s="569"/>
      <c r="N25" s="569"/>
      <c r="O25" s="571">
        <f>O26+O27+O28+O29+O30+O31+O32+O33</f>
        <v>77149848</v>
      </c>
      <c r="P25" s="569"/>
      <c r="Q25" s="569"/>
      <c r="R25" s="569"/>
      <c r="S25" s="571">
        <f>S26+S27+S28+S29+S30+S31+S32+S33</f>
        <v>69928622.230000004</v>
      </c>
      <c r="T25" s="352"/>
      <c r="U25" s="571">
        <f>U26+U27+U28+U29+U30+U31+U32+U33</f>
        <v>69928622.230000004</v>
      </c>
      <c r="V25" s="354"/>
      <c r="W25" s="571">
        <f>W26+W27+W28+W29+W30+W31+W32+W33</f>
        <v>69928622.230000004</v>
      </c>
      <c r="X25" s="568" t="s">
        <v>954</v>
      </c>
      <c r="Y25" s="297" t="s">
        <v>1007</v>
      </c>
      <c r="Z25" s="602">
        <f>55000*25600</f>
        <v>1408000000</v>
      </c>
      <c r="AA25" s="602">
        <f>85000*25600</f>
        <v>2176000000</v>
      </c>
    </row>
    <row r="26" spans="1:27" s="290" customFormat="1" ht="63" x14ac:dyDescent="0.25">
      <c r="A26" s="290">
        <v>4</v>
      </c>
      <c r="B26" s="552" t="str">
        <f t="shared" ca="1" si="0"/>
        <v>3.8.1.1</v>
      </c>
      <c r="C26" s="567" t="s">
        <v>1008</v>
      </c>
      <c r="D26" s="568" t="s">
        <v>1015</v>
      </c>
      <c r="E26" s="569">
        <v>600</v>
      </c>
      <c r="F26" s="568" t="s">
        <v>1009</v>
      </c>
      <c r="G26" s="570">
        <v>46023</v>
      </c>
      <c r="H26" s="571">
        <f>136.47*1000</f>
        <v>136470</v>
      </c>
      <c r="I26" s="571">
        <f>3530.2*1000/725</f>
        <v>4869.24</v>
      </c>
      <c r="J26" s="571">
        <f>2.76*1000</f>
        <v>2760</v>
      </c>
      <c r="K26" s="571">
        <f>(H26-I26-J26)*0.2%</f>
        <v>257.68</v>
      </c>
      <c r="L26" s="351">
        <f>E26*(H26-I26-J26-K26)</f>
        <v>77149848</v>
      </c>
      <c r="M26" s="572">
        <v>1</v>
      </c>
      <c r="N26" s="572">
        <v>1</v>
      </c>
      <c r="O26" s="351">
        <f>L26*M26*N26</f>
        <v>77149848</v>
      </c>
      <c r="P26" s="569">
        <v>0.88</v>
      </c>
      <c r="Q26" s="569">
        <v>1</v>
      </c>
      <c r="R26" s="569">
        <v>1.03</v>
      </c>
      <c r="S26" s="561">
        <f>O26*P26*Q26*R26</f>
        <v>69928622.230000004</v>
      </c>
      <c r="T26" s="563">
        <v>1</v>
      </c>
      <c r="U26" s="564">
        <f>S26*T26</f>
        <v>69928622.230000004</v>
      </c>
      <c r="V26" s="565">
        <v>1</v>
      </c>
      <c r="W26" s="564">
        <f>U26*V26</f>
        <v>69928622.230000004</v>
      </c>
      <c r="X26" s="566"/>
      <c r="Z26" s="388"/>
      <c r="AA26" s="388"/>
    </row>
    <row r="27" spans="1:27" s="290" customFormat="1" ht="31.5" x14ac:dyDescent="0.25">
      <c r="A27" s="290">
        <v>4</v>
      </c>
      <c r="B27" s="552" t="str">
        <f t="shared" ca="1" si="0"/>
        <v>3.8.1.2</v>
      </c>
      <c r="C27" s="567" t="s">
        <v>1018</v>
      </c>
      <c r="D27" s="569" t="s">
        <v>882</v>
      </c>
      <c r="E27" s="569">
        <v>2200</v>
      </c>
      <c r="F27" s="358" t="str">
        <f ca="1">CONCATENATE("учтено в п.",$B$21,", ",$B$22)</f>
        <v>учтено в п.3.5, 3.6</v>
      </c>
      <c r="G27" s="349"/>
      <c r="H27" s="571"/>
      <c r="I27" s="571"/>
      <c r="J27" s="571"/>
      <c r="K27" s="571"/>
      <c r="L27" s="561"/>
      <c r="M27" s="562"/>
      <c r="N27" s="562"/>
      <c r="O27" s="561"/>
      <c r="P27" s="562"/>
      <c r="Q27" s="562"/>
      <c r="R27" s="562"/>
      <c r="S27" s="561"/>
      <c r="T27" s="563">
        <v>1</v>
      </c>
      <c r="U27" s="564"/>
      <c r="V27" s="565">
        <v>1</v>
      </c>
      <c r="W27" s="564"/>
      <c r="X27" s="566"/>
      <c r="Z27" s="388"/>
      <c r="AA27" s="388"/>
    </row>
    <row r="28" spans="1:27" s="297" customFormat="1" ht="31.5" x14ac:dyDescent="0.25">
      <c r="A28" s="297">
        <v>4</v>
      </c>
      <c r="B28" s="552" t="str">
        <f t="shared" ca="1" si="0"/>
        <v>3.8.1.3</v>
      </c>
      <c r="C28" s="567" t="s">
        <v>2263</v>
      </c>
      <c r="D28" s="569" t="s">
        <v>833</v>
      </c>
      <c r="E28" s="569">
        <v>20</v>
      </c>
      <c r="F28" s="358" t="str">
        <f ca="1">CONCATENATE("учтено в п.",$B$21,", ",$B$22)</f>
        <v>учтено в п.3.5, 3.6</v>
      </c>
      <c r="G28" s="349"/>
      <c r="H28" s="571"/>
      <c r="I28" s="571"/>
      <c r="J28" s="571"/>
      <c r="K28" s="571"/>
      <c r="L28" s="571"/>
      <c r="M28" s="569"/>
      <c r="N28" s="569"/>
      <c r="O28" s="571"/>
      <c r="P28" s="569"/>
      <c r="Q28" s="569"/>
      <c r="R28" s="569"/>
      <c r="S28" s="571"/>
      <c r="T28" s="352"/>
      <c r="U28" s="583"/>
      <c r="V28" s="354"/>
      <c r="W28" s="583"/>
      <c r="X28" s="568"/>
      <c r="Z28" s="602"/>
      <c r="AA28" s="602"/>
    </row>
    <row r="29" spans="1:27" s="297" customFormat="1" ht="47.25" x14ac:dyDescent="0.25">
      <c r="A29" s="297">
        <v>4</v>
      </c>
      <c r="B29" s="552" t="str">
        <f t="shared" ca="1" si="0"/>
        <v>3.8.1.4</v>
      </c>
      <c r="C29" s="567" t="s">
        <v>2264</v>
      </c>
      <c r="D29" s="569" t="s">
        <v>833</v>
      </c>
      <c r="E29" s="569">
        <v>10</v>
      </c>
      <c r="F29" s="358" t="str">
        <f ca="1">CONCATENATE("учтено в п.",$B$18,", ",$B$21,", ",$B$22)</f>
        <v>учтено в п.3.2, 3.5, 3.6</v>
      </c>
      <c r="G29" s="349"/>
      <c r="H29" s="571"/>
      <c r="I29" s="571"/>
      <c r="J29" s="571"/>
      <c r="K29" s="571"/>
      <c r="L29" s="571"/>
      <c r="M29" s="569"/>
      <c r="N29" s="569"/>
      <c r="O29" s="571"/>
      <c r="P29" s="569"/>
      <c r="Q29" s="569"/>
      <c r="R29" s="569"/>
      <c r="S29" s="571"/>
      <c r="T29" s="352"/>
      <c r="U29" s="583"/>
      <c r="V29" s="354"/>
      <c r="W29" s="583"/>
      <c r="X29" s="568" t="s">
        <v>2265</v>
      </c>
      <c r="Z29" s="602"/>
      <c r="AA29" s="602"/>
    </row>
    <row r="30" spans="1:27" s="297" customFormat="1" x14ac:dyDescent="0.25">
      <c r="A30" s="297">
        <v>4</v>
      </c>
      <c r="B30" s="552" t="str">
        <f t="shared" ca="1" si="0"/>
        <v>3.8.1.5</v>
      </c>
      <c r="C30" s="567" t="s">
        <v>2266</v>
      </c>
      <c r="D30" s="569" t="s">
        <v>833</v>
      </c>
      <c r="E30" s="569">
        <v>10</v>
      </c>
      <c r="F30" s="358" t="str">
        <f ca="1">CONCATENATE("учтено в п.",$B$21,", ",$B$22)</f>
        <v>учтено в п.3.5, 3.6</v>
      </c>
      <c r="G30" s="349"/>
      <c r="H30" s="571"/>
      <c r="I30" s="571"/>
      <c r="J30" s="571"/>
      <c r="K30" s="571"/>
      <c r="L30" s="571"/>
      <c r="M30" s="569"/>
      <c r="N30" s="569"/>
      <c r="O30" s="571"/>
      <c r="P30" s="569"/>
      <c r="Q30" s="569"/>
      <c r="R30" s="569"/>
      <c r="S30" s="571"/>
      <c r="T30" s="352"/>
      <c r="U30" s="583"/>
      <c r="V30" s="354"/>
      <c r="W30" s="583"/>
      <c r="X30" s="568"/>
      <c r="Z30" s="602"/>
      <c r="AA30" s="602"/>
    </row>
    <row r="31" spans="1:27" s="297" customFormat="1" ht="31.5" x14ac:dyDescent="0.25">
      <c r="A31" s="297">
        <v>4</v>
      </c>
      <c r="B31" s="552" t="str">
        <f t="shared" ca="1" si="0"/>
        <v>3.8.1.6</v>
      </c>
      <c r="C31" s="567" t="s">
        <v>2268</v>
      </c>
      <c r="D31" s="569" t="s">
        <v>2267</v>
      </c>
      <c r="E31" s="569">
        <v>400</v>
      </c>
      <c r="F31" s="358" t="str">
        <f ca="1">CONCATENATE("учтено в п.",$B$18,", ",$B$21,", ",$B$22)</f>
        <v>учтено в п.3.2, 3.5, 3.6</v>
      </c>
      <c r="G31" s="349"/>
      <c r="H31" s="571"/>
      <c r="I31" s="571"/>
      <c r="J31" s="571"/>
      <c r="K31" s="571"/>
      <c r="L31" s="571"/>
      <c r="M31" s="569"/>
      <c r="N31" s="569"/>
      <c r="O31" s="571"/>
      <c r="P31" s="569"/>
      <c r="Q31" s="569"/>
      <c r="R31" s="569"/>
      <c r="S31" s="571"/>
      <c r="T31" s="352"/>
      <c r="U31" s="583"/>
      <c r="V31" s="354"/>
      <c r="W31" s="583"/>
      <c r="X31" s="568"/>
      <c r="Z31" s="602"/>
      <c r="AA31" s="602"/>
    </row>
    <row r="32" spans="1:27" s="297" customFormat="1" ht="47.25" x14ac:dyDescent="0.25">
      <c r="A32" s="297">
        <v>4</v>
      </c>
      <c r="B32" s="552" t="str">
        <f t="shared" ca="1" si="0"/>
        <v>3.8.1.7</v>
      </c>
      <c r="C32" s="567" t="s">
        <v>2269</v>
      </c>
      <c r="D32" s="569" t="s">
        <v>833</v>
      </c>
      <c r="E32" s="569">
        <v>10</v>
      </c>
      <c r="F32" s="358" t="str">
        <f ca="1">CONCATENATE("учтено в п.",$B$18,", ",$B$21)</f>
        <v>учтено в п.3.2, 3.5</v>
      </c>
      <c r="G32" s="349"/>
      <c r="H32" s="571"/>
      <c r="I32" s="571"/>
      <c r="J32" s="571"/>
      <c r="K32" s="571"/>
      <c r="L32" s="571"/>
      <c r="M32" s="569"/>
      <c r="N32" s="569"/>
      <c r="O32" s="571"/>
      <c r="P32" s="569"/>
      <c r="Q32" s="569"/>
      <c r="R32" s="569"/>
      <c r="S32" s="571"/>
      <c r="T32" s="352"/>
      <c r="U32" s="583"/>
      <c r="V32" s="354"/>
      <c r="W32" s="583"/>
      <c r="X32" s="568" t="s">
        <v>2270</v>
      </c>
      <c r="Z32" s="602"/>
      <c r="AA32" s="602"/>
    </row>
    <row r="33" spans="1:27" s="297" customFormat="1" x14ac:dyDescent="0.25">
      <c r="A33" s="297">
        <v>4</v>
      </c>
      <c r="B33" s="552" t="str">
        <f t="shared" ca="1" si="0"/>
        <v>3.8.1.8</v>
      </c>
      <c r="C33" s="567" t="s">
        <v>2271</v>
      </c>
      <c r="D33" s="569" t="s">
        <v>946</v>
      </c>
      <c r="E33" s="569">
        <v>2800</v>
      </c>
      <c r="F33" s="590" t="str">
        <f ca="1">CONCATENATE("учтено в п.",$B$18,", ",$B$21,", ",$B$22)</f>
        <v>учтено в п.3.2, 3.5, 3.6</v>
      </c>
      <c r="G33" s="349"/>
      <c r="H33" s="571"/>
      <c r="I33" s="571"/>
      <c r="J33" s="571"/>
      <c r="K33" s="571"/>
      <c r="L33" s="571"/>
      <c r="M33" s="569"/>
      <c r="N33" s="569"/>
      <c r="O33" s="571"/>
      <c r="P33" s="569"/>
      <c r="Q33" s="569"/>
      <c r="R33" s="569"/>
      <c r="S33" s="571"/>
      <c r="T33" s="352"/>
      <c r="U33" s="583"/>
      <c r="V33" s="354"/>
      <c r="W33" s="583"/>
      <c r="X33" s="568"/>
      <c r="Z33" s="602"/>
      <c r="AA33" s="602"/>
    </row>
    <row r="34" spans="1:27" s="290" customFormat="1" ht="78.75" x14ac:dyDescent="0.25">
      <c r="A34" s="290">
        <v>3</v>
      </c>
      <c r="B34" s="552" t="str">
        <f t="shared" ca="1" si="0"/>
        <v>3.8.2</v>
      </c>
      <c r="C34" s="567" t="s">
        <v>881</v>
      </c>
      <c r="D34" s="568" t="s">
        <v>955</v>
      </c>
      <c r="E34" s="569">
        <f>62/100</f>
        <v>0.62</v>
      </c>
      <c r="F34" s="358" t="s">
        <v>953</v>
      </c>
      <c r="G34" s="570">
        <v>46023</v>
      </c>
      <c r="H34" s="350">
        <f>362.23*1000</f>
        <v>362230</v>
      </c>
      <c r="I34" s="350">
        <f>0.29*1000</f>
        <v>290</v>
      </c>
      <c r="J34" s="350">
        <f>7.58*1000</f>
        <v>7580</v>
      </c>
      <c r="K34" s="571">
        <f>(H34-I34-J34)*0.2%</f>
        <v>708.72</v>
      </c>
      <c r="L34" s="351">
        <f>E34*(H34-I34-J34-K34)</f>
        <v>219263.79</v>
      </c>
      <c r="M34" s="572">
        <v>1</v>
      </c>
      <c r="N34" s="572">
        <v>1</v>
      </c>
      <c r="O34" s="351">
        <f>L34*M34*N34</f>
        <v>219263.79</v>
      </c>
      <c r="P34" s="562">
        <v>0.89</v>
      </c>
      <c r="Q34" s="562">
        <v>0.99</v>
      </c>
      <c r="R34" s="562">
        <v>1</v>
      </c>
      <c r="S34" s="561">
        <f>O34*P34*Q34*R34</f>
        <v>193193.33</v>
      </c>
      <c r="T34" s="563">
        <v>1</v>
      </c>
      <c r="U34" s="564">
        <f>S34*T34</f>
        <v>193193.33</v>
      </c>
      <c r="V34" s="565">
        <v>1</v>
      </c>
      <c r="W34" s="564">
        <f>U34*V34</f>
        <v>193193.33</v>
      </c>
      <c r="X34" s="566" t="s">
        <v>883</v>
      </c>
    </row>
    <row r="35" spans="1:27" s="290" customFormat="1" ht="94.5" x14ac:dyDescent="0.25">
      <c r="A35" s="290">
        <v>3</v>
      </c>
      <c r="B35" s="552" t="str">
        <f t="shared" ca="1" si="0"/>
        <v>3.8.3</v>
      </c>
      <c r="C35" s="567" t="s">
        <v>884</v>
      </c>
      <c r="D35" s="569" t="s">
        <v>1756</v>
      </c>
      <c r="E35" s="569">
        <v>18</v>
      </c>
      <c r="F35" s="568" t="s">
        <v>1755</v>
      </c>
      <c r="G35" s="349">
        <v>46023</v>
      </c>
      <c r="H35" s="571">
        <f>41.57*1000</f>
        <v>41570</v>
      </c>
      <c r="I35" s="571">
        <f>163.68*1000/350</f>
        <v>467.66</v>
      </c>
      <c r="J35" s="571">
        <f>0.84*1000</f>
        <v>840</v>
      </c>
      <c r="K35" s="571">
        <f>(H35-I35-J35)*0.2%</f>
        <v>80.52</v>
      </c>
      <c r="L35" s="351">
        <f>E35*(H35-I35-J35-K35)</f>
        <v>723272.76</v>
      </c>
      <c r="M35" s="572">
        <v>1</v>
      </c>
      <c r="N35" s="572">
        <v>1</v>
      </c>
      <c r="O35" s="351">
        <f>L35*M35*N35</f>
        <v>723272.76</v>
      </c>
      <c r="P35" s="562">
        <v>0.88</v>
      </c>
      <c r="Q35" s="562">
        <v>0.99</v>
      </c>
      <c r="R35" s="562">
        <v>1</v>
      </c>
      <c r="S35" s="561">
        <f>O35*P35*Q35*R35</f>
        <v>630115.23</v>
      </c>
      <c r="T35" s="563">
        <v>1</v>
      </c>
      <c r="U35" s="564">
        <f>S35*T35</f>
        <v>630115.23</v>
      </c>
      <c r="V35" s="565">
        <v>1</v>
      </c>
      <c r="W35" s="564">
        <f>U35*V35</f>
        <v>630115.23</v>
      </c>
      <c r="X35" s="566" t="s">
        <v>886</v>
      </c>
    </row>
    <row r="36" spans="1:27" ht="47.25" x14ac:dyDescent="0.25">
      <c r="A36" s="290">
        <v>3</v>
      </c>
      <c r="B36" s="552" t="str">
        <f t="shared" ca="1" si="0"/>
        <v>3.8.4</v>
      </c>
      <c r="C36" s="356" t="s">
        <v>887</v>
      </c>
      <c r="D36" s="357" t="s">
        <v>888</v>
      </c>
      <c r="E36" s="357" t="s">
        <v>889</v>
      </c>
      <c r="F36" s="573"/>
      <c r="G36" s="574"/>
      <c r="H36" s="355"/>
      <c r="I36" s="355"/>
      <c r="J36" s="355"/>
      <c r="K36" s="355"/>
      <c r="L36" s="351">
        <f>L37+L38</f>
        <v>0</v>
      </c>
      <c r="M36" s="572"/>
      <c r="N36" s="572"/>
      <c r="O36" s="351">
        <f>O37+O38</f>
        <v>0</v>
      </c>
      <c r="P36" s="572"/>
      <c r="Q36" s="572"/>
      <c r="R36" s="572"/>
      <c r="S36" s="351">
        <f>S37+S38</f>
        <v>0</v>
      </c>
      <c r="T36" s="352"/>
      <c r="U36" s="350">
        <f>U37+U38</f>
        <v>0</v>
      </c>
      <c r="V36" s="354"/>
      <c r="W36" s="351">
        <f>W37+W38</f>
        <v>0</v>
      </c>
      <c r="X36" s="348" t="s">
        <v>2272</v>
      </c>
      <c r="Y36" s="317"/>
    </row>
    <row r="37" spans="1:27" x14ac:dyDescent="0.25">
      <c r="A37" s="290">
        <v>4</v>
      </c>
      <c r="B37" s="552" t="str">
        <f t="shared" ca="1" si="0"/>
        <v>3.8.4.1</v>
      </c>
      <c r="C37" s="356" t="s">
        <v>2358</v>
      </c>
      <c r="D37" s="357" t="s">
        <v>833</v>
      </c>
      <c r="E37" s="357">
        <v>1</v>
      </c>
      <c r="F37" s="573"/>
      <c r="G37" s="574"/>
      <c r="H37" s="355"/>
      <c r="I37" s="355"/>
      <c r="J37" s="355"/>
      <c r="K37" s="355"/>
      <c r="L37" s="351">
        <f t="shared" ref="L37:L38" si="6">E37*H37</f>
        <v>0</v>
      </c>
      <c r="M37" s="572"/>
      <c r="N37" s="572"/>
      <c r="O37" s="351">
        <f t="shared" ref="O37:O44" si="7">L37*M37*N37</f>
        <v>0</v>
      </c>
      <c r="P37" s="572"/>
      <c r="Q37" s="572"/>
      <c r="R37" s="572"/>
      <c r="S37" s="351">
        <f t="shared" ref="S37:S44" si="8">O37*P37*Q37*R37</f>
        <v>0</v>
      </c>
      <c r="T37" s="563">
        <v>1</v>
      </c>
      <c r="U37" s="353">
        <f t="shared" ref="U37:U44" si="9">S37*T37</f>
        <v>0</v>
      </c>
      <c r="V37" s="565">
        <v>1</v>
      </c>
      <c r="W37" s="353">
        <f t="shared" ref="W37:W44" si="10">U37*V37</f>
        <v>0</v>
      </c>
      <c r="X37" s="348"/>
      <c r="Y37" s="317"/>
    </row>
    <row r="38" spans="1:27" x14ac:dyDescent="0.25">
      <c r="A38" s="290">
        <v>4</v>
      </c>
      <c r="B38" s="552" t="str">
        <f t="shared" ca="1" si="0"/>
        <v>3.8.4.2</v>
      </c>
      <c r="C38" s="356" t="s">
        <v>2359</v>
      </c>
      <c r="D38" s="357" t="s">
        <v>833</v>
      </c>
      <c r="E38" s="357">
        <v>1</v>
      </c>
      <c r="F38" s="573"/>
      <c r="G38" s="574"/>
      <c r="H38" s="355"/>
      <c r="I38" s="355"/>
      <c r="J38" s="355"/>
      <c r="K38" s="355"/>
      <c r="L38" s="351">
        <f t="shared" si="6"/>
        <v>0</v>
      </c>
      <c r="M38" s="572"/>
      <c r="N38" s="572"/>
      <c r="O38" s="351">
        <f t="shared" si="7"/>
        <v>0</v>
      </c>
      <c r="P38" s="572"/>
      <c r="Q38" s="572"/>
      <c r="R38" s="572"/>
      <c r="S38" s="351">
        <f t="shared" si="8"/>
        <v>0</v>
      </c>
      <c r="T38" s="563">
        <v>1</v>
      </c>
      <c r="U38" s="353">
        <f t="shared" si="9"/>
        <v>0</v>
      </c>
      <c r="V38" s="565">
        <v>1</v>
      </c>
      <c r="W38" s="353">
        <f t="shared" si="10"/>
        <v>0</v>
      </c>
      <c r="X38" s="348"/>
      <c r="Y38" s="317"/>
    </row>
    <row r="39" spans="1:27" ht="31.5" x14ac:dyDescent="0.25">
      <c r="A39" s="290">
        <v>3</v>
      </c>
      <c r="B39" s="552" t="str">
        <f t="shared" ca="1" si="0"/>
        <v>3.8.5</v>
      </c>
      <c r="C39" s="356" t="s">
        <v>2273</v>
      </c>
      <c r="D39" s="357" t="s">
        <v>890</v>
      </c>
      <c r="E39" s="357" t="s">
        <v>889</v>
      </c>
      <c r="F39" s="573"/>
      <c r="G39" s="574"/>
      <c r="H39" s="355"/>
      <c r="I39" s="355"/>
      <c r="J39" s="355"/>
      <c r="K39" s="355"/>
      <c r="L39" s="351"/>
      <c r="M39" s="572"/>
      <c r="N39" s="572"/>
      <c r="O39" s="351"/>
      <c r="P39" s="572"/>
      <c r="Q39" s="572"/>
      <c r="R39" s="572"/>
      <c r="S39" s="351"/>
      <c r="T39" s="563"/>
      <c r="U39" s="353"/>
      <c r="V39" s="565"/>
      <c r="W39" s="353"/>
      <c r="X39" s="348"/>
      <c r="Y39" s="317"/>
    </row>
    <row r="40" spans="1:27" ht="126" x14ac:dyDescent="0.25">
      <c r="A40" s="297">
        <v>3</v>
      </c>
      <c r="B40" s="552" t="str">
        <f t="shared" ca="1" si="0"/>
        <v>3.8.6</v>
      </c>
      <c r="C40" s="356" t="s">
        <v>2109</v>
      </c>
      <c r="D40" s="357" t="s">
        <v>885</v>
      </c>
      <c r="E40" s="357">
        <f>40*2</f>
        <v>80</v>
      </c>
      <c r="F40" s="568" t="s">
        <v>1755</v>
      </c>
      <c r="G40" s="349">
        <v>46023</v>
      </c>
      <c r="H40" s="571">
        <f>41.57*1000</f>
        <v>41570</v>
      </c>
      <c r="I40" s="571">
        <f>163.68*1000/350</f>
        <v>467.66</v>
      </c>
      <c r="J40" s="571">
        <f>0.84*1000</f>
        <v>840</v>
      </c>
      <c r="K40" s="571">
        <f>(H40-I40-J40)*0.2%</f>
        <v>80.52</v>
      </c>
      <c r="L40" s="351">
        <f>E40*(H40-I40-J40-K40)</f>
        <v>3214545.6</v>
      </c>
      <c r="M40" s="572">
        <v>1</v>
      </c>
      <c r="N40" s="572">
        <v>1</v>
      </c>
      <c r="O40" s="351">
        <f>L40*M40*N40</f>
        <v>3214545.6</v>
      </c>
      <c r="P40" s="562">
        <v>0.88</v>
      </c>
      <c r="Q40" s="562">
        <v>0.99</v>
      </c>
      <c r="R40" s="562">
        <v>1</v>
      </c>
      <c r="S40" s="561">
        <f>O40*P40*Q40*R40</f>
        <v>2800512.13</v>
      </c>
      <c r="T40" s="563">
        <v>1</v>
      </c>
      <c r="U40" s="564">
        <f>S40*T40</f>
        <v>2800512.13</v>
      </c>
      <c r="V40" s="565">
        <v>1</v>
      </c>
      <c r="W40" s="564">
        <f>U40*V40</f>
        <v>2800512.13</v>
      </c>
      <c r="X40" s="348" t="s">
        <v>891</v>
      </c>
      <c r="Y40" s="317"/>
    </row>
    <row r="41" spans="1:27" x14ac:dyDescent="0.25">
      <c r="A41" s="297">
        <v>3</v>
      </c>
      <c r="B41" s="552" t="str">
        <f t="shared" ca="1" si="0"/>
        <v>3.8.7</v>
      </c>
      <c r="C41" s="356" t="s">
        <v>2276</v>
      </c>
      <c r="D41" s="357" t="s">
        <v>833</v>
      </c>
      <c r="E41" s="357">
        <v>3</v>
      </c>
      <c r="F41" s="568"/>
      <c r="G41" s="349"/>
      <c r="H41" s="571"/>
      <c r="I41" s="571"/>
      <c r="J41" s="571"/>
      <c r="K41" s="571"/>
      <c r="L41" s="351">
        <f>L42+L43</f>
        <v>371333.84</v>
      </c>
      <c r="M41" s="572"/>
      <c r="N41" s="572"/>
      <c r="O41" s="351">
        <f>O42+O43</f>
        <v>371333.84</v>
      </c>
      <c r="P41" s="562"/>
      <c r="Q41" s="562"/>
      <c r="R41" s="562"/>
      <c r="S41" s="630">
        <f>S42+S43</f>
        <v>327182.25</v>
      </c>
      <c r="T41" s="631"/>
      <c r="U41" s="630">
        <f>U42+U43</f>
        <v>327182.25</v>
      </c>
      <c r="V41" s="632"/>
      <c r="W41" s="630">
        <f>W42+W43</f>
        <v>327182.25</v>
      </c>
      <c r="X41" s="348"/>
      <c r="Y41" s="317"/>
    </row>
    <row r="42" spans="1:27" ht="126" x14ac:dyDescent="0.25">
      <c r="A42" s="290">
        <v>4</v>
      </c>
      <c r="B42" s="552" t="str">
        <f t="shared" ca="1" si="0"/>
        <v>3.8.7.1</v>
      </c>
      <c r="C42" s="356" t="s">
        <v>2275</v>
      </c>
      <c r="D42" s="358" t="s">
        <v>952</v>
      </c>
      <c r="E42" s="357">
        <f>35*3/100</f>
        <v>1.05</v>
      </c>
      <c r="F42" s="358" t="s">
        <v>953</v>
      </c>
      <c r="G42" s="570">
        <v>46023</v>
      </c>
      <c r="H42" s="350">
        <f>362.23*1000</f>
        <v>362230</v>
      </c>
      <c r="I42" s="350">
        <f>0.29*1000</f>
        <v>290</v>
      </c>
      <c r="J42" s="350">
        <f>7.58*1000</f>
        <v>7580</v>
      </c>
      <c r="K42" s="571">
        <f>(H42-I42-J42)*0.2%</f>
        <v>708.72</v>
      </c>
      <c r="L42" s="351">
        <f>E42*(H42-I42-J42-K42)</f>
        <v>371333.84</v>
      </c>
      <c r="M42" s="572">
        <v>1</v>
      </c>
      <c r="N42" s="572">
        <v>1</v>
      </c>
      <c r="O42" s="351">
        <f t="shared" si="7"/>
        <v>371333.84</v>
      </c>
      <c r="P42" s="562">
        <v>0.89</v>
      </c>
      <c r="Q42" s="562">
        <v>0.99</v>
      </c>
      <c r="R42" s="562">
        <v>1</v>
      </c>
      <c r="S42" s="633">
        <f>O42*P42*Q42*R42</f>
        <v>327182.25</v>
      </c>
      <c r="T42" s="563">
        <v>1</v>
      </c>
      <c r="U42" s="634">
        <f>S42*T42</f>
        <v>327182.25</v>
      </c>
      <c r="V42" s="565">
        <v>1</v>
      </c>
      <c r="W42" s="634">
        <f>U42*V42</f>
        <v>327182.25</v>
      </c>
      <c r="X42" s="348" t="s">
        <v>892</v>
      </c>
      <c r="Y42" s="317"/>
    </row>
    <row r="43" spans="1:27" x14ac:dyDescent="0.25">
      <c r="A43" s="290">
        <v>4</v>
      </c>
      <c r="B43" s="552" t="str">
        <f t="shared" ca="1" si="0"/>
        <v>3.8.7.2</v>
      </c>
      <c r="C43" s="356" t="s">
        <v>2274</v>
      </c>
      <c r="D43" s="358" t="s">
        <v>833</v>
      </c>
      <c r="E43" s="357">
        <v>3</v>
      </c>
      <c r="F43" s="573"/>
      <c r="G43" s="627"/>
      <c r="H43" s="355"/>
      <c r="I43" s="355"/>
      <c r="J43" s="355"/>
      <c r="K43" s="624"/>
      <c r="L43" s="351"/>
      <c r="M43" s="572"/>
      <c r="N43" s="572"/>
      <c r="O43" s="351"/>
      <c r="P43" s="562"/>
      <c r="Q43" s="562"/>
      <c r="R43" s="562"/>
      <c r="S43" s="561"/>
      <c r="T43" s="563"/>
      <c r="U43" s="564"/>
      <c r="V43" s="565"/>
      <c r="W43" s="564"/>
      <c r="X43" s="348"/>
      <c r="Y43" s="317"/>
    </row>
    <row r="44" spans="1:27" s="311" customFormat="1" ht="78.75" x14ac:dyDescent="0.25">
      <c r="A44" s="297">
        <v>3</v>
      </c>
      <c r="B44" s="552" t="str">
        <f t="shared" ca="1" si="0"/>
        <v>3.8.8</v>
      </c>
      <c r="C44" s="356" t="s">
        <v>893</v>
      </c>
      <c r="D44" s="358" t="s">
        <v>944</v>
      </c>
      <c r="E44" s="575">
        <f>14</f>
        <v>14</v>
      </c>
      <c r="F44" s="358" t="s">
        <v>945</v>
      </c>
      <c r="G44" s="570">
        <v>46023</v>
      </c>
      <c r="H44" s="572">
        <f>136.99*1000</f>
        <v>136990</v>
      </c>
      <c r="I44" s="572">
        <f>58.68*1000/32</f>
        <v>1833.75</v>
      </c>
      <c r="J44" s="572">
        <f>2.82*1000</f>
        <v>2820</v>
      </c>
      <c r="K44" s="571">
        <f>(H44-I44-J44)*0.2%</f>
        <v>264.67</v>
      </c>
      <c r="L44" s="351">
        <f>E44*(H44-I44-J44-K44)</f>
        <v>1849002.12</v>
      </c>
      <c r="M44" s="572">
        <v>1</v>
      </c>
      <c r="N44" s="572">
        <v>1</v>
      </c>
      <c r="O44" s="572">
        <f t="shared" si="7"/>
        <v>1849002.12</v>
      </c>
      <c r="P44" s="572">
        <v>0.88</v>
      </c>
      <c r="Q44" s="572">
        <v>1</v>
      </c>
      <c r="R44" s="572">
        <v>1.03</v>
      </c>
      <c r="S44" s="572">
        <f t="shared" si="8"/>
        <v>1675935.52</v>
      </c>
      <c r="T44" s="563">
        <v>1</v>
      </c>
      <c r="U44" s="572">
        <f t="shared" si="9"/>
        <v>1675935.52</v>
      </c>
      <c r="V44" s="565">
        <v>1</v>
      </c>
      <c r="W44" s="572">
        <f t="shared" si="10"/>
        <v>1675935.52</v>
      </c>
      <c r="X44" s="358" t="s">
        <v>894</v>
      </c>
      <c r="Y44" s="318"/>
    </row>
    <row r="45" spans="1:27" s="311" customFormat="1" ht="47.25" x14ac:dyDescent="0.25">
      <c r="A45" s="297">
        <v>3</v>
      </c>
      <c r="B45" s="552" t="str">
        <f t="shared" ca="1" si="0"/>
        <v>3.8.9</v>
      </c>
      <c r="C45" s="356" t="s">
        <v>2277</v>
      </c>
      <c r="D45" s="358" t="s">
        <v>833</v>
      </c>
      <c r="E45" s="622">
        <v>1</v>
      </c>
      <c r="F45" s="358" t="str">
        <f ca="1">CONCATENATE("учтено в п.",$B$19)</f>
        <v>учтено в п.3.3</v>
      </c>
      <c r="G45" s="570"/>
      <c r="H45" s="572"/>
      <c r="I45" s="572"/>
      <c r="J45" s="572"/>
      <c r="K45" s="571"/>
      <c r="L45" s="351"/>
      <c r="M45" s="572"/>
      <c r="N45" s="572"/>
      <c r="O45" s="572"/>
      <c r="P45" s="572"/>
      <c r="Q45" s="572"/>
      <c r="R45" s="572"/>
      <c r="S45" s="572"/>
      <c r="T45" s="352"/>
      <c r="U45" s="572"/>
      <c r="V45" s="354"/>
      <c r="W45" s="572"/>
      <c r="X45" s="358" t="s">
        <v>2278</v>
      </c>
      <c r="Y45" s="318"/>
    </row>
    <row r="46" spans="1:27" s="311" customFormat="1" ht="47.25" x14ac:dyDescent="0.25">
      <c r="A46" s="297">
        <v>3</v>
      </c>
      <c r="B46" s="552" t="str">
        <f t="shared" ca="1" si="0"/>
        <v>3.8.10</v>
      </c>
      <c r="C46" s="356" t="s">
        <v>2279</v>
      </c>
      <c r="D46" s="358" t="s">
        <v>833</v>
      </c>
      <c r="E46" s="622">
        <v>1</v>
      </c>
      <c r="F46" s="358" t="str">
        <f ca="1">CONCATENATE("учтено в п.",$B$19)</f>
        <v>учтено в п.3.3</v>
      </c>
      <c r="G46" s="570"/>
      <c r="H46" s="572"/>
      <c r="I46" s="572"/>
      <c r="J46" s="572"/>
      <c r="K46" s="571"/>
      <c r="L46" s="351"/>
      <c r="M46" s="572"/>
      <c r="N46" s="572"/>
      <c r="O46" s="572"/>
      <c r="P46" s="572"/>
      <c r="Q46" s="572"/>
      <c r="R46" s="572"/>
      <c r="S46" s="572"/>
      <c r="T46" s="563"/>
      <c r="U46" s="572"/>
      <c r="V46" s="565"/>
      <c r="W46" s="572"/>
      <c r="X46" s="358" t="s">
        <v>2280</v>
      </c>
      <c r="Y46" s="318"/>
    </row>
    <row r="47" spans="1:27" s="290" customFormat="1" ht="31.5" x14ac:dyDescent="0.25">
      <c r="A47" s="290">
        <v>3</v>
      </c>
      <c r="B47" s="552" t="str">
        <f t="shared" ca="1" si="0"/>
        <v>3.8.11</v>
      </c>
      <c r="C47" s="567" t="s">
        <v>2176</v>
      </c>
      <c r="D47" s="569" t="s">
        <v>981</v>
      </c>
      <c r="E47" s="569">
        <v>1</v>
      </c>
      <c r="F47" s="358" t="str">
        <f ca="1">CONCATENATE("учтено в п.",$B$19)</f>
        <v>учтено в п.3.3</v>
      </c>
      <c r="G47" s="570"/>
      <c r="H47" s="571"/>
      <c r="I47" s="571"/>
      <c r="J47" s="571"/>
      <c r="K47" s="571"/>
      <c r="L47" s="351"/>
      <c r="M47" s="572"/>
      <c r="N47" s="572"/>
      <c r="O47" s="561"/>
      <c r="P47" s="572"/>
      <c r="Q47" s="572"/>
      <c r="R47" s="572"/>
      <c r="S47" s="561"/>
      <c r="T47" s="352"/>
      <c r="U47" s="583"/>
      <c r="V47" s="354"/>
      <c r="W47" s="564"/>
      <c r="X47" s="566"/>
    </row>
    <row r="48" spans="1:27" s="290" customFormat="1" ht="78.75" x14ac:dyDescent="0.25">
      <c r="A48" s="290">
        <v>3</v>
      </c>
      <c r="B48" s="552" t="str">
        <f t="shared" ca="1" si="0"/>
        <v>3.8.12</v>
      </c>
      <c r="C48" s="567" t="s">
        <v>2284</v>
      </c>
      <c r="D48" s="569" t="s">
        <v>2365</v>
      </c>
      <c r="E48" s="569">
        <v>120</v>
      </c>
      <c r="F48" s="568" t="s">
        <v>2364</v>
      </c>
      <c r="G48" s="349">
        <v>46023</v>
      </c>
      <c r="H48" s="571">
        <f>60.53*1000</f>
        <v>60530</v>
      </c>
      <c r="I48" s="571">
        <f>128.02*1000/112</f>
        <v>1143.04</v>
      </c>
      <c r="J48" s="571">
        <f>1.24*1000</f>
        <v>1240</v>
      </c>
      <c r="K48" s="571">
        <f>(H48-I48-J48)*0.2%</f>
        <v>116.29</v>
      </c>
      <c r="L48" s="351">
        <f>E48*(H48-I48-J48-K48)</f>
        <v>6963680.4000000004</v>
      </c>
      <c r="M48" s="572">
        <v>1</v>
      </c>
      <c r="N48" s="572">
        <v>1</v>
      </c>
      <c r="O48" s="351">
        <f>L48*M48*N48</f>
        <v>6963680.4000000004</v>
      </c>
      <c r="P48" s="562">
        <v>0.88</v>
      </c>
      <c r="Q48" s="572">
        <v>1</v>
      </c>
      <c r="R48" s="572">
        <v>1.03</v>
      </c>
      <c r="S48" s="561">
        <f>O48*P48*Q48*R48</f>
        <v>6311879.9100000001</v>
      </c>
      <c r="T48" s="563">
        <v>1</v>
      </c>
      <c r="U48" s="564">
        <f>S48*T48</f>
        <v>6311879.9100000001</v>
      </c>
      <c r="V48" s="565">
        <v>1</v>
      </c>
      <c r="W48" s="564">
        <f>U48*V48</f>
        <v>6311879.9100000001</v>
      </c>
      <c r="X48" s="566"/>
    </row>
    <row r="49" spans="1:28" s="290" customFormat="1" ht="63" x14ac:dyDescent="0.25">
      <c r="A49" s="290">
        <v>3</v>
      </c>
      <c r="B49" s="552" t="str">
        <f t="shared" ca="1" si="0"/>
        <v>3.8.13</v>
      </c>
      <c r="C49" s="567" t="s">
        <v>2285</v>
      </c>
      <c r="D49" s="569" t="s">
        <v>2362</v>
      </c>
      <c r="E49" s="569">
        <f>200</f>
        <v>200</v>
      </c>
      <c r="F49" s="568" t="s">
        <v>2363</v>
      </c>
      <c r="G49" s="349">
        <v>46023</v>
      </c>
      <c r="H49" s="571">
        <f>134.06*1000</f>
        <v>134060</v>
      </c>
      <c r="I49" s="571">
        <f>2321.64/320*1000</f>
        <v>7255.13</v>
      </c>
      <c r="J49" s="571">
        <f>2.66*1000</f>
        <v>2660</v>
      </c>
      <c r="K49" s="571">
        <f>(H49-I49-J49)*0.2%</f>
        <v>248.29</v>
      </c>
      <c r="L49" s="351">
        <f>E49*(H49-I49-J49-K49)</f>
        <v>24779316</v>
      </c>
      <c r="M49" s="572">
        <v>1</v>
      </c>
      <c r="N49" s="572">
        <v>1</v>
      </c>
      <c r="O49" s="351">
        <f>L49*M49*N49</f>
        <v>24779316</v>
      </c>
      <c r="P49" s="562">
        <v>0.88</v>
      </c>
      <c r="Q49" s="562">
        <v>0.99</v>
      </c>
      <c r="R49" s="562">
        <v>1</v>
      </c>
      <c r="S49" s="561">
        <f>O49*P49*Q49*R49</f>
        <v>21587740.100000001</v>
      </c>
      <c r="T49" s="563">
        <v>1</v>
      </c>
      <c r="U49" s="564">
        <f>S49*T49</f>
        <v>21587740.100000001</v>
      </c>
      <c r="V49" s="565">
        <v>1</v>
      </c>
      <c r="W49" s="564">
        <f>U49*V49</f>
        <v>21587740.100000001</v>
      </c>
      <c r="X49" s="566"/>
    </row>
    <row r="50" spans="1:28" s="290" customFormat="1" ht="63" x14ac:dyDescent="0.25">
      <c r="A50" s="290">
        <v>3</v>
      </c>
      <c r="B50" s="552" t="str">
        <f t="shared" ca="1" si="0"/>
        <v>3.8.14</v>
      </c>
      <c r="C50" s="567" t="s">
        <v>2360</v>
      </c>
      <c r="D50" s="569" t="s">
        <v>1756</v>
      </c>
      <c r="E50" s="569">
        <f>200*2</f>
        <v>400</v>
      </c>
      <c r="F50" s="568" t="s">
        <v>2361</v>
      </c>
      <c r="G50" s="349">
        <v>46023</v>
      </c>
      <c r="H50" s="571">
        <f>41.57*1000</f>
        <v>41570</v>
      </c>
      <c r="I50" s="571">
        <f>163.68*1000/350</f>
        <v>467.66</v>
      </c>
      <c r="J50" s="571">
        <f>0.84*1000</f>
        <v>840</v>
      </c>
      <c r="K50" s="571">
        <f>(H50-I50-J50)*0.2%</f>
        <v>80.52</v>
      </c>
      <c r="L50" s="351">
        <f>E50*(H50-I50-J50-K50)</f>
        <v>16072728</v>
      </c>
      <c r="M50" s="572">
        <v>1</v>
      </c>
      <c r="N50" s="572">
        <v>1</v>
      </c>
      <c r="O50" s="351">
        <f>L50*M50*N50</f>
        <v>16072728</v>
      </c>
      <c r="P50" s="562">
        <v>0.88</v>
      </c>
      <c r="Q50" s="562">
        <v>0.99</v>
      </c>
      <c r="R50" s="562">
        <v>1</v>
      </c>
      <c r="S50" s="561">
        <f>O50*P50*Q50*R50</f>
        <v>14002560.630000001</v>
      </c>
      <c r="T50" s="563">
        <v>1</v>
      </c>
      <c r="U50" s="564">
        <f>S50*T50</f>
        <v>14002560.630000001</v>
      </c>
      <c r="V50" s="565">
        <v>1</v>
      </c>
      <c r="W50" s="564">
        <f>U50*V50</f>
        <v>14002560.630000001</v>
      </c>
      <c r="X50" s="566"/>
    </row>
    <row r="51" spans="1:28" s="290" customFormat="1" x14ac:dyDescent="0.25">
      <c r="A51" s="290">
        <v>3</v>
      </c>
      <c r="B51" s="552" t="str">
        <f t="shared" ca="1" si="0"/>
        <v>3.8.15</v>
      </c>
      <c r="C51" s="567" t="s">
        <v>2286</v>
      </c>
      <c r="D51" s="569" t="s">
        <v>833</v>
      </c>
      <c r="E51" s="569">
        <v>4</v>
      </c>
      <c r="F51" s="590"/>
      <c r="G51" s="627"/>
      <c r="H51" s="624"/>
      <c r="I51" s="624"/>
      <c r="J51" s="624"/>
      <c r="K51" s="624"/>
      <c r="L51" s="351"/>
      <c r="M51" s="572"/>
      <c r="N51" s="572"/>
      <c r="O51" s="561"/>
      <c r="P51" s="572"/>
      <c r="Q51" s="572"/>
      <c r="R51" s="572"/>
      <c r="S51" s="561"/>
      <c r="T51" s="563"/>
      <c r="U51" s="564"/>
      <c r="V51" s="565"/>
      <c r="W51" s="564"/>
      <c r="X51" s="566"/>
    </row>
    <row r="52" spans="1:28" s="286" customFormat="1" ht="31.5" x14ac:dyDescent="0.25">
      <c r="A52" s="375">
        <v>2</v>
      </c>
      <c r="B52" s="576" t="str">
        <f t="shared" ca="1" si="0"/>
        <v>3.9</v>
      </c>
      <c r="C52" s="577" t="s">
        <v>1147</v>
      </c>
      <c r="D52" s="578"/>
      <c r="E52" s="578"/>
      <c r="F52" s="579"/>
      <c r="G52" s="580"/>
      <c r="H52" s="581"/>
      <c r="I52" s="581"/>
      <c r="J52" s="581"/>
      <c r="K52" s="581"/>
      <c r="L52" s="638">
        <f>L53+L54+L57+L58+L59+L60+L61+L62+L63+L64+L65+L67+L69+L71+L73+L76+L78+L79+L80+L81+L86+L87+L88+L89+L90+L91+L92+L93+L97+L98+L99+L100+L101+L102+L103+L104</f>
        <v>119126774.42</v>
      </c>
      <c r="M52" s="556"/>
      <c r="N52" s="556"/>
      <c r="O52" s="638">
        <f>O53+O54+O57+O58+O59+O60+O61+O62+O63+O64+O65+O67+O69+O71+O73+O76+O78+O79+O80+O81+O86+O87+O88+O89+O90+O91+O92+O93+O97+O98+O99+O100+O101+O102+O103+O104</f>
        <v>119193084.20999999</v>
      </c>
      <c r="P52" s="556"/>
      <c r="Q52" s="556"/>
      <c r="R52" s="556"/>
      <c r="S52" s="638">
        <f>S53+S54+S57+S58+S59+S60+S61+S62+S63+S64+S65+S67+S69+S71+S73+S76+S78+S79+S80+S81+S86+S87+S88+S89+S90+S91+S92+S93+S97+S98+S99+S100+S101+S102+S103+S104</f>
        <v>115518102.11</v>
      </c>
      <c r="T52" s="600"/>
      <c r="U52" s="638">
        <f>U53+U54+U57+U58+U59+U60+U61+U62+U63+U64+U65+U67+U69+U71+U73+U76+U78+U79+U80+U81+U86+U87+U88+U89+U90+U91+U92+U93+U97+U98+U99+U100+U101+U102+U103+U104</f>
        <v>115518102.11</v>
      </c>
      <c r="V52" s="601"/>
      <c r="W52" s="638">
        <f>W53+W54+W57+W58+W59+W60+W61+W62+W63+W64+W65+W67+W69+W71+W73+W76+W78+W79+W80+W81+W86+W87+W88+W89+W90+W91+W92+W93+W97+W98+W99+W100+W101+W102+W103+W104</f>
        <v>115518102.11</v>
      </c>
      <c r="X52" s="582"/>
      <c r="Y52" s="376"/>
    </row>
    <row r="53" spans="1:28" ht="94.5" x14ac:dyDescent="0.25">
      <c r="A53" s="290">
        <v>3</v>
      </c>
      <c r="B53" s="552" t="str">
        <f t="shared" ca="1" si="0"/>
        <v>3.9.1</v>
      </c>
      <c r="C53" s="356" t="s">
        <v>2287</v>
      </c>
      <c r="D53" s="377" t="s">
        <v>946</v>
      </c>
      <c r="E53" s="381">
        <v>100</v>
      </c>
      <c r="F53" s="568" t="s">
        <v>947</v>
      </c>
      <c r="G53" s="349">
        <v>46023</v>
      </c>
      <c r="H53" s="583">
        <f>9.09*1000</f>
        <v>9090</v>
      </c>
      <c r="I53" s="583">
        <f>0.31*1000</f>
        <v>310</v>
      </c>
      <c r="J53" s="583">
        <f>0.18*1000</f>
        <v>180</v>
      </c>
      <c r="K53" s="571">
        <f>(H53-I53-J53)*0.2%</f>
        <v>17.2</v>
      </c>
      <c r="L53" s="351">
        <f>E53*(H53-I53-J53-K53)</f>
        <v>858280</v>
      </c>
      <c r="M53" s="572">
        <v>1</v>
      </c>
      <c r="N53" s="572">
        <v>1</v>
      </c>
      <c r="O53" s="351">
        <f t="shared" ref="O53:O70" si="11">L53*M53*N53</f>
        <v>858280</v>
      </c>
      <c r="P53" s="572">
        <v>0.91</v>
      </c>
      <c r="Q53" s="572">
        <v>1</v>
      </c>
      <c r="R53" s="572">
        <v>1</v>
      </c>
      <c r="S53" s="351">
        <f t="shared" ref="S53:S70" si="12">O53*P53*Q53*R53</f>
        <v>781034.8</v>
      </c>
      <c r="T53" s="563">
        <v>1</v>
      </c>
      <c r="U53" s="353">
        <f t="shared" ref="U53:U70" si="13">S53*T53</f>
        <v>781034.8</v>
      </c>
      <c r="V53" s="565">
        <v>1</v>
      </c>
      <c r="W53" s="353">
        <f t="shared" ref="W53:W70" si="14">U53*V53</f>
        <v>781034.8</v>
      </c>
      <c r="X53" s="348" t="s">
        <v>895</v>
      </c>
      <c r="Y53" s="317"/>
    </row>
    <row r="54" spans="1:28" ht="31.5" x14ac:dyDescent="0.25">
      <c r="A54" s="290">
        <v>3</v>
      </c>
      <c r="B54" s="552" t="str">
        <f t="shared" ca="1" si="0"/>
        <v>3.9.2</v>
      </c>
      <c r="C54" s="356" t="s">
        <v>1844</v>
      </c>
      <c r="D54" s="377" t="s">
        <v>2375</v>
      </c>
      <c r="E54" s="381">
        <v>1</v>
      </c>
      <c r="F54" s="568"/>
      <c r="G54" s="349"/>
      <c r="H54" s="583"/>
      <c r="I54" s="583"/>
      <c r="J54" s="583"/>
      <c r="K54" s="571"/>
      <c r="L54" s="351">
        <f>L55+L56</f>
        <v>268923.12</v>
      </c>
      <c r="M54" s="572"/>
      <c r="N54" s="572"/>
      <c r="O54" s="351">
        <f>O55+O56</f>
        <v>268923.12</v>
      </c>
      <c r="P54" s="572"/>
      <c r="Q54" s="572"/>
      <c r="R54" s="572"/>
      <c r="S54" s="351">
        <f>S55+S56</f>
        <v>230101.49</v>
      </c>
      <c r="T54" s="563"/>
      <c r="U54" s="351">
        <f>U55+U56</f>
        <v>230101.49</v>
      </c>
      <c r="V54" s="565"/>
      <c r="W54" s="351">
        <f>W55+W56</f>
        <v>230101.49</v>
      </c>
      <c r="X54" s="348"/>
      <c r="Y54" s="317"/>
    </row>
    <row r="55" spans="1:28" ht="47.25" x14ac:dyDescent="0.25">
      <c r="A55" s="290">
        <v>4</v>
      </c>
      <c r="B55" s="552" t="str">
        <f t="shared" ca="1" si="0"/>
        <v>3.9.2.1</v>
      </c>
      <c r="C55" s="356" t="s">
        <v>2374</v>
      </c>
      <c r="D55" s="379" t="s">
        <v>946</v>
      </c>
      <c r="E55" s="381">
        <v>12</v>
      </c>
      <c r="F55" s="568" t="s">
        <v>2373</v>
      </c>
      <c r="G55" s="349">
        <v>46023</v>
      </c>
      <c r="H55" s="583">
        <f>21.49*1000</f>
        <v>21490</v>
      </c>
      <c r="I55" s="583">
        <f>424.25*21.49/7092.56*1000</f>
        <v>1285.45</v>
      </c>
      <c r="J55" s="583">
        <f>0.42*1000</f>
        <v>420</v>
      </c>
      <c r="K55" s="571">
        <f>(H55-I55-J55)*0.2%</f>
        <v>39.57</v>
      </c>
      <c r="L55" s="351">
        <f t="shared" ref="L55:L65" si="15">E55*(H55-I55-J55-K55)</f>
        <v>236939.76</v>
      </c>
      <c r="M55" s="572">
        <v>1</v>
      </c>
      <c r="N55" s="572">
        <v>1</v>
      </c>
      <c r="O55" s="351">
        <f t="shared" si="11"/>
        <v>236939.76</v>
      </c>
      <c r="P55" s="572">
        <v>0.82</v>
      </c>
      <c r="Q55" s="572">
        <v>0.99</v>
      </c>
      <c r="R55" s="572">
        <v>1.03</v>
      </c>
      <c r="S55" s="351">
        <f t="shared" ref="S55:S60" si="16">O55*P55*Q55*R55</f>
        <v>198118.13</v>
      </c>
      <c r="T55" s="563">
        <v>1</v>
      </c>
      <c r="U55" s="353">
        <f t="shared" ref="U55:U60" si="17">S55*T55</f>
        <v>198118.13</v>
      </c>
      <c r="V55" s="565">
        <v>1</v>
      </c>
      <c r="W55" s="353">
        <f t="shared" ref="W55:W60" si="18">U55*V55</f>
        <v>198118.13</v>
      </c>
      <c r="X55" s="348"/>
      <c r="Y55" s="317"/>
    </row>
    <row r="56" spans="1:28" ht="90" x14ac:dyDescent="0.25">
      <c r="A56" s="290">
        <v>4</v>
      </c>
      <c r="B56" s="552" t="str">
        <f t="shared" ca="1" si="0"/>
        <v>3.9.2.2</v>
      </c>
      <c r="C56" s="356" t="s">
        <v>2376</v>
      </c>
      <c r="D56" s="379" t="s">
        <v>833</v>
      </c>
      <c r="E56" s="381">
        <v>2</v>
      </c>
      <c r="F56" s="637" t="s">
        <v>2377</v>
      </c>
      <c r="G56" s="349">
        <v>46204</v>
      </c>
      <c r="H56" s="583">
        <f>18350/1.22*1.012*1.03*1.02</f>
        <v>15991.68</v>
      </c>
      <c r="I56" s="583"/>
      <c r="J56" s="583"/>
      <c r="K56" s="571"/>
      <c r="L56" s="351">
        <f t="shared" si="15"/>
        <v>31983.360000000001</v>
      </c>
      <c r="M56" s="572">
        <v>1</v>
      </c>
      <c r="N56" s="572">
        <v>1</v>
      </c>
      <c r="O56" s="351">
        <f t="shared" si="11"/>
        <v>31983.360000000001</v>
      </c>
      <c r="P56" s="572">
        <v>1</v>
      </c>
      <c r="Q56" s="572">
        <v>1</v>
      </c>
      <c r="R56" s="572">
        <v>1</v>
      </c>
      <c r="S56" s="351">
        <f t="shared" si="16"/>
        <v>31983.360000000001</v>
      </c>
      <c r="T56" s="563">
        <v>1</v>
      </c>
      <c r="U56" s="353">
        <f t="shared" si="17"/>
        <v>31983.360000000001</v>
      </c>
      <c r="V56" s="565">
        <v>1</v>
      </c>
      <c r="W56" s="353">
        <f t="shared" si="18"/>
        <v>31983.360000000001</v>
      </c>
      <c r="X56" s="348"/>
      <c r="Y56" s="317"/>
    </row>
    <row r="57" spans="1:28" ht="78.75" x14ac:dyDescent="0.25">
      <c r="A57" s="290">
        <v>3</v>
      </c>
      <c r="B57" s="552" t="str">
        <f t="shared" ca="1" si="0"/>
        <v>3.9.3</v>
      </c>
      <c r="C57" s="356" t="s">
        <v>2368</v>
      </c>
      <c r="D57" s="377" t="s">
        <v>2367</v>
      </c>
      <c r="E57" s="381">
        <f>102*34</f>
        <v>3468</v>
      </c>
      <c r="F57" s="590" t="s">
        <v>2366</v>
      </c>
      <c r="G57" s="574">
        <v>46204</v>
      </c>
      <c r="H57" s="628">
        <f>100000000/1.22/(68*72)</f>
        <v>16741.669999999998</v>
      </c>
      <c r="I57" s="628"/>
      <c r="J57" s="628"/>
      <c r="K57" s="624"/>
      <c r="L57" s="351">
        <f t="shared" si="15"/>
        <v>58060111.560000002</v>
      </c>
      <c r="M57" s="572">
        <v>1</v>
      </c>
      <c r="N57" s="572">
        <v>1</v>
      </c>
      <c r="O57" s="351">
        <f t="shared" si="11"/>
        <v>58060111.560000002</v>
      </c>
      <c r="P57" s="572">
        <v>1</v>
      </c>
      <c r="Q57" s="572">
        <v>1</v>
      </c>
      <c r="R57" s="572">
        <v>1</v>
      </c>
      <c r="S57" s="351">
        <f t="shared" si="16"/>
        <v>58060111.560000002</v>
      </c>
      <c r="T57" s="563">
        <v>1</v>
      </c>
      <c r="U57" s="353">
        <f t="shared" si="17"/>
        <v>58060111.560000002</v>
      </c>
      <c r="V57" s="565">
        <v>1</v>
      </c>
      <c r="W57" s="353">
        <f t="shared" si="18"/>
        <v>58060111.560000002</v>
      </c>
      <c r="X57" s="348"/>
      <c r="Y57" s="317" t="s">
        <v>2372</v>
      </c>
      <c r="Z57" s="287">
        <f>102*34*18</f>
        <v>62424</v>
      </c>
      <c r="AA57" s="635">
        <f>100000000/1.22/(68*72*25.5)</f>
        <v>656.54</v>
      </c>
      <c r="AB57" s="636">
        <f>Z57*AA57</f>
        <v>40983852.960000001</v>
      </c>
    </row>
    <row r="58" spans="1:28" ht="78.75" x14ac:dyDescent="0.25">
      <c r="A58" s="290">
        <v>3</v>
      </c>
      <c r="B58" s="552" t="str">
        <f t="shared" ca="1" si="0"/>
        <v>3.9.4</v>
      </c>
      <c r="C58" s="356" t="s">
        <v>2369</v>
      </c>
      <c r="D58" s="377" t="s">
        <v>2367</v>
      </c>
      <c r="E58" s="381">
        <f>25*14</f>
        <v>350</v>
      </c>
      <c r="F58" s="590" t="s">
        <v>2366</v>
      </c>
      <c r="G58" s="574">
        <v>46204</v>
      </c>
      <c r="H58" s="628">
        <f>100000000/1.22/(68*72)</f>
        <v>16741.669999999998</v>
      </c>
      <c r="I58" s="628"/>
      <c r="J58" s="628"/>
      <c r="K58" s="624"/>
      <c r="L58" s="351">
        <f t="shared" si="15"/>
        <v>5859584.5</v>
      </c>
      <c r="M58" s="572">
        <v>1</v>
      </c>
      <c r="N58" s="572">
        <v>1</v>
      </c>
      <c r="O58" s="351">
        <f t="shared" si="11"/>
        <v>5859584.5</v>
      </c>
      <c r="P58" s="572">
        <v>1</v>
      </c>
      <c r="Q58" s="572">
        <v>1</v>
      </c>
      <c r="R58" s="572">
        <v>1</v>
      </c>
      <c r="S58" s="351">
        <f t="shared" si="16"/>
        <v>5859584.5</v>
      </c>
      <c r="T58" s="563">
        <v>1</v>
      </c>
      <c r="U58" s="353">
        <f t="shared" si="17"/>
        <v>5859584.5</v>
      </c>
      <c r="V58" s="565">
        <v>1</v>
      </c>
      <c r="W58" s="353">
        <f t="shared" si="18"/>
        <v>5859584.5</v>
      </c>
      <c r="X58" s="348"/>
      <c r="Y58" s="317" t="s">
        <v>2372</v>
      </c>
      <c r="Z58" s="287">
        <f>25*14*7</f>
        <v>2450</v>
      </c>
      <c r="AA58" s="635">
        <f>100000000/1.22/(68*72*25.5)</f>
        <v>656.54</v>
      </c>
      <c r="AB58" s="636">
        <f>Z58*AA58</f>
        <v>1608523</v>
      </c>
    </row>
    <row r="59" spans="1:28" ht="94.5" x14ac:dyDescent="0.25">
      <c r="A59" s="290">
        <v>3</v>
      </c>
      <c r="B59" s="552" t="str">
        <f t="shared" ca="1" si="0"/>
        <v>3.9.5</v>
      </c>
      <c r="C59" s="356" t="s">
        <v>2371</v>
      </c>
      <c r="D59" s="377" t="s">
        <v>2367</v>
      </c>
      <c r="E59" s="381">
        <f>10*5*8</f>
        <v>400</v>
      </c>
      <c r="F59" s="590" t="s">
        <v>2366</v>
      </c>
      <c r="G59" s="574">
        <v>46204</v>
      </c>
      <c r="H59" s="628">
        <f>100000000/1.22/(68*72)</f>
        <v>16741.669999999998</v>
      </c>
      <c r="I59" s="628"/>
      <c r="J59" s="628"/>
      <c r="K59" s="624"/>
      <c r="L59" s="351">
        <f t="shared" si="15"/>
        <v>6696668</v>
      </c>
      <c r="M59" s="572">
        <v>1</v>
      </c>
      <c r="N59" s="572">
        <v>1</v>
      </c>
      <c r="O59" s="351">
        <f t="shared" si="11"/>
        <v>6696668</v>
      </c>
      <c r="P59" s="572">
        <v>1</v>
      </c>
      <c r="Q59" s="572">
        <v>1</v>
      </c>
      <c r="R59" s="572">
        <v>1</v>
      </c>
      <c r="S59" s="351">
        <f t="shared" si="16"/>
        <v>6696668</v>
      </c>
      <c r="T59" s="563">
        <v>1</v>
      </c>
      <c r="U59" s="353">
        <f t="shared" si="17"/>
        <v>6696668</v>
      </c>
      <c r="V59" s="565">
        <v>1</v>
      </c>
      <c r="W59" s="353">
        <f t="shared" si="18"/>
        <v>6696668</v>
      </c>
      <c r="X59" s="348"/>
      <c r="Y59" s="317" t="s">
        <v>2372</v>
      </c>
      <c r="Z59" s="287">
        <f>10*5*6*8</f>
        <v>2400</v>
      </c>
      <c r="AA59" s="635">
        <f>100000000/1.22/(68*72*25.5)</f>
        <v>656.54</v>
      </c>
      <c r="AB59" s="636">
        <f>Z59*AA59</f>
        <v>1575696</v>
      </c>
    </row>
    <row r="60" spans="1:28" ht="78.75" x14ac:dyDescent="0.25">
      <c r="A60" s="290">
        <v>3</v>
      </c>
      <c r="B60" s="552" t="str">
        <f t="shared" ca="1" si="0"/>
        <v>3.9.6</v>
      </c>
      <c r="C60" s="356" t="s">
        <v>2370</v>
      </c>
      <c r="D60" s="377" t="s">
        <v>2367</v>
      </c>
      <c r="E60" s="381">
        <f>10*12</f>
        <v>120</v>
      </c>
      <c r="F60" s="590" t="s">
        <v>2366</v>
      </c>
      <c r="G60" s="574">
        <v>46204</v>
      </c>
      <c r="H60" s="628">
        <f>100000000/1.22/(68*72)</f>
        <v>16741.669999999998</v>
      </c>
      <c r="I60" s="628"/>
      <c r="J60" s="628"/>
      <c r="K60" s="624"/>
      <c r="L60" s="351">
        <f t="shared" si="15"/>
        <v>2009000.4</v>
      </c>
      <c r="M60" s="572">
        <v>1</v>
      </c>
      <c r="N60" s="572">
        <v>1</v>
      </c>
      <c r="O60" s="351">
        <f t="shared" si="11"/>
        <v>2009000.4</v>
      </c>
      <c r="P60" s="572">
        <v>1</v>
      </c>
      <c r="Q60" s="572">
        <v>1</v>
      </c>
      <c r="R60" s="572">
        <v>1</v>
      </c>
      <c r="S60" s="351">
        <f t="shared" si="16"/>
        <v>2009000.4</v>
      </c>
      <c r="T60" s="563">
        <v>1</v>
      </c>
      <c r="U60" s="353">
        <f t="shared" si="17"/>
        <v>2009000.4</v>
      </c>
      <c r="V60" s="565">
        <v>1</v>
      </c>
      <c r="W60" s="353">
        <f t="shared" si="18"/>
        <v>2009000.4</v>
      </c>
      <c r="X60" s="348"/>
      <c r="Y60" s="317" t="s">
        <v>2372</v>
      </c>
      <c r="Z60" s="287">
        <f>10*12*7</f>
        <v>840</v>
      </c>
      <c r="AA60" s="635">
        <f>100000000/1.22/(68*72*25.5)</f>
        <v>656.54</v>
      </c>
      <c r="AB60" s="636">
        <f>Z60*AA60</f>
        <v>551493.6</v>
      </c>
    </row>
    <row r="61" spans="1:28" s="290" customFormat="1" ht="110.25" x14ac:dyDescent="0.25">
      <c r="A61" s="290">
        <v>3</v>
      </c>
      <c r="B61" s="552" t="str">
        <f t="shared" ca="1" si="0"/>
        <v>3.9.7</v>
      </c>
      <c r="C61" s="584" t="s">
        <v>956</v>
      </c>
      <c r="D61" s="568" t="s">
        <v>764</v>
      </c>
      <c r="E61" s="569">
        <f>200/1000</f>
        <v>0.2</v>
      </c>
      <c r="F61" s="568" t="s">
        <v>957</v>
      </c>
      <c r="G61" s="349">
        <v>46023</v>
      </c>
      <c r="H61" s="585">
        <f>11145.63*1000</f>
        <v>11145630</v>
      </c>
      <c r="I61" s="585">
        <f>564.98*1000</f>
        <v>564980</v>
      </c>
      <c r="J61" s="585">
        <f>221.68*1000</f>
        <v>221680</v>
      </c>
      <c r="K61" s="571">
        <f>(H61-I61-J61)*0.2%</f>
        <v>20717.939999999999</v>
      </c>
      <c r="L61" s="351">
        <f t="shared" si="15"/>
        <v>2067650.41</v>
      </c>
      <c r="M61" s="585">
        <v>1</v>
      </c>
      <c r="N61" s="585">
        <v>1</v>
      </c>
      <c r="O61" s="585">
        <f t="shared" si="11"/>
        <v>2067650.41</v>
      </c>
      <c r="P61" s="585">
        <v>0.87</v>
      </c>
      <c r="Q61" s="585">
        <v>0.99</v>
      </c>
      <c r="R61" s="585">
        <v>1</v>
      </c>
      <c r="S61" s="585">
        <f t="shared" si="12"/>
        <v>1780867.3</v>
      </c>
      <c r="T61" s="563">
        <v>1</v>
      </c>
      <c r="U61" s="585">
        <f t="shared" si="13"/>
        <v>1780867.3</v>
      </c>
      <c r="V61" s="565">
        <v>1</v>
      </c>
      <c r="W61" s="585">
        <f t="shared" si="14"/>
        <v>1780867.3</v>
      </c>
      <c r="X61" s="586"/>
    </row>
    <row r="62" spans="1:28" s="290" customFormat="1" ht="223.5" x14ac:dyDescent="0.25">
      <c r="A62" s="290">
        <v>3</v>
      </c>
      <c r="B62" s="552" t="str">
        <f ca="1">IF(A62&gt;OFFSET(A62,-1,0),OFFSET(B62,-1,0)&amp;"."&amp;1,LEFT(OFFSET(B62,-1,0),SEARCH("^^",SUBSTITUTE("."&amp;OFFSET(B62,-1,0),".","^^",A62))-1)&amp;1--MID(OFFSET(B62,-1,0),SEARCH("^^",SUBSTITUTE("."&amp;OFFSET(B62,-1,0),".","^^",A62)),SEARCH("^^",SUBSTITUTE(OFFSET(B62,-1,0)&amp;".",".","^^",A62))-SEARCH("^^",SUBSTITUTE("."&amp;OFFSET(B62,-1,0),".","^^",A62))))</f>
        <v>3.9.8</v>
      </c>
      <c r="C62" s="567" t="s">
        <v>959</v>
      </c>
      <c r="D62" s="569" t="s">
        <v>764</v>
      </c>
      <c r="E62" s="569">
        <f>300/1000</f>
        <v>0.3</v>
      </c>
      <c r="F62" s="568" t="s">
        <v>960</v>
      </c>
      <c r="G62" s="349">
        <v>46023</v>
      </c>
      <c r="H62" s="571">
        <f>3406.53*1000</f>
        <v>3406530</v>
      </c>
      <c r="I62" s="571">
        <f>131.51*1000</f>
        <v>131510</v>
      </c>
      <c r="J62" s="571">
        <f>68.62*1000</f>
        <v>68620</v>
      </c>
      <c r="K62" s="571">
        <f>(H62-I62-J62)*0.2%</f>
        <v>6412.8</v>
      </c>
      <c r="L62" s="351">
        <f t="shared" si="15"/>
        <v>959996.16</v>
      </c>
      <c r="M62" s="585">
        <v>1</v>
      </c>
      <c r="N62" s="585">
        <v>1.02</v>
      </c>
      <c r="O62" s="585">
        <f t="shared" si="11"/>
        <v>979196.08</v>
      </c>
      <c r="P62" s="585">
        <v>0.9</v>
      </c>
      <c r="Q62" s="585">
        <v>0.99</v>
      </c>
      <c r="R62" s="585">
        <v>1</v>
      </c>
      <c r="S62" s="585">
        <f t="shared" si="12"/>
        <v>872463.71</v>
      </c>
      <c r="T62" s="563">
        <v>1</v>
      </c>
      <c r="U62" s="585">
        <f t="shared" si="13"/>
        <v>872463.71</v>
      </c>
      <c r="V62" s="565">
        <v>1</v>
      </c>
      <c r="W62" s="585">
        <f t="shared" si="14"/>
        <v>872463.71</v>
      </c>
      <c r="X62" s="566" t="s">
        <v>958</v>
      </c>
    </row>
    <row r="63" spans="1:28" s="290" customFormat="1" ht="267" customHeight="1" x14ac:dyDescent="0.25">
      <c r="A63" s="290">
        <v>3</v>
      </c>
      <c r="B63" s="552" t="str">
        <f ca="1">IF(A63&gt;OFFSET(A63,-1,0),OFFSET(B63,-1,0)&amp;"."&amp;1,LEFT(OFFSET(B63,-1,0),SEARCH("^^",SUBSTITUTE("."&amp;OFFSET(B63,-1,0),".","^^",A63))-1)&amp;1--MID(OFFSET(B63,-1,0),SEARCH("^^",SUBSTITUTE("."&amp;OFFSET(B63,-1,0),".","^^",A63)),SEARCH("^^",SUBSTITUTE(OFFSET(B63,-1,0)&amp;".",".","^^",A63))-SEARCH("^^",SUBSTITUTE("."&amp;OFFSET(B63,-1,0),".","^^",A63))))</f>
        <v>3.9.9</v>
      </c>
      <c r="C63" s="567" t="s">
        <v>2283</v>
      </c>
      <c r="D63" s="569" t="s">
        <v>981</v>
      </c>
      <c r="E63" s="569">
        <v>1</v>
      </c>
      <c r="F63" s="382" t="s">
        <v>2288</v>
      </c>
      <c r="G63" s="383">
        <v>46023</v>
      </c>
      <c r="H63" s="384">
        <f>(1232.19-(12000-7500)*(1232.19-727.55)/(12000-3000))*1000</f>
        <v>979870</v>
      </c>
      <c r="I63" s="384">
        <f>(33.76-(12000-7500)*(33.76-25.98)/(12000-3000))*1000</f>
        <v>29870</v>
      </c>
      <c r="J63" s="384">
        <f>(25.11-(12000-7500)*(25.11-14.7)/(12000-3000))*1000</f>
        <v>19905</v>
      </c>
      <c r="K63" s="571">
        <f>(H63-I63-J63)*0.2%</f>
        <v>1860.19</v>
      </c>
      <c r="L63" s="351">
        <f t="shared" si="15"/>
        <v>928234.81</v>
      </c>
      <c r="M63" s="572">
        <v>1</v>
      </c>
      <c r="N63" s="572">
        <v>1</v>
      </c>
      <c r="O63" s="561">
        <f t="shared" si="11"/>
        <v>928234.81</v>
      </c>
      <c r="P63" s="572">
        <v>0.88</v>
      </c>
      <c r="Q63" s="572">
        <v>0.99</v>
      </c>
      <c r="R63" s="572">
        <v>1</v>
      </c>
      <c r="S63" s="561">
        <f t="shared" si="12"/>
        <v>808678.17</v>
      </c>
      <c r="T63" s="563">
        <v>1</v>
      </c>
      <c r="U63" s="564">
        <f t="shared" si="13"/>
        <v>808678.17</v>
      </c>
      <c r="V63" s="565">
        <v>1</v>
      </c>
      <c r="W63" s="564">
        <f t="shared" si="14"/>
        <v>808678.17</v>
      </c>
      <c r="X63" s="566" t="s">
        <v>2282</v>
      </c>
    </row>
    <row r="64" spans="1:28" s="290" customFormat="1" ht="126" x14ac:dyDescent="0.25">
      <c r="A64" s="290">
        <v>3</v>
      </c>
      <c r="B64" s="552" t="str">
        <f ca="1">IF(A64&gt;OFFSET(A64,-1,0),OFFSET(B64,-1,0)&amp;"."&amp;1,LEFT(OFFSET(B64,-1,0),SEARCH("^^",SUBSTITUTE("."&amp;OFFSET(B64,-1,0),".","^^",A64))-1)&amp;1--MID(OFFSET(B64,-1,0),SEARCH("^^",SUBSTITUTE("."&amp;OFFSET(B64,-1,0),".","^^",A64)),SEARCH("^^",SUBSTITUTE(OFFSET(B64,-1,0)&amp;".",".","^^",A64))-SEARCH("^^",SUBSTITUTE("."&amp;OFFSET(B64,-1,0),".","^^",A64))))</f>
        <v>3.9.10</v>
      </c>
      <c r="C64" s="567" t="s">
        <v>896</v>
      </c>
      <c r="D64" s="379" t="s">
        <v>948</v>
      </c>
      <c r="E64" s="380">
        <f>540/100</f>
        <v>5.4</v>
      </c>
      <c r="F64" s="568" t="s">
        <v>2289</v>
      </c>
      <c r="G64" s="349">
        <v>46023</v>
      </c>
      <c r="H64" s="583">
        <f>1591.54*1000</f>
        <v>1591540</v>
      </c>
      <c r="I64" s="583">
        <f>2.79*1000</f>
        <v>2790</v>
      </c>
      <c r="J64" s="583">
        <f>33.29*1000</f>
        <v>33290</v>
      </c>
      <c r="K64" s="571">
        <f>(H64-I64-J64)*0.2%</f>
        <v>3110.92</v>
      </c>
      <c r="L64" s="351">
        <f t="shared" si="15"/>
        <v>8382685.0300000003</v>
      </c>
      <c r="M64" s="562">
        <v>1</v>
      </c>
      <c r="N64" s="562">
        <v>1</v>
      </c>
      <c r="O64" s="561">
        <f t="shared" si="11"/>
        <v>8382685.0300000003</v>
      </c>
      <c r="P64" s="562">
        <v>0.89</v>
      </c>
      <c r="Q64" s="562">
        <v>0.99</v>
      </c>
      <c r="R64" s="562">
        <v>1</v>
      </c>
      <c r="S64" s="561">
        <f t="shared" si="12"/>
        <v>7385983.7800000003</v>
      </c>
      <c r="T64" s="563">
        <v>1</v>
      </c>
      <c r="U64" s="564">
        <f t="shared" si="13"/>
        <v>7385983.7800000003</v>
      </c>
      <c r="V64" s="565">
        <v>1</v>
      </c>
      <c r="W64" s="564">
        <f t="shared" si="14"/>
        <v>7385983.7800000003</v>
      </c>
      <c r="X64" s="566" t="s">
        <v>898</v>
      </c>
    </row>
    <row r="65" spans="1:25" ht="126" x14ac:dyDescent="0.25">
      <c r="A65" s="290">
        <v>3</v>
      </c>
      <c r="B65" s="552" t="str">
        <f ca="1">IF(A65&gt;OFFSET(A65,-1,0),OFFSET(B65,-1,0)&amp;"."&amp;1,LEFT(OFFSET(B65,-1,0),SEARCH("^^",SUBSTITUTE("."&amp;OFFSET(B65,-1,0),".","^^",A65))-1)&amp;1--MID(OFFSET(B65,-1,0),SEARCH("^^",SUBSTITUTE("."&amp;OFFSET(B65,-1,0),".","^^",A65)),SEARCH("^^",SUBSTITUTE(OFFSET(B65,-1,0)&amp;".",".","^^",A65))-SEARCH("^^",SUBSTITUTE("."&amp;OFFSET(B65,-1,0),".","^^",A65))))</f>
        <v>3.9.11</v>
      </c>
      <c r="C65" s="356" t="s">
        <v>899</v>
      </c>
      <c r="D65" s="357" t="s">
        <v>764</v>
      </c>
      <c r="E65" s="357">
        <f>250/1000</f>
        <v>0.25</v>
      </c>
      <c r="F65" s="358" t="s">
        <v>964</v>
      </c>
      <c r="G65" s="349">
        <v>46023</v>
      </c>
      <c r="H65" s="350">
        <f>4579.25*1000</f>
        <v>4579250</v>
      </c>
      <c r="I65" s="350">
        <f>215.47*1000</f>
        <v>215470</v>
      </c>
      <c r="J65" s="350">
        <f>91.43*1000</f>
        <v>91430</v>
      </c>
      <c r="K65" s="571">
        <f>(H65-I65-J65)*0.2%</f>
        <v>8544.7000000000007</v>
      </c>
      <c r="L65" s="351">
        <f t="shared" si="15"/>
        <v>1065951.33</v>
      </c>
      <c r="M65" s="572">
        <v>1</v>
      </c>
      <c r="N65" s="572">
        <v>1</v>
      </c>
      <c r="O65" s="351">
        <f t="shared" si="11"/>
        <v>1065951.33</v>
      </c>
      <c r="P65" s="572">
        <v>0.86</v>
      </c>
      <c r="Q65" s="572">
        <v>0.99</v>
      </c>
      <c r="R65" s="572">
        <v>1.01</v>
      </c>
      <c r="S65" s="351">
        <f t="shared" si="12"/>
        <v>916626.47</v>
      </c>
      <c r="T65" s="563">
        <v>1</v>
      </c>
      <c r="U65" s="353">
        <f t="shared" si="13"/>
        <v>916626.47</v>
      </c>
      <c r="V65" s="565">
        <v>1</v>
      </c>
      <c r="W65" s="353">
        <f t="shared" si="14"/>
        <v>916626.47</v>
      </c>
      <c r="X65" s="348" t="s">
        <v>963</v>
      </c>
      <c r="Y65" s="317"/>
    </row>
    <row r="66" spans="1:25" x14ac:dyDescent="0.25">
      <c r="A66" s="290">
        <v>4</v>
      </c>
      <c r="B66" s="552" t="str">
        <f ca="1">IF(A66&gt;OFFSET(A66,-1,0),OFFSET(B66,-1,0)&amp;"."&amp;1,LEFT(OFFSET(B66,-1,0),SEARCH("^^",SUBSTITUTE("."&amp;OFFSET(B66,-1,0),".","^^",A66))-1)&amp;1--MID(OFFSET(B66,-1,0),SEARCH("^^",SUBSTITUTE("."&amp;OFFSET(B66,-1,0),".","^^",A66)),SEARCH("^^",SUBSTITUTE(OFFSET(B66,-1,0)&amp;".",".","^^",A66))-SEARCH("^^",SUBSTITUTE("."&amp;OFFSET(B66,-1,0),".","^^",A66))))</f>
        <v>3.9.11.1</v>
      </c>
      <c r="C66" s="356" t="s">
        <v>900</v>
      </c>
      <c r="D66" s="357" t="s">
        <v>901</v>
      </c>
      <c r="E66" s="357" t="s">
        <v>889</v>
      </c>
      <c r="F66" s="358" t="str">
        <f ca="1">CONCATENATE("учтено в п.",B65)</f>
        <v>учтено в п.3.9.11</v>
      </c>
      <c r="G66" s="349"/>
      <c r="H66" s="350"/>
      <c r="I66" s="350"/>
      <c r="J66" s="350"/>
      <c r="K66" s="350"/>
      <c r="L66" s="351"/>
      <c r="M66" s="572"/>
      <c r="N66" s="572"/>
      <c r="O66" s="351">
        <f t="shared" si="11"/>
        <v>0</v>
      </c>
      <c r="P66" s="572"/>
      <c r="Q66" s="572"/>
      <c r="R66" s="572"/>
      <c r="S66" s="351">
        <f t="shared" si="12"/>
        <v>0</v>
      </c>
      <c r="T66" s="563">
        <v>1</v>
      </c>
      <c r="U66" s="353">
        <f t="shared" si="13"/>
        <v>0</v>
      </c>
      <c r="V66" s="565">
        <v>1</v>
      </c>
      <c r="W66" s="353">
        <f t="shared" si="14"/>
        <v>0</v>
      </c>
      <c r="X66" s="348"/>
      <c r="Y66" s="317"/>
    </row>
    <row r="67" spans="1:25" ht="126" x14ac:dyDescent="0.25">
      <c r="A67" s="290">
        <v>3</v>
      </c>
      <c r="B67" s="552" t="str">
        <f t="shared" ref="B67:B76" ca="1" si="19">IF(A67&gt;OFFSET(A67,-1,0),OFFSET(B67,-1,0)&amp;"."&amp;1,LEFT(OFFSET(B67,-1,0),SEARCH("^^",SUBSTITUTE("."&amp;OFFSET(B67,-1,0),".","^^",A67))-1)&amp;1--MID(OFFSET(B67,-1,0),SEARCH("^^",SUBSTITUTE("."&amp;OFFSET(B67,-1,0),".","^^",A67)),SEARCH("^^",SUBSTITUTE(OFFSET(B67,-1,0)&amp;".",".","^^",A67))-SEARCH("^^",SUBSTITUTE("."&amp;OFFSET(B67,-1,0),".","^^",A67))))</f>
        <v>3.9.12</v>
      </c>
      <c r="C67" s="356" t="s">
        <v>969</v>
      </c>
      <c r="D67" s="357" t="s">
        <v>764</v>
      </c>
      <c r="E67" s="357">
        <f>350/1000</f>
        <v>0.35</v>
      </c>
      <c r="F67" s="358" t="s">
        <v>966</v>
      </c>
      <c r="G67" s="349">
        <v>46023</v>
      </c>
      <c r="H67" s="350">
        <f>6840.03*1000</f>
        <v>6840030</v>
      </c>
      <c r="I67" s="350">
        <f>315.18*1000</f>
        <v>315180</v>
      </c>
      <c r="J67" s="350">
        <f>136.71*1000</f>
        <v>136710</v>
      </c>
      <c r="K67" s="571">
        <f>(H67-I67-J67)*0.2%</f>
        <v>12776.28</v>
      </c>
      <c r="L67" s="351">
        <f>E67*(H67-I67-J67-K67)</f>
        <v>2231377.2999999998</v>
      </c>
      <c r="M67" s="572">
        <v>1</v>
      </c>
      <c r="N67" s="572">
        <v>1</v>
      </c>
      <c r="O67" s="351">
        <f>L67*M67*N67</f>
        <v>2231377.2999999998</v>
      </c>
      <c r="P67" s="572">
        <v>0.86</v>
      </c>
      <c r="Q67" s="572">
        <v>0.99</v>
      </c>
      <c r="R67" s="572">
        <v>1.01</v>
      </c>
      <c r="S67" s="351">
        <f>O67*P67*Q67*R67</f>
        <v>1918792.58</v>
      </c>
      <c r="T67" s="563">
        <v>1</v>
      </c>
      <c r="U67" s="353">
        <f>S67*T67</f>
        <v>1918792.58</v>
      </c>
      <c r="V67" s="565">
        <v>1</v>
      </c>
      <c r="W67" s="353">
        <f>U67*V67</f>
        <v>1918792.58</v>
      </c>
      <c r="X67" s="348" t="s">
        <v>965</v>
      </c>
      <c r="Y67" s="317"/>
    </row>
    <row r="68" spans="1:25" x14ac:dyDescent="0.25">
      <c r="A68" s="290">
        <v>4</v>
      </c>
      <c r="B68" s="552" t="str">
        <f t="shared" ca="1" si="19"/>
        <v>3.9.12.1</v>
      </c>
      <c r="C68" s="356" t="s">
        <v>902</v>
      </c>
      <c r="D68" s="357" t="s">
        <v>901</v>
      </c>
      <c r="E68" s="357" t="s">
        <v>889</v>
      </c>
      <c r="F68" s="358" t="str">
        <f ca="1">CONCATENATE("учтено в п.",B67)</f>
        <v>учтено в п.3.9.12</v>
      </c>
      <c r="G68" s="349"/>
      <c r="H68" s="350"/>
      <c r="I68" s="350"/>
      <c r="J68" s="350"/>
      <c r="K68" s="350"/>
      <c r="L68" s="351"/>
      <c r="M68" s="572"/>
      <c r="N68" s="572"/>
      <c r="O68" s="351">
        <f t="shared" si="11"/>
        <v>0</v>
      </c>
      <c r="P68" s="572"/>
      <c r="Q68" s="572"/>
      <c r="R68" s="572"/>
      <c r="S68" s="351">
        <f t="shared" si="12"/>
        <v>0</v>
      </c>
      <c r="T68" s="563">
        <v>1</v>
      </c>
      <c r="U68" s="353">
        <f t="shared" si="13"/>
        <v>0</v>
      </c>
      <c r="V68" s="565">
        <v>1</v>
      </c>
      <c r="W68" s="353">
        <f t="shared" si="14"/>
        <v>0</v>
      </c>
      <c r="X68" s="348"/>
      <c r="Y68" s="317"/>
    </row>
    <row r="69" spans="1:25" ht="110.25" x14ac:dyDescent="0.25">
      <c r="A69" s="290">
        <v>3</v>
      </c>
      <c r="B69" s="552" t="str">
        <f t="shared" ca="1" si="19"/>
        <v>3.9.13</v>
      </c>
      <c r="C69" s="356" t="s">
        <v>968</v>
      </c>
      <c r="D69" s="357" t="s">
        <v>764</v>
      </c>
      <c r="E69" s="357">
        <f>250/1000</f>
        <v>0.25</v>
      </c>
      <c r="F69" s="358" t="s">
        <v>970</v>
      </c>
      <c r="G69" s="349">
        <v>46023</v>
      </c>
      <c r="H69" s="350">
        <f>6114.7*1000</f>
        <v>6114700</v>
      </c>
      <c r="I69" s="350">
        <f>289.79*1000</f>
        <v>289790</v>
      </c>
      <c r="J69" s="350">
        <f>122.04*1000</f>
        <v>122040</v>
      </c>
      <c r="K69" s="571">
        <f>(H69-I69-J69)*0.2%</f>
        <v>11405.74</v>
      </c>
      <c r="L69" s="351">
        <f>E69*(H69-I69-J69-K69)</f>
        <v>1422866.07</v>
      </c>
      <c r="M69" s="572">
        <v>1</v>
      </c>
      <c r="N69" s="572">
        <v>1</v>
      </c>
      <c r="O69" s="350">
        <f t="shared" si="11"/>
        <v>1422866.07</v>
      </c>
      <c r="P69" s="572">
        <v>0.83</v>
      </c>
      <c r="Q69" s="572">
        <v>0.98</v>
      </c>
      <c r="R69" s="572">
        <v>1</v>
      </c>
      <c r="S69" s="351">
        <f t="shared" si="12"/>
        <v>1157359.26</v>
      </c>
      <c r="T69" s="563">
        <v>1</v>
      </c>
      <c r="U69" s="353">
        <f t="shared" si="13"/>
        <v>1157359.26</v>
      </c>
      <c r="V69" s="565">
        <v>1</v>
      </c>
      <c r="W69" s="353">
        <f t="shared" si="14"/>
        <v>1157359.26</v>
      </c>
      <c r="X69" s="348" t="s">
        <v>967</v>
      </c>
      <c r="Y69" s="317"/>
    </row>
    <row r="70" spans="1:25" x14ac:dyDescent="0.25">
      <c r="A70" s="290">
        <v>4</v>
      </c>
      <c r="B70" s="552" t="str">
        <f t="shared" ca="1" si="19"/>
        <v>3.9.13.1</v>
      </c>
      <c r="C70" s="356" t="s">
        <v>903</v>
      </c>
      <c r="D70" s="357" t="s">
        <v>901</v>
      </c>
      <c r="E70" s="357" t="s">
        <v>889</v>
      </c>
      <c r="F70" s="358" t="str">
        <f ca="1">CONCATENATE("учтено в п.",B69)</f>
        <v>учтено в п.3.9.13</v>
      </c>
      <c r="G70" s="349"/>
      <c r="H70" s="350"/>
      <c r="I70" s="350"/>
      <c r="J70" s="350"/>
      <c r="K70" s="350"/>
      <c r="L70" s="351"/>
      <c r="M70" s="572"/>
      <c r="N70" s="572"/>
      <c r="O70" s="351">
        <f t="shared" si="11"/>
        <v>0</v>
      </c>
      <c r="P70" s="572"/>
      <c r="Q70" s="572"/>
      <c r="R70" s="572"/>
      <c r="S70" s="351">
        <f t="shared" si="12"/>
        <v>0</v>
      </c>
      <c r="T70" s="563">
        <v>1</v>
      </c>
      <c r="U70" s="353">
        <f t="shared" si="13"/>
        <v>0</v>
      </c>
      <c r="V70" s="565">
        <v>1</v>
      </c>
      <c r="W70" s="353">
        <f t="shared" si="14"/>
        <v>0</v>
      </c>
      <c r="X70" s="348"/>
      <c r="Y70" s="317"/>
    </row>
    <row r="71" spans="1:25" ht="110.25" x14ac:dyDescent="0.25">
      <c r="A71" s="290">
        <v>3</v>
      </c>
      <c r="B71" s="552" t="str">
        <f t="shared" ca="1" si="19"/>
        <v>3.9.14</v>
      </c>
      <c r="C71" s="356" t="s">
        <v>972</v>
      </c>
      <c r="D71" s="357" t="s">
        <v>764</v>
      </c>
      <c r="E71" s="357">
        <f>450/1000</f>
        <v>0.45</v>
      </c>
      <c r="F71" s="358" t="s">
        <v>973</v>
      </c>
      <c r="G71" s="349">
        <v>46023</v>
      </c>
      <c r="H71" s="350">
        <f>7040.31*1000</f>
        <v>7040310</v>
      </c>
      <c r="I71" s="350">
        <f>348.25*1000</f>
        <v>348250</v>
      </c>
      <c r="J71" s="350">
        <f>140.21*1000</f>
        <v>140210</v>
      </c>
      <c r="K71" s="571">
        <f>(H71-I71-J71)*0.2%</f>
        <v>13103.7</v>
      </c>
      <c r="L71" s="351">
        <f>E71*(H71-I71-J71-K71)</f>
        <v>2942435.84</v>
      </c>
      <c r="M71" s="572">
        <v>1</v>
      </c>
      <c r="N71" s="572">
        <v>1</v>
      </c>
      <c r="O71" s="350">
        <f>L71*M71*N71</f>
        <v>2942435.84</v>
      </c>
      <c r="P71" s="572">
        <v>0.83</v>
      </c>
      <c r="Q71" s="572">
        <v>0.98</v>
      </c>
      <c r="R71" s="572">
        <v>1</v>
      </c>
      <c r="S71" s="351">
        <f>O71*P71*Q71*R71</f>
        <v>2393377.31</v>
      </c>
      <c r="T71" s="563">
        <v>1</v>
      </c>
      <c r="U71" s="353">
        <f>S71*T71</f>
        <v>2393377.31</v>
      </c>
      <c r="V71" s="565">
        <v>1</v>
      </c>
      <c r="W71" s="353">
        <f>U71*V71</f>
        <v>2393377.31</v>
      </c>
      <c r="X71" s="348" t="s">
        <v>971</v>
      </c>
      <c r="Y71" s="317"/>
    </row>
    <row r="72" spans="1:25" s="311" customFormat="1" x14ac:dyDescent="0.25">
      <c r="A72" s="297">
        <v>4</v>
      </c>
      <c r="B72" s="552" t="str">
        <f t="shared" ca="1" si="19"/>
        <v>3.9.14.1</v>
      </c>
      <c r="C72" s="356" t="s">
        <v>904</v>
      </c>
      <c r="D72" s="357" t="s">
        <v>901</v>
      </c>
      <c r="E72" s="357" t="s">
        <v>889</v>
      </c>
      <c r="F72" s="358" t="str">
        <f ca="1">CONCATENATE("учтено в п.",B71)</f>
        <v>учтено в п.3.9.14</v>
      </c>
      <c r="G72" s="349"/>
      <c r="H72" s="350"/>
      <c r="I72" s="350"/>
      <c r="J72" s="350"/>
      <c r="K72" s="350"/>
      <c r="L72" s="350"/>
      <c r="M72" s="572"/>
      <c r="N72" s="572"/>
      <c r="O72" s="350"/>
      <c r="P72" s="357"/>
      <c r="Q72" s="357"/>
      <c r="R72" s="572"/>
      <c r="S72" s="350"/>
      <c r="T72" s="563">
        <v>1</v>
      </c>
      <c r="U72" s="359"/>
      <c r="V72" s="565">
        <v>1</v>
      </c>
      <c r="W72" s="359"/>
      <c r="X72" s="358"/>
      <c r="Y72" s="318"/>
    </row>
    <row r="73" spans="1:25" ht="189" x14ac:dyDescent="0.25">
      <c r="A73" s="290">
        <v>3</v>
      </c>
      <c r="B73" s="552" t="str">
        <f t="shared" ca="1" si="19"/>
        <v>3.9.15</v>
      </c>
      <c r="C73" s="356" t="s">
        <v>905</v>
      </c>
      <c r="D73" s="377" t="s">
        <v>831</v>
      </c>
      <c r="E73" s="378">
        <f>5300/100-E76</f>
        <v>51.5</v>
      </c>
      <c r="F73" s="568" t="s">
        <v>949</v>
      </c>
      <c r="G73" s="349">
        <v>46023</v>
      </c>
      <c r="H73" s="583">
        <f>77.76*1000</f>
        <v>77760</v>
      </c>
      <c r="I73" s="583">
        <f>3.71*1000</f>
        <v>3710</v>
      </c>
      <c r="J73" s="583">
        <f>1.55*1000</f>
        <v>1550</v>
      </c>
      <c r="K73" s="571">
        <f>(H73-I73-J73)*0.2%</f>
        <v>145</v>
      </c>
      <c r="L73" s="351">
        <f>E73*(H73-I73-J73-K73)</f>
        <v>3726282.5</v>
      </c>
      <c r="M73" s="572">
        <v>1</v>
      </c>
      <c r="N73" s="572">
        <v>1</v>
      </c>
      <c r="O73" s="351">
        <f t="shared" ref="O73:O82" si="20">L73*M73*N73</f>
        <v>3726282.5</v>
      </c>
      <c r="P73" s="572">
        <v>0.9</v>
      </c>
      <c r="Q73" s="572">
        <v>0.99</v>
      </c>
      <c r="R73" s="572">
        <v>1</v>
      </c>
      <c r="S73" s="351">
        <f t="shared" ref="S73:S82" si="21">O73*P73*Q73*R73</f>
        <v>3320117.71</v>
      </c>
      <c r="T73" s="563">
        <v>1</v>
      </c>
      <c r="U73" s="353">
        <f t="shared" ref="U73:U83" si="22">S73*T73</f>
        <v>3320117.71</v>
      </c>
      <c r="V73" s="565">
        <v>1</v>
      </c>
      <c r="W73" s="353">
        <f t="shared" ref="W73:W83" si="23">U73*V73</f>
        <v>3320117.71</v>
      </c>
      <c r="X73" s="348" t="s">
        <v>911</v>
      </c>
      <c r="Y73" s="317"/>
    </row>
    <row r="74" spans="1:25" x14ac:dyDescent="0.25">
      <c r="A74" s="290">
        <v>4</v>
      </c>
      <c r="B74" s="552" t="str">
        <f t="shared" ca="1" si="19"/>
        <v>3.9.15.1</v>
      </c>
      <c r="C74" s="356" t="s">
        <v>906</v>
      </c>
      <c r="D74" s="357" t="s">
        <v>908</v>
      </c>
      <c r="E74" s="357" t="s">
        <v>909</v>
      </c>
      <c r="F74" s="358" t="str">
        <f ca="1">CONCATENATE("учтено в п.",B73)</f>
        <v>учтено в п.3.9.15</v>
      </c>
      <c r="G74" s="349"/>
      <c r="H74" s="350"/>
      <c r="I74" s="350"/>
      <c r="J74" s="350"/>
      <c r="K74" s="350"/>
      <c r="L74" s="350"/>
      <c r="M74" s="572"/>
      <c r="N74" s="572"/>
      <c r="O74" s="350"/>
      <c r="P74" s="572"/>
      <c r="Q74" s="572"/>
      <c r="R74" s="572"/>
      <c r="S74" s="350"/>
      <c r="T74" s="352"/>
      <c r="U74" s="359"/>
      <c r="V74" s="354"/>
      <c r="W74" s="359"/>
      <c r="X74" s="348" t="s">
        <v>942</v>
      </c>
      <c r="Y74" s="317"/>
    </row>
    <row r="75" spans="1:25" x14ac:dyDescent="0.25">
      <c r="A75" s="290">
        <v>4</v>
      </c>
      <c r="B75" s="552" t="str">
        <f t="shared" ca="1" si="19"/>
        <v>3.9.15.2</v>
      </c>
      <c r="C75" s="356" t="s">
        <v>907</v>
      </c>
      <c r="D75" s="357" t="s">
        <v>890</v>
      </c>
      <c r="E75" s="357" t="s">
        <v>909</v>
      </c>
      <c r="F75" s="358" t="str">
        <f ca="1">CONCATENATE("учтено в п.",B73)</f>
        <v>учтено в п.3.9.15</v>
      </c>
      <c r="G75" s="349"/>
      <c r="H75" s="350"/>
      <c r="I75" s="350"/>
      <c r="J75" s="350"/>
      <c r="K75" s="350"/>
      <c r="L75" s="350"/>
      <c r="M75" s="572"/>
      <c r="N75" s="572"/>
      <c r="O75" s="350"/>
      <c r="P75" s="572"/>
      <c r="Q75" s="572"/>
      <c r="R75" s="572"/>
      <c r="S75" s="350"/>
      <c r="T75" s="352"/>
      <c r="U75" s="359"/>
      <c r="V75" s="354"/>
      <c r="W75" s="359"/>
      <c r="X75" s="348"/>
      <c r="Y75" s="317"/>
    </row>
    <row r="76" spans="1:25" s="290" customFormat="1" ht="204.75" x14ac:dyDescent="0.25">
      <c r="A76" s="290">
        <v>3</v>
      </c>
      <c r="B76" s="552" t="str">
        <f t="shared" ca="1" si="19"/>
        <v>3.9.16</v>
      </c>
      <c r="C76" s="567" t="s">
        <v>2230</v>
      </c>
      <c r="D76" s="379" t="s">
        <v>831</v>
      </c>
      <c r="E76" s="569">
        <f>150/100</f>
        <v>1.5</v>
      </c>
      <c r="F76" s="568" t="s">
        <v>950</v>
      </c>
      <c r="G76" s="349">
        <v>46023</v>
      </c>
      <c r="H76" s="571">
        <f>274.74*1000</f>
        <v>274740</v>
      </c>
      <c r="I76" s="571">
        <f>14.26*1000</f>
        <v>14260</v>
      </c>
      <c r="J76" s="571">
        <f>5.46*1000</f>
        <v>5460</v>
      </c>
      <c r="K76" s="571">
        <f>(H76-I76-J76)*0.2%</f>
        <v>510.04</v>
      </c>
      <c r="L76" s="351">
        <f>E76*(H76-I76-J76-K76)</f>
        <v>381764.94</v>
      </c>
      <c r="M76" s="572">
        <v>1</v>
      </c>
      <c r="N76" s="572">
        <v>1</v>
      </c>
      <c r="O76" s="561">
        <f t="shared" si="20"/>
        <v>381764.94</v>
      </c>
      <c r="P76" s="572">
        <v>0.9</v>
      </c>
      <c r="Q76" s="572">
        <v>0.99</v>
      </c>
      <c r="R76" s="572">
        <v>1</v>
      </c>
      <c r="S76" s="561">
        <f t="shared" si="21"/>
        <v>340152.56</v>
      </c>
      <c r="T76" s="563">
        <v>1</v>
      </c>
      <c r="U76" s="564">
        <f t="shared" si="22"/>
        <v>340152.56</v>
      </c>
      <c r="V76" s="565">
        <v>1</v>
      </c>
      <c r="W76" s="564">
        <f t="shared" si="23"/>
        <v>340152.56</v>
      </c>
      <c r="X76" s="566"/>
    </row>
    <row r="77" spans="1:25" s="290" customFormat="1" x14ac:dyDescent="0.25">
      <c r="A77" s="290">
        <v>4</v>
      </c>
      <c r="B77" s="552" t="str">
        <f ca="1">IF(A77&gt;OFFSET(A77,-1,0),OFFSET(B77,-1,0)&amp;"."&amp;1,LEFT(OFFSET(B77,-1,0),SEARCH("^^",SUBSTITUTE("."&amp;OFFSET(B77,-1,0),".","^^",A77))-1)&amp;1--MID(OFFSET(B77,-1,0),SEARCH("^^",SUBSTITUTE("."&amp;OFFSET(B77,-1,0),".","^^",A77)),SEARCH("^^",SUBSTITUTE(OFFSET(B77,-1,0)&amp;".",".","^^",A77))-SEARCH("^^",SUBSTITUTE("."&amp;OFFSET(B77,-1,0),".","^^",A77))))</f>
        <v>3.9.16.1</v>
      </c>
      <c r="C77" s="567" t="s">
        <v>2229</v>
      </c>
      <c r="D77" s="569" t="s">
        <v>890</v>
      </c>
      <c r="E77" s="629">
        <f>E76*1</f>
        <v>2</v>
      </c>
      <c r="F77" s="568" t="str">
        <f ca="1">CONCATENATE("учтено в п.",B76)</f>
        <v>учтено в п.3.9.16</v>
      </c>
      <c r="G77" s="349"/>
      <c r="H77" s="571"/>
      <c r="I77" s="571"/>
      <c r="J77" s="571"/>
      <c r="K77" s="571"/>
      <c r="L77" s="351"/>
      <c r="M77" s="572"/>
      <c r="N77" s="572"/>
      <c r="O77" s="561"/>
      <c r="P77" s="572"/>
      <c r="Q77" s="572"/>
      <c r="R77" s="572"/>
      <c r="S77" s="561"/>
      <c r="T77" s="563"/>
      <c r="U77" s="564"/>
      <c r="V77" s="565"/>
      <c r="W77" s="564"/>
      <c r="X77" s="566"/>
    </row>
    <row r="78" spans="1:25" s="290" customFormat="1" ht="63" x14ac:dyDescent="0.25">
      <c r="A78" s="290">
        <v>3</v>
      </c>
      <c r="B78" s="552" t="str">
        <f ca="1">IF(A78&gt;OFFSET(A78,-1,0),OFFSET(B78,-1,0)&amp;"."&amp;1,LEFT(OFFSET(B78,-1,0),SEARCH("^^",SUBSTITUTE("."&amp;OFFSET(B78,-1,0),".","^^",A78))-1)&amp;1--MID(OFFSET(B78,-1,0),SEARCH("^^",SUBSTITUTE("."&amp;OFFSET(B78,-1,0),".","^^",A78)),SEARCH("^^",SUBSTITUTE(OFFSET(B78,-1,0)&amp;".",".","^^",A78))-SEARCH("^^",SUBSTITUTE("."&amp;OFFSET(B78,-1,0),".","^^",A78))))</f>
        <v>3.9.17</v>
      </c>
      <c r="C78" s="567" t="s">
        <v>2231</v>
      </c>
      <c r="D78" s="569" t="s">
        <v>890</v>
      </c>
      <c r="E78" s="629">
        <f>8-E77</f>
        <v>6</v>
      </c>
      <c r="F78" s="568" t="s">
        <v>951</v>
      </c>
      <c r="G78" s="349">
        <v>46023</v>
      </c>
      <c r="H78" s="571">
        <f>65.33*1000</f>
        <v>65330</v>
      </c>
      <c r="I78" s="571">
        <f>3.95*1000</f>
        <v>3950</v>
      </c>
      <c r="J78" s="571">
        <f>1.29*1000</f>
        <v>1290</v>
      </c>
      <c r="K78" s="571">
        <f>(H78-I78-J78)*0.2%</f>
        <v>120.18</v>
      </c>
      <c r="L78" s="351">
        <f>E78*(H78-I78-J78-K78)</f>
        <v>359818.92</v>
      </c>
      <c r="M78" s="572">
        <v>1</v>
      </c>
      <c r="N78" s="572">
        <v>1</v>
      </c>
      <c r="O78" s="561">
        <f t="shared" si="20"/>
        <v>359818.92</v>
      </c>
      <c r="P78" s="572">
        <v>0.9</v>
      </c>
      <c r="Q78" s="572">
        <v>0.99</v>
      </c>
      <c r="R78" s="572">
        <v>1</v>
      </c>
      <c r="S78" s="561">
        <f t="shared" si="21"/>
        <v>320598.65999999997</v>
      </c>
      <c r="T78" s="563">
        <v>1</v>
      </c>
      <c r="U78" s="564">
        <f t="shared" si="22"/>
        <v>320598.65999999997</v>
      </c>
      <c r="V78" s="565">
        <v>1</v>
      </c>
      <c r="W78" s="564">
        <f t="shared" si="23"/>
        <v>320598.65999999997</v>
      </c>
      <c r="X78" s="566"/>
    </row>
    <row r="79" spans="1:25" ht="94.5" x14ac:dyDescent="0.25">
      <c r="A79" s="290">
        <v>3</v>
      </c>
      <c r="B79" s="552" t="str">
        <f ca="1">IF(A79&gt;OFFSET(A79,-1,0),OFFSET(B79,-1,0)&amp;"."&amp;1,LEFT(OFFSET(B79,-1,0),SEARCH("^^",SUBSTITUTE("."&amp;OFFSET(B79,-1,0),".","^^",A79))-1)&amp;1--MID(OFFSET(B79,-1,0),SEARCH("^^",SUBSTITUTE("."&amp;OFFSET(B79,-1,0),".","^^",A79)),SEARCH("^^",SUBSTITUTE(OFFSET(B79,-1,0)&amp;".",".","^^",A79))-SEARCH("^^",SUBSTITUTE("."&amp;OFFSET(B79,-1,0),".","^^",A79))))</f>
        <v>3.9.18</v>
      </c>
      <c r="C79" s="356" t="s">
        <v>912</v>
      </c>
      <c r="D79" s="358" t="s">
        <v>946</v>
      </c>
      <c r="E79" s="357">
        <f>2814</f>
        <v>2814</v>
      </c>
      <c r="F79" s="358" t="str">
        <f ca="1">CONCATENATE("учтено в п.",$B$25,", ",$B$26,", ",$B$44)</f>
        <v>учтено в п.3.8.1, 3.8.1.1, 3.8.8</v>
      </c>
      <c r="G79" s="349"/>
      <c r="H79" s="350"/>
      <c r="I79" s="350"/>
      <c r="J79" s="350"/>
      <c r="K79" s="350"/>
      <c r="L79" s="351">
        <f>E79*(H79-I79-J79-K79)</f>
        <v>0</v>
      </c>
      <c r="M79" s="572"/>
      <c r="N79" s="572"/>
      <c r="O79" s="351">
        <f t="shared" si="20"/>
        <v>0</v>
      </c>
      <c r="P79" s="572"/>
      <c r="Q79" s="572"/>
      <c r="R79" s="572"/>
      <c r="S79" s="351">
        <f t="shared" si="21"/>
        <v>0</v>
      </c>
      <c r="T79" s="563">
        <v>1</v>
      </c>
      <c r="U79" s="353">
        <f t="shared" si="22"/>
        <v>0</v>
      </c>
      <c r="V79" s="565">
        <v>1</v>
      </c>
      <c r="W79" s="353">
        <f t="shared" si="23"/>
        <v>0</v>
      </c>
      <c r="X79" s="348" t="s">
        <v>943</v>
      </c>
      <c r="Y79" s="317"/>
    </row>
    <row r="80" spans="1:25" s="311" customFormat="1" x14ac:dyDescent="0.25">
      <c r="A80" s="297">
        <v>3</v>
      </c>
      <c r="B80" s="552" t="str">
        <f t="shared" ref="B80:B86" ca="1" si="24">IF(A80&gt;OFFSET(A80,-1,0),OFFSET(B80,-1,0)&amp;"."&amp;1,LEFT(OFFSET(B80,-1,0),SEARCH("^^",SUBSTITUTE("."&amp;OFFSET(B80,-1,0),".","^^",A80))-1)&amp;1--MID(OFFSET(B80,-1,0),SEARCH("^^",SUBSTITUTE("."&amp;OFFSET(B80,-1,0),".","^^",A80)),SEARCH("^^",SUBSTITUTE(OFFSET(B80,-1,0)&amp;".",".","^^",A80))-SEARCH("^^",SUBSTITUTE("."&amp;OFFSET(B80,-1,0),".","^^",A80))))</f>
        <v>3.9.19</v>
      </c>
      <c r="C80" s="356" t="s">
        <v>913</v>
      </c>
      <c r="D80" s="357" t="s">
        <v>915</v>
      </c>
      <c r="E80" s="357" t="s">
        <v>897</v>
      </c>
      <c r="F80" s="573"/>
      <c r="G80" s="574"/>
      <c r="H80" s="355"/>
      <c r="I80" s="355"/>
      <c r="J80" s="355"/>
      <c r="K80" s="355"/>
      <c r="L80" s="350"/>
      <c r="M80" s="572"/>
      <c r="N80" s="572"/>
      <c r="O80" s="350"/>
      <c r="P80" s="572"/>
      <c r="Q80" s="572"/>
      <c r="R80" s="572"/>
      <c r="S80" s="350"/>
      <c r="T80" s="352"/>
      <c r="U80" s="359"/>
      <c r="V80" s="354"/>
      <c r="W80" s="359"/>
      <c r="X80" s="358"/>
      <c r="Y80" s="318"/>
    </row>
    <row r="81" spans="1:25" s="311" customFormat="1" x14ac:dyDescent="0.25">
      <c r="A81" s="297">
        <v>3</v>
      </c>
      <c r="B81" s="552" t="str">
        <f t="shared" ca="1" si="24"/>
        <v>3.9.20</v>
      </c>
      <c r="C81" s="356" t="s">
        <v>2343</v>
      </c>
      <c r="D81" s="357"/>
      <c r="E81" s="357"/>
      <c r="F81" s="358"/>
      <c r="G81" s="349"/>
      <c r="H81" s="350"/>
      <c r="I81" s="350"/>
      <c r="J81" s="350"/>
      <c r="K81" s="350"/>
      <c r="L81" s="350">
        <f>L82+L83+L84+L85</f>
        <v>1162186.28</v>
      </c>
      <c r="M81" s="572"/>
      <c r="N81" s="572"/>
      <c r="O81" s="350">
        <f>O82+O83+O84+O85</f>
        <v>1162186.28</v>
      </c>
      <c r="P81" s="572"/>
      <c r="Q81" s="572"/>
      <c r="R81" s="572"/>
      <c r="S81" s="350">
        <f>S82+S83+S84+S85</f>
        <v>1162186.28</v>
      </c>
      <c r="T81" s="352"/>
      <c r="U81" s="350">
        <f>U82+U83+U84+U85</f>
        <v>1162186.28</v>
      </c>
      <c r="V81" s="354"/>
      <c r="W81" s="350">
        <f>W82+W83+W84+W85</f>
        <v>1162186.28</v>
      </c>
      <c r="X81" s="358"/>
      <c r="Y81" s="318"/>
    </row>
    <row r="82" spans="1:25" x14ac:dyDescent="0.25">
      <c r="A82" s="290">
        <v>4</v>
      </c>
      <c r="B82" s="552" t="str">
        <f t="shared" ca="1" si="24"/>
        <v>3.9.20.1</v>
      </c>
      <c r="C82" s="356" t="s">
        <v>1011</v>
      </c>
      <c r="D82" s="357" t="s">
        <v>919</v>
      </c>
      <c r="E82" s="357">
        <v>28</v>
      </c>
      <c r="F82" s="358" t="str">
        <f ca="1">CONCATENATE("учтено в п.",$B$25,", ",$B$26)</f>
        <v>учтено в п.3.8.1, 3.8.1.1</v>
      </c>
      <c r="G82" s="349"/>
      <c r="H82" s="350"/>
      <c r="I82" s="350"/>
      <c r="J82" s="350"/>
      <c r="K82" s="350"/>
      <c r="L82" s="351"/>
      <c r="M82" s="572"/>
      <c r="N82" s="572"/>
      <c r="O82" s="351">
        <f t="shared" si="20"/>
        <v>0</v>
      </c>
      <c r="P82" s="572"/>
      <c r="Q82" s="572"/>
      <c r="R82" s="572"/>
      <c r="S82" s="351">
        <f t="shared" si="21"/>
        <v>0</v>
      </c>
      <c r="T82" s="563">
        <v>1</v>
      </c>
      <c r="U82" s="353">
        <f t="shared" si="22"/>
        <v>0</v>
      </c>
      <c r="V82" s="565">
        <v>1</v>
      </c>
      <c r="W82" s="353">
        <f t="shared" si="23"/>
        <v>0</v>
      </c>
      <c r="X82" s="348"/>
      <c r="Y82" s="317"/>
    </row>
    <row r="83" spans="1:25" ht="110.25" x14ac:dyDescent="0.25">
      <c r="A83" s="290">
        <v>4</v>
      </c>
      <c r="B83" s="552" t="str">
        <f ca="1">IF(A83&gt;OFFSET(A83,-1,0),OFFSET(B83,-1,0)&amp;"."&amp;1,LEFT(OFFSET(B83,-1,0),SEARCH("^^",SUBSTITUTE("."&amp;OFFSET(B83,-1,0),".","^^",A83))-1)&amp;1--MID(OFFSET(B83,-1,0),SEARCH("^^",SUBSTITUTE("."&amp;OFFSET(B83,-1,0),".","^^",A83)),SEARCH("^^",SUBSTITUTE(OFFSET(B83,-1,0)&amp;".",".","^^",A83))-SEARCH("^^",SUBSTITUTE("."&amp;OFFSET(B83,-1,0),".","^^",A83))))</f>
        <v>3.9.20.2</v>
      </c>
      <c r="C83" s="356" t="s">
        <v>1012</v>
      </c>
      <c r="D83" s="357" t="s">
        <v>919</v>
      </c>
      <c r="E83" s="357">
        <v>31</v>
      </c>
      <c r="F83" s="382" t="s">
        <v>1667</v>
      </c>
      <c r="G83" s="587">
        <v>43647</v>
      </c>
      <c r="H83" s="384">
        <f>'КСБ Архыз Удельные показатели'!$Z$22/'КСБ Архыз Удельные показатели'!$AI$22*1000</f>
        <v>44871.32</v>
      </c>
      <c r="I83" s="384">
        <f>'КСБ Архыз Удельные показатели'!$V$22*1.02*1000/'КСБ Архыз Удельные показатели'!$AI$22</f>
        <v>5181.97</v>
      </c>
      <c r="J83" s="384">
        <f>'КСБ Архыз Удельные показатели'!$W$22*1.02*1000/'КСБ Архыз Удельные показатели'!$AI$22</f>
        <v>2199.4699999999998</v>
      </c>
      <c r="K83" s="571"/>
      <c r="L83" s="351">
        <f>E83*(H83-I83-J83-K83)</f>
        <v>1162186.28</v>
      </c>
      <c r="M83" s="384">
        <v>1</v>
      </c>
      <c r="N83" s="384">
        <v>1</v>
      </c>
      <c r="O83" s="384">
        <f>L83*M83*N83</f>
        <v>1162186.28</v>
      </c>
      <c r="P83" s="384">
        <v>1</v>
      </c>
      <c r="Q83" s="384">
        <v>1</v>
      </c>
      <c r="R83" s="384">
        <v>1</v>
      </c>
      <c r="S83" s="384">
        <f>O83*P83*Q83*R83</f>
        <v>1162186.28</v>
      </c>
      <c r="T83" s="563">
        <v>1</v>
      </c>
      <c r="U83" s="353">
        <f t="shared" si="22"/>
        <v>1162186.28</v>
      </c>
      <c r="V83" s="565">
        <v>1</v>
      </c>
      <c r="W83" s="353">
        <f t="shared" si="23"/>
        <v>1162186.28</v>
      </c>
      <c r="X83" s="348"/>
      <c r="Y83" s="317"/>
    </row>
    <row r="84" spans="1:25" x14ac:dyDescent="0.25">
      <c r="A84" s="290">
        <v>4</v>
      </c>
      <c r="B84" s="552" t="str">
        <f t="shared" ca="1" si="24"/>
        <v>3.9.20.3</v>
      </c>
      <c r="C84" s="356" t="s">
        <v>917</v>
      </c>
      <c r="D84" s="357" t="s">
        <v>908</v>
      </c>
      <c r="E84" s="357" t="s">
        <v>889</v>
      </c>
      <c r="F84" s="358" t="str">
        <f ca="1">CONCATENATE("учтено в п.",$B$83)</f>
        <v>учтено в п.3.9.20.2</v>
      </c>
      <c r="G84" s="349"/>
      <c r="H84" s="350"/>
      <c r="I84" s="350"/>
      <c r="J84" s="350"/>
      <c r="K84" s="350"/>
      <c r="L84" s="351"/>
      <c r="M84" s="572"/>
      <c r="N84" s="572"/>
      <c r="O84" s="351"/>
      <c r="P84" s="572"/>
      <c r="Q84" s="572"/>
      <c r="R84" s="572"/>
      <c r="S84" s="351"/>
      <c r="T84" s="563"/>
      <c r="U84" s="353"/>
      <c r="V84" s="565"/>
      <c r="W84" s="353"/>
      <c r="X84" s="348"/>
      <c r="Y84" s="317"/>
    </row>
    <row r="85" spans="1:25" s="311" customFormat="1" x14ac:dyDescent="0.25">
      <c r="A85" s="297">
        <v>4</v>
      </c>
      <c r="B85" s="552" t="str">
        <f t="shared" ca="1" si="24"/>
        <v>3.9.20.4</v>
      </c>
      <c r="C85" s="356" t="s">
        <v>918</v>
      </c>
      <c r="D85" s="357" t="s">
        <v>908</v>
      </c>
      <c r="E85" s="357" t="s">
        <v>909</v>
      </c>
      <c r="F85" s="358" t="str">
        <f ca="1">CONCATENATE("учтено в п.",$B$83)</f>
        <v>учтено в п.3.9.20.2</v>
      </c>
      <c r="G85" s="349"/>
      <c r="H85" s="350"/>
      <c r="I85" s="350"/>
      <c r="J85" s="350"/>
      <c r="K85" s="350"/>
      <c r="L85" s="350"/>
      <c r="M85" s="572"/>
      <c r="N85" s="572"/>
      <c r="O85" s="350"/>
      <c r="P85" s="357"/>
      <c r="Q85" s="357"/>
      <c r="R85" s="572"/>
      <c r="S85" s="350"/>
      <c r="T85" s="563">
        <v>1</v>
      </c>
      <c r="U85" s="359"/>
      <c r="V85" s="565">
        <v>1</v>
      </c>
      <c r="W85" s="359"/>
      <c r="X85" s="358"/>
      <c r="Y85" s="318"/>
    </row>
    <row r="86" spans="1:25" ht="126" x14ac:dyDescent="0.25">
      <c r="A86" s="290">
        <v>3</v>
      </c>
      <c r="B86" s="552" t="str">
        <f t="shared" ca="1" si="24"/>
        <v>3.9.21</v>
      </c>
      <c r="C86" s="356" t="s">
        <v>920</v>
      </c>
      <c r="D86" s="358" t="s">
        <v>914</v>
      </c>
      <c r="E86" s="357" t="s">
        <v>909</v>
      </c>
      <c r="F86" s="358" t="str">
        <f ca="1">CONCATENATE("учтено в п.",$B$25,", ",$B$26,", ",$B$44)</f>
        <v>учтено в п.3.8.1, 3.8.1.1, 3.8.8</v>
      </c>
      <c r="G86" s="349"/>
      <c r="H86" s="350"/>
      <c r="I86" s="350"/>
      <c r="J86" s="350"/>
      <c r="K86" s="350"/>
      <c r="L86" s="351"/>
      <c r="M86" s="572"/>
      <c r="N86" s="572"/>
      <c r="O86" s="351"/>
      <c r="P86" s="572"/>
      <c r="Q86" s="572"/>
      <c r="R86" s="572"/>
      <c r="S86" s="351"/>
      <c r="T86" s="563"/>
      <c r="U86" s="353"/>
      <c r="V86" s="565"/>
      <c r="W86" s="353"/>
      <c r="X86" s="348" t="s">
        <v>2344</v>
      </c>
      <c r="Y86" s="317"/>
    </row>
    <row r="87" spans="1:25" s="290" customFormat="1" ht="207.75" x14ac:dyDescent="0.25">
      <c r="A87" s="297">
        <v>3</v>
      </c>
      <c r="B87" s="552" t="str">
        <f ca="1">IF(A87&gt;OFFSET(A87,-1,0),OFFSET(B87,-1,0)&amp;"."&amp;1,LEFT(OFFSET(B87,-1,0),SEARCH("^^",SUBSTITUTE("."&amp;OFFSET(B87,-1,0),".","^^",A87))-1)&amp;1--MID(OFFSET(B87,-1,0),SEARCH("^^",SUBSTITUTE("."&amp;OFFSET(B87,-1,0),".","^^",A87)),SEARCH("^^",SUBSTITUTE(OFFSET(B87,-1,0)&amp;".",".","^^",A87))-SEARCH("^^",SUBSTITUTE("."&amp;OFFSET(B87,-1,0),".","^^",A87))))</f>
        <v>3.9.22</v>
      </c>
      <c r="C87" s="567" t="s">
        <v>922</v>
      </c>
      <c r="D87" s="357" t="s">
        <v>831</v>
      </c>
      <c r="E87" s="588">
        <f>390/100</f>
        <v>3.9</v>
      </c>
      <c r="F87" s="358" t="s">
        <v>980</v>
      </c>
      <c r="G87" s="349">
        <v>46023</v>
      </c>
      <c r="H87" s="350">
        <f>365.72*1000</f>
        <v>365720</v>
      </c>
      <c r="I87" s="350">
        <f>16.34*1000</f>
        <v>16340</v>
      </c>
      <c r="J87" s="350">
        <f>7.32*1000</f>
        <v>7320</v>
      </c>
      <c r="K87" s="571">
        <f>(H87-I87-J87)*0.2%</f>
        <v>684.12</v>
      </c>
      <c r="L87" s="351">
        <f>E87*(H87-I87-J87-K87)</f>
        <v>1331365.93</v>
      </c>
      <c r="M87" s="572">
        <v>1</v>
      </c>
      <c r="N87" s="572">
        <v>1.02</v>
      </c>
      <c r="O87" s="351">
        <f t="shared" ref="O87" si="25">L87*M87*N87</f>
        <v>1357993.25</v>
      </c>
      <c r="P87" s="572">
        <v>0.89</v>
      </c>
      <c r="Q87" s="572">
        <v>0.99</v>
      </c>
      <c r="R87" s="572">
        <v>1</v>
      </c>
      <c r="S87" s="351">
        <f t="shared" ref="S87" si="26">O87*P87*Q87*R87</f>
        <v>1196527.8500000001</v>
      </c>
      <c r="T87" s="563">
        <v>1</v>
      </c>
      <c r="U87" s="353">
        <f t="shared" ref="U87" si="27">S87*T87</f>
        <v>1196527.8500000001</v>
      </c>
      <c r="V87" s="565">
        <v>1</v>
      </c>
      <c r="W87" s="353">
        <f t="shared" ref="W87" si="28">U87*V87</f>
        <v>1196527.8500000001</v>
      </c>
      <c r="X87" s="566"/>
    </row>
    <row r="88" spans="1:25" s="290" customFormat="1" x14ac:dyDescent="0.25">
      <c r="A88" s="290">
        <v>3</v>
      </c>
      <c r="B88" s="552" t="str">
        <f ca="1">IF(A88&gt;OFFSET(A88,-1,0),OFFSET(B88,-1,0)&amp;"."&amp;1,LEFT(OFFSET(B88,-1,0),SEARCH("^^",SUBSTITUTE("."&amp;OFFSET(B88,-1,0),".","^^",A88))-1)&amp;1--MID(OFFSET(B88,-1,0),SEARCH("^^",SUBSTITUTE("."&amp;OFFSET(B88,-1,0),".","^^",A88)),SEARCH("^^",SUBSTITUTE(OFFSET(B88,-1,0)&amp;".",".","^^",A88))-SEARCH("^^",SUBSTITUTE("."&amp;OFFSET(B88,-1,0),".","^^",A88))))</f>
        <v>3.9.23</v>
      </c>
      <c r="C88" s="567" t="s">
        <v>923</v>
      </c>
      <c r="D88" s="569" t="s">
        <v>924</v>
      </c>
      <c r="E88" s="569" t="s">
        <v>925</v>
      </c>
      <c r="F88" s="358" t="str">
        <f ca="1">CONCATENATE("учтено в п.",$B$25,", ",$B$26,", ",$B$44)</f>
        <v>учтено в п.3.8.1, 3.8.1.1, 3.8.8</v>
      </c>
      <c r="G88" s="349"/>
      <c r="H88" s="571"/>
      <c r="I88" s="571"/>
      <c r="J88" s="571"/>
      <c r="K88" s="571"/>
      <c r="L88" s="571"/>
      <c r="M88" s="572"/>
      <c r="N88" s="572"/>
      <c r="O88" s="571"/>
      <c r="P88" s="572"/>
      <c r="Q88" s="572"/>
      <c r="R88" s="572"/>
      <c r="S88" s="571"/>
      <c r="T88" s="352"/>
      <c r="U88" s="583"/>
      <c r="V88" s="354"/>
      <c r="W88" s="583"/>
      <c r="X88" s="568"/>
    </row>
    <row r="89" spans="1:25" s="290" customFormat="1" x14ac:dyDescent="0.25">
      <c r="A89" s="290">
        <v>3</v>
      </c>
      <c r="B89" s="552" t="str">
        <f ca="1">IF(A89&gt;OFFSET(A89,-1,0),OFFSET(B89,-1,0)&amp;"."&amp;1,LEFT(OFFSET(B89,-1,0),SEARCH("^^",SUBSTITUTE("."&amp;OFFSET(B89,-1,0),".","^^",A89))-1)&amp;1--MID(OFFSET(B89,-1,0),SEARCH("^^",SUBSTITUTE("."&amp;OFFSET(B89,-1,0),".","^^",A89)),SEARCH("^^",SUBSTITUTE(OFFSET(B89,-1,0)&amp;".",".","^^",A89))-SEARCH("^^",SUBSTITUTE("."&amp;OFFSET(B89,-1,0),".","^^",A89))))</f>
        <v>3.9.24</v>
      </c>
      <c r="C89" s="567" t="s">
        <v>926</v>
      </c>
      <c r="D89" s="569" t="s">
        <v>929</v>
      </c>
      <c r="E89" s="569" t="s">
        <v>930</v>
      </c>
      <c r="F89" s="358" t="str">
        <f ca="1">CONCATENATE("учтено в п.",$B$25,", ",$B$26,", ",$B$44)</f>
        <v>учтено в п.3.8.1, 3.8.1.1, 3.8.8</v>
      </c>
      <c r="G89" s="349"/>
      <c r="H89" s="571"/>
      <c r="I89" s="571"/>
      <c r="J89" s="571"/>
      <c r="K89" s="571"/>
      <c r="L89" s="571"/>
      <c r="M89" s="569"/>
      <c r="N89" s="569"/>
      <c r="O89" s="571"/>
      <c r="P89" s="569"/>
      <c r="Q89" s="569"/>
      <c r="R89" s="569"/>
      <c r="S89" s="571"/>
      <c r="T89" s="352"/>
      <c r="U89" s="583"/>
      <c r="V89" s="354"/>
      <c r="W89" s="583"/>
      <c r="X89" s="568"/>
    </row>
    <row r="90" spans="1:25" x14ac:dyDescent="0.25">
      <c r="A90" s="290">
        <v>3</v>
      </c>
      <c r="B90" s="552" t="str">
        <f ca="1">IF(A90&gt;OFFSET(A90,-1,0),OFFSET(B90,-1,0)&amp;"."&amp;1,LEFT(OFFSET(B90,-1,0),SEARCH("^^",SUBSTITUTE("."&amp;OFFSET(B90,-1,0),".","^^",A90))-1)&amp;1--MID(OFFSET(B90,-1,0),SEARCH("^^",SUBSTITUTE("."&amp;OFFSET(B90,-1,0),".","^^",A90)),SEARCH("^^",SUBSTITUTE(OFFSET(B90,-1,0)&amp;".",".","^^",A90))-SEARCH("^^",SUBSTITUTE("."&amp;OFFSET(B90,-1,0),".","^^",A90))))</f>
        <v>3.9.25</v>
      </c>
      <c r="C90" s="356" t="s">
        <v>927</v>
      </c>
      <c r="D90" s="357" t="s">
        <v>890</v>
      </c>
      <c r="E90" s="357" t="s">
        <v>931</v>
      </c>
      <c r="F90" s="573"/>
      <c r="G90" s="574"/>
      <c r="H90" s="355"/>
      <c r="I90" s="355"/>
      <c r="J90" s="355"/>
      <c r="K90" s="350"/>
      <c r="L90" s="351"/>
      <c r="M90" s="572"/>
      <c r="N90" s="572"/>
      <c r="O90" s="351"/>
      <c r="P90" s="572"/>
      <c r="Q90" s="572"/>
      <c r="R90" s="572"/>
      <c r="S90" s="351"/>
      <c r="T90" s="563"/>
      <c r="U90" s="353"/>
      <c r="V90" s="565"/>
      <c r="W90" s="353"/>
      <c r="X90" s="348"/>
      <c r="Y90" s="317"/>
    </row>
    <row r="91" spans="1:25" ht="110.25" x14ac:dyDescent="0.25">
      <c r="A91" s="290">
        <v>3</v>
      </c>
      <c r="B91" s="552" t="str">
        <f t="shared" ref="B91:B98" ca="1" si="29">IF(A91&gt;OFFSET(A91,-1,0),OFFSET(B91,-1,0)&amp;"."&amp;1,LEFT(OFFSET(B91,-1,0),SEARCH("^^",SUBSTITUTE("."&amp;OFFSET(B91,-1,0),".","^^",A91))-1)&amp;1--MID(OFFSET(B91,-1,0),SEARCH("^^",SUBSTITUTE("."&amp;OFFSET(B91,-1,0),".","^^",A91)),SEARCH("^^",SUBSTITUTE(OFFSET(B91,-1,0)&amp;".",".","^^",A91))-SEARCH("^^",SUBSTITUTE("."&amp;OFFSET(B91,-1,0),".","^^",A91))))</f>
        <v>3.9.26</v>
      </c>
      <c r="C91" s="356" t="s">
        <v>928</v>
      </c>
      <c r="D91" s="357" t="s">
        <v>929</v>
      </c>
      <c r="E91" s="357">
        <v>48</v>
      </c>
      <c r="F91" s="382" t="s">
        <v>1754</v>
      </c>
      <c r="G91" s="587">
        <v>43647</v>
      </c>
      <c r="H91" s="384">
        <f>('КСБ Архыз Удельные показатели'!$Z$28/'КСБ Архыз Удельные показатели'!$AI$28)*1000</f>
        <v>403954.55</v>
      </c>
      <c r="I91" s="384">
        <f>'КСБ Архыз Удельные показатели'!$V$28*1.02*1000/'КСБ Архыз Удельные показатели'!$AI$28</f>
        <v>34448.07</v>
      </c>
      <c r="J91" s="384">
        <f>'КСБ Архыз Удельные показатели'!$W$28*1.02*1000/'КСБ Архыз Удельные показатели'!$AI$28</f>
        <v>19800.87</v>
      </c>
      <c r="K91" s="571"/>
      <c r="L91" s="351">
        <f>E91*(H91-I91-J91-K91)</f>
        <v>16785869.280000001</v>
      </c>
      <c r="M91" s="384">
        <v>1</v>
      </c>
      <c r="N91" s="384">
        <v>1</v>
      </c>
      <c r="O91" s="384">
        <f t="shared" ref="O91" si="30">L91*M91*N91</f>
        <v>16785869.280000001</v>
      </c>
      <c r="P91" s="384">
        <v>1</v>
      </c>
      <c r="Q91" s="384">
        <v>1</v>
      </c>
      <c r="R91" s="384">
        <v>1</v>
      </c>
      <c r="S91" s="384">
        <f t="shared" ref="S91" si="31">O91*P91*Q91*R91</f>
        <v>16785869.280000001</v>
      </c>
      <c r="T91" s="563">
        <v>1</v>
      </c>
      <c r="U91" s="353">
        <f t="shared" ref="U91" si="32">S91*T91</f>
        <v>16785869.280000001</v>
      </c>
      <c r="V91" s="565">
        <v>1</v>
      </c>
      <c r="W91" s="353">
        <f t="shared" ref="W91" si="33">U91*V91</f>
        <v>16785869.280000001</v>
      </c>
      <c r="X91" s="348"/>
      <c r="Y91" s="317"/>
    </row>
    <row r="92" spans="1:25" ht="78.75" x14ac:dyDescent="0.25">
      <c r="A92" s="290">
        <v>3</v>
      </c>
      <c r="B92" s="552" t="str">
        <f t="shared" ca="1" si="29"/>
        <v>3.9.27</v>
      </c>
      <c r="C92" s="356" t="s">
        <v>932</v>
      </c>
      <c r="D92" s="357" t="s">
        <v>933</v>
      </c>
      <c r="E92" s="357" t="s">
        <v>934</v>
      </c>
      <c r="F92" s="358" t="str">
        <f ca="1">CONCATENATE("учтено в п.",$B$25,", ",$B$26,", ",$B$44)</f>
        <v>учтено в п.3.8.1, 3.8.1.1, 3.8.8</v>
      </c>
      <c r="G92" s="349"/>
      <c r="H92" s="350"/>
      <c r="I92" s="350"/>
      <c r="J92" s="350"/>
      <c r="K92" s="350"/>
      <c r="L92" s="350"/>
      <c r="M92" s="572"/>
      <c r="N92" s="572"/>
      <c r="O92" s="350"/>
      <c r="P92" s="572"/>
      <c r="Q92" s="572"/>
      <c r="R92" s="572"/>
      <c r="S92" s="350"/>
      <c r="T92" s="352"/>
      <c r="U92" s="359"/>
      <c r="V92" s="354"/>
      <c r="W92" s="359"/>
      <c r="X92" s="348" t="s">
        <v>935</v>
      </c>
      <c r="Y92" s="317"/>
    </row>
    <row r="93" spans="1:25" s="311" customFormat="1" ht="141.75" x14ac:dyDescent="0.25">
      <c r="A93" s="297">
        <v>3</v>
      </c>
      <c r="B93" s="552" t="str">
        <f t="shared" ca="1" si="29"/>
        <v>3.9.28</v>
      </c>
      <c r="C93" s="356" t="s">
        <v>2345</v>
      </c>
      <c r="D93" s="357" t="s">
        <v>1697</v>
      </c>
      <c r="E93" s="357">
        <v>1</v>
      </c>
      <c r="F93" s="382" t="s">
        <v>2378</v>
      </c>
      <c r="G93" s="587">
        <v>43647</v>
      </c>
      <c r="H93" s="384">
        <f>('КСБ Архыз Удельные показатели'!$Z$23/'КСБ Архыз Удельные показатели'!$AI$23)*1000</f>
        <v>718160</v>
      </c>
      <c r="I93" s="384">
        <f>'КСБ Архыз Удельные показатели'!$V$23*1.02*1000/'КСБ Архыз Удельные показатели'!$AI$23</f>
        <v>81365.399999999994</v>
      </c>
      <c r="J93" s="384">
        <f>'КСБ Архыз Удельные показатели'!$W$23*1.02*1000/'КСБ Архыз Удельные показатели'!$AI$23</f>
        <v>35200.199999999997</v>
      </c>
      <c r="K93" s="571"/>
      <c r="L93" s="351">
        <f>E93*(H93-I93-J93-K93)</f>
        <v>601594.4</v>
      </c>
      <c r="M93" s="384">
        <v>1</v>
      </c>
      <c r="N93" s="384">
        <v>1</v>
      </c>
      <c r="O93" s="384">
        <f>L93*M93*N93</f>
        <v>601594.4</v>
      </c>
      <c r="P93" s="384">
        <v>1</v>
      </c>
      <c r="Q93" s="384">
        <v>1</v>
      </c>
      <c r="R93" s="384">
        <v>1</v>
      </c>
      <c r="S93" s="384">
        <f>O93*P93*Q93*R93</f>
        <v>601594.4</v>
      </c>
      <c r="T93" s="563">
        <v>1</v>
      </c>
      <c r="U93" s="353">
        <f t="shared" ref="U93" si="34">S93*T93</f>
        <v>601594.4</v>
      </c>
      <c r="V93" s="565">
        <v>1</v>
      </c>
      <c r="W93" s="353">
        <f t="shared" ref="W93" si="35">U93*V93</f>
        <v>601594.4</v>
      </c>
      <c r="X93" s="358" t="s">
        <v>921</v>
      </c>
      <c r="Y93" s="318"/>
    </row>
    <row r="94" spans="1:25" s="311" customFormat="1" x14ac:dyDescent="0.25">
      <c r="A94" s="297">
        <v>4</v>
      </c>
      <c r="B94" s="552" t="str">
        <f t="shared" ca="1" si="29"/>
        <v>3.9.28.1</v>
      </c>
      <c r="C94" s="356" t="s">
        <v>917</v>
      </c>
      <c r="D94" s="357" t="s">
        <v>908</v>
      </c>
      <c r="E94" s="357" t="s">
        <v>889</v>
      </c>
      <c r="F94" s="358"/>
      <c r="G94" s="349"/>
      <c r="H94" s="350"/>
      <c r="I94" s="350"/>
      <c r="J94" s="350"/>
      <c r="K94" s="350"/>
      <c r="L94" s="350"/>
      <c r="M94" s="572"/>
      <c r="N94" s="572"/>
      <c r="O94" s="350"/>
      <c r="P94" s="572"/>
      <c r="Q94" s="572"/>
      <c r="R94" s="572"/>
      <c r="S94" s="350"/>
      <c r="T94" s="352"/>
      <c r="U94" s="359"/>
      <c r="V94" s="354"/>
      <c r="W94" s="359"/>
      <c r="X94" s="358"/>
      <c r="Y94" s="318"/>
    </row>
    <row r="95" spans="1:25" s="311" customFormat="1" x14ac:dyDescent="0.25">
      <c r="A95" s="297">
        <v>4</v>
      </c>
      <c r="B95" s="552" t="str">
        <f t="shared" ca="1" si="29"/>
        <v>3.9.28.2</v>
      </c>
      <c r="C95" s="356" t="s">
        <v>918</v>
      </c>
      <c r="D95" s="357" t="s">
        <v>908</v>
      </c>
      <c r="E95" s="357" t="s">
        <v>889</v>
      </c>
      <c r="F95" s="358"/>
      <c r="G95" s="349"/>
      <c r="H95" s="350"/>
      <c r="I95" s="350"/>
      <c r="J95" s="350"/>
      <c r="K95" s="350"/>
      <c r="L95" s="350"/>
      <c r="M95" s="572"/>
      <c r="N95" s="572"/>
      <c r="O95" s="350"/>
      <c r="P95" s="357"/>
      <c r="Q95" s="357"/>
      <c r="R95" s="572"/>
      <c r="S95" s="350"/>
      <c r="T95" s="352"/>
      <c r="U95" s="359"/>
      <c r="V95" s="354"/>
      <c r="W95" s="359"/>
      <c r="X95" s="358"/>
      <c r="Y95" s="318"/>
    </row>
    <row r="96" spans="1:25" s="311" customFormat="1" x14ac:dyDescent="0.25">
      <c r="A96" s="297">
        <v>4</v>
      </c>
      <c r="B96" s="552" t="str">
        <f t="shared" ca="1" si="29"/>
        <v>3.9.28.3</v>
      </c>
      <c r="C96" s="356" t="s">
        <v>936</v>
      </c>
      <c r="D96" s="357" t="s">
        <v>937</v>
      </c>
      <c r="E96" s="357" t="s">
        <v>889</v>
      </c>
      <c r="F96" s="358"/>
      <c r="G96" s="349"/>
      <c r="H96" s="350"/>
      <c r="I96" s="350"/>
      <c r="J96" s="350"/>
      <c r="K96" s="350"/>
      <c r="L96" s="350"/>
      <c r="M96" s="572"/>
      <c r="N96" s="572"/>
      <c r="O96" s="350"/>
      <c r="P96" s="572"/>
      <c r="Q96" s="572"/>
      <c r="R96" s="572"/>
      <c r="S96" s="350"/>
      <c r="T96" s="352"/>
      <c r="U96" s="359"/>
      <c r="V96" s="354"/>
      <c r="W96" s="359"/>
      <c r="X96" s="358"/>
      <c r="Y96" s="318"/>
    </row>
    <row r="97" spans="1:25" s="311" customFormat="1" ht="31.5" x14ac:dyDescent="0.25">
      <c r="A97" s="297">
        <v>3</v>
      </c>
      <c r="B97" s="552" t="str">
        <f t="shared" ca="1" si="29"/>
        <v>3.9.29</v>
      </c>
      <c r="C97" s="356" t="s">
        <v>2346</v>
      </c>
      <c r="D97" s="357" t="s">
        <v>933</v>
      </c>
      <c r="E97" s="357" t="s">
        <v>889</v>
      </c>
      <c r="F97" s="358" t="str">
        <f ca="1">CONCATENATE("учтено в п.",$B$25,", ",$B$26,", ",$B$44)</f>
        <v>учтено в п.3.8.1, 3.8.1.1, 3.8.8</v>
      </c>
      <c r="G97" s="349"/>
      <c r="H97" s="350"/>
      <c r="I97" s="350"/>
      <c r="J97" s="350"/>
      <c r="K97" s="350"/>
      <c r="L97" s="350"/>
      <c r="M97" s="572"/>
      <c r="N97" s="572"/>
      <c r="O97" s="350"/>
      <c r="P97" s="572"/>
      <c r="Q97" s="572"/>
      <c r="R97" s="572"/>
      <c r="S97" s="350"/>
      <c r="T97" s="352"/>
      <c r="U97" s="359"/>
      <c r="V97" s="354"/>
      <c r="W97" s="359"/>
      <c r="X97" s="358"/>
      <c r="Y97" s="318"/>
    </row>
    <row r="98" spans="1:25" s="290" customFormat="1" x14ac:dyDescent="0.25">
      <c r="A98" s="290">
        <v>3</v>
      </c>
      <c r="B98" s="552" t="str">
        <f t="shared" ca="1" si="29"/>
        <v>3.9.30</v>
      </c>
      <c r="C98" s="584" t="s">
        <v>1013</v>
      </c>
      <c r="D98" s="568" t="s">
        <v>890</v>
      </c>
      <c r="E98" s="569" t="s">
        <v>909</v>
      </c>
      <c r="F98" s="589" t="str">
        <f ca="1">CONCATENATE("учтено в п.",$B$25,", ",$B$26,", ",$B$44)</f>
        <v>учтено в п.3.8.1, 3.8.1.1, 3.8.8</v>
      </c>
      <c r="G98" s="349"/>
      <c r="H98" s="585"/>
      <c r="I98" s="585"/>
      <c r="J98" s="585"/>
      <c r="K98" s="585"/>
      <c r="L98" s="585"/>
      <c r="M98" s="585"/>
      <c r="N98" s="585"/>
      <c r="O98" s="585"/>
      <c r="P98" s="585"/>
      <c r="Q98" s="585"/>
      <c r="R98" s="585"/>
      <c r="S98" s="585"/>
      <c r="T98" s="563"/>
      <c r="U98" s="585"/>
      <c r="V98" s="565"/>
      <c r="W98" s="585"/>
      <c r="X98" s="586"/>
    </row>
    <row r="99" spans="1:25" s="290" customFormat="1" x14ac:dyDescent="0.25">
      <c r="A99" s="290">
        <v>3</v>
      </c>
      <c r="B99" s="552" t="str">
        <f ca="1">IF(A99&gt;OFFSET(A99,-1,0),OFFSET(B99,-1,0)&amp;"."&amp;1,LEFT(OFFSET(B99,-1,0),SEARCH("^^",SUBSTITUTE("."&amp;OFFSET(B99,-1,0),".","^^",A99))-1)&amp;1--MID(OFFSET(B99,-1,0),SEARCH("^^",SUBSTITUTE("."&amp;OFFSET(B99,-1,0),".","^^",A99)),SEARCH("^^",SUBSTITUTE(OFFSET(B99,-1,0)&amp;".",".","^^",A99))-SEARCH("^^",SUBSTITUTE("."&amp;OFFSET(B99,-1,0),".","^^",A99))))</f>
        <v>3.9.31</v>
      </c>
      <c r="C99" s="567" t="s">
        <v>1010</v>
      </c>
      <c r="D99" s="569" t="s">
        <v>933</v>
      </c>
      <c r="E99" s="569" t="s">
        <v>909</v>
      </c>
      <c r="F99" s="358" t="str">
        <f ca="1">CONCATENATE("учтено в п.",$B$25,", ",$B$26,", ",$B$44)</f>
        <v>учтено в п.3.8.1, 3.8.1.1, 3.8.8</v>
      </c>
      <c r="G99" s="349"/>
      <c r="H99" s="571"/>
      <c r="I99" s="571"/>
      <c r="J99" s="571"/>
      <c r="K99" s="571"/>
      <c r="L99" s="561"/>
      <c r="M99" s="572"/>
      <c r="N99" s="572"/>
      <c r="O99" s="561"/>
      <c r="P99" s="572"/>
      <c r="Q99" s="572"/>
      <c r="R99" s="572"/>
      <c r="S99" s="561"/>
      <c r="T99" s="563"/>
      <c r="U99" s="564"/>
      <c r="V99" s="565"/>
      <c r="W99" s="564"/>
      <c r="X99" s="566"/>
    </row>
    <row r="100" spans="1:25" s="290" customFormat="1" ht="31.5" x14ac:dyDescent="0.25">
      <c r="A100" s="290">
        <v>3</v>
      </c>
      <c r="B100" s="552" t="str">
        <f ca="1">IF(A100&gt;OFFSET(A100,-1,0),OFFSET(B100,-1,0)&amp;"."&amp;1,LEFT(OFFSET(B100,-1,0),SEARCH("^^",SUBSTITUTE("."&amp;OFFSET(B100,-1,0),".","^^",A100))-1)&amp;1--MID(OFFSET(B100,-1,0),SEARCH("^^",SUBSTITUTE("."&amp;OFFSET(B100,-1,0),".","^^",A100)),SEARCH("^^",SUBSTITUTE(OFFSET(B100,-1,0)&amp;".",".","^^",A100))-SEARCH("^^",SUBSTITUTE("."&amp;OFFSET(B100,-1,0),".","^^",A100))))</f>
        <v>3.9.32</v>
      </c>
      <c r="C100" s="567" t="s">
        <v>1014</v>
      </c>
      <c r="D100" s="569" t="s">
        <v>890</v>
      </c>
      <c r="E100" s="569" t="s">
        <v>910</v>
      </c>
      <c r="F100" s="568" t="str">
        <f ca="1">CONCATENATE("учтено в п.",$B$25,", ",$B$26,", ",$B$44)</f>
        <v>учтено в п.3.8.1, 3.8.1.1, 3.8.8</v>
      </c>
      <c r="G100" s="349"/>
      <c r="H100" s="571"/>
      <c r="I100" s="571"/>
      <c r="J100" s="571"/>
      <c r="K100" s="571"/>
      <c r="L100" s="561"/>
      <c r="M100" s="562"/>
      <c r="N100" s="562"/>
      <c r="O100" s="561"/>
      <c r="P100" s="562"/>
      <c r="Q100" s="562"/>
      <c r="R100" s="562"/>
      <c r="S100" s="561"/>
      <c r="T100" s="563">
        <v>1</v>
      </c>
      <c r="U100" s="564"/>
      <c r="V100" s="565">
        <v>1</v>
      </c>
      <c r="W100" s="564"/>
      <c r="X100" s="566" t="s">
        <v>921</v>
      </c>
    </row>
    <row r="101" spans="1:25" x14ac:dyDescent="0.25">
      <c r="A101" s="290">
        <v>3</v>
      </c>
      <c r="B101" s="552" t="str">
        <f ca="1">IF(A101&gt;OFFSET(A101,-1,0),OFFSET(B101,-1,0)&amp;"."&amp;1,LEFT(OFFSET(B101,-1,0),SEARCH("^^",SUBSTITUTE("."&amp;OFFSET(B101,-1,0),".","^^",A101))-1)&amp;1--MID(OFFSET(B101,-1,0),SEARCH("^^",SUBSTITUTE("."&amp;OFFSET(B101,-1,0),".","^^",A101)),SEARCH("^^",SUBSTITUTE(OFFSET(B101,-1,0)&amp;".",".","^^",A101))-SEARCH("^^",SUBSTITUTE("."&amp;OFFSET(B101,-1,0),".","^^",A101))))</f>
        <v>3.9.33</v>
      </c>
      <c r="C101" s="356" t="s">
        <v>938</v>
      </c>
      <c r="D101" s="357" t="s">
        <v>882</v>
      </c>
      <c r="E101" s="357" t="s">
        <v>916</v>
      </c>
      <c r="F101" s="589" t="str">
        <f ca="1">CONCATENATE("учтено в п.",$B$25,", ",$B$26,", ",$B$44)</f>
        <v>учтено в п.3.8.1, 3.8.1.1, 3.8.8</v>
      </c>
      <c r="G101" s="349"/>
      <c r="H101" s="350"/>
      <c r="I101" s="350"/>
      <c r="J101" s="350"/>
      <c r="K101" s="350"/>
      <c r="L101" s="351"/>
      <c r="M101" s="572"/>
      <c r="N101" s="572"/>
      <c r="O101" s="351"/>
      <c r="P101" s="572"/>
      <c r="Q101" s="572"/>
      <c r="R101" s="572"/>
      <c r="S101" s="351"/>
      <c r="T101" s="563"/>
      <c r="U101" s="353"/>
      <c r="V101" s="565"/>
      <c r="W101" s="353"/>
      <c r="X101" s="348"/>
      <c r="Y101" s="317"/>
    </row>
    <row r="102" spans="1:25" s="311" customFormat="1" x14ac:dyDescent="0.25">
      <c r="A102" s="297">
        <v>3</v>
      </c>
      <c r="B102" s="552" t="str">
        <f t="shared" ref="B102:B109" ca="1" si="36">IF(A102&gt;OFFSET(A102,-1,0),OFFSET(B102,-1,0)&amp;"."&amp;1,LEFT(OFFSET(B102,-1,0),SEARCH("^^",SUBSTITUTE("."&amp;OFFSET(B102,-1,0),".","^^",A102))-1)&amp;1--MID(OFFSET(B102,-1,0),SEARCH("^^",SUBSTITUTE("."&amp;OFFSET(B102,-1,0),".","^^",A102)),SEARCH("^^",SUBSTITUTE(OFFSET(B102,-1,0)&amp;".",".","^^",A102))-SEARCH("^^",SUBSTITUTE("."&amp;OFFSET(B102,-1,0),".","^^",A102))))</f>
        <v>3.9.34</v>
      </c>
      <c r="C102" s="356" t="s">
        <v>939</v>
      </c>
      <c r="D102" s="357" t="s">
        <v>882</v>
      </c>
      <c r="E102" s="357" t="s">
        <v>940</v>
      </c>
      <c r="F102" s="358" t="str">
        <f ca="1">CONCATENATE("учтено в п. ",$B$21,", ",$B$22)</f>
        <v>учтено в п. 3.5, 3.6</v>
      </c>
      <c r="G102" s="349"/>
      <c r="H102" s="350"/>
      <c r="I102" s="350"/>
      <c r="J102" s="350"/>
      <c r="K102" s="350"/>
      <c r="L102" s="350"/>
      <c r="M102" s="572"/>
      <c r="N102" s="572"/>
      <c r="O102" s="350"/>
      <c r="P102" s="572"/>
      <c r="Q102" s="572"/>
      <c r="R102" s="572"/>
      <c r="S102" s="350"/>
      <c r="T102" s="352"/>
      <c r="U102" s="359"/>
      <c r="V102" s="354"/>
      <c r="W102" s="359"/>
      <c r="X102" s="358"/>
      <c r="Y102" s="318"/>
    </row>
    <row r="103" spans="1:25" ht="207.75" x14ac:dyDescent="0.25">
      <c r="A103" s="290">
        <v>3</v>
      </c>
      <c r="B103" s="552" t="str">
        <f t="shared" ca="1" si="36"/>
        <v>3.9.35</v>
      </c>
      <c r="C103" s="356" t="s">
        <v>2348</v>
      </c>
      <c r="D103" s="357" t="s">
        <v>831</v>
      </c>
      <c r="E103" s="588">
        <f>300/100</f>
        <v>3</v>
      </c>
      <c r="F103" s="358" t="s">
        <v>980</v>
      </c>
      <c r="G103" s="349">
        <v>46023</v>
      </c>
      <c r="H103" s="350">
        <f>365.72*1000</f>
        <v>365720</v>
      </c>
      <c r="I103" s="350">
        <f>16.34*1000</f>
        <v>16340</v>
      </c>
      <c r="J103" s="350">
        <f>7.32*1000</f>
        <v>7320</v>
      </c>
      <c r="K103" s="571">
        <f>(H103-I103-J103)*0.2%</f>
        <v>684.12</v>
      </c>
      <c r="L103" s="351">
        <f>E103*(H103-I103-J103-K103)</f>
        <v>1024127.64</v>
      </c>
      <c r="M103" s="572">
        <v>1</v>
      </c>
      <c r="N103" s="572">
        <v>1.02</v>
      </c>
      <c r="O103" s="351">
        <f t="shared" ref="O103:O107" si="37">L103*M103*N103</f>
        <v>1044610.19</v>
      </c>
      <c r="P103" s="572">
        <v>0.89</v>
      </c>
      <c r="Q103" s="572">
        <v>0.99</v>
      </c>
      <c r="R103" s="572">
        <v>1</v>
      </c>
      <c r="S103" s="351">
        <f t="shared" ref="S103:S107" si="38">O103*P103*Q103*R103</f>
        <v>920406.04</v>
      </c>
      <c r="T103" s="563">
        <v>1</v>
      </c>
      <c r="U103" s="353">
        <f t="shared" ref="U103:U107" si="39">S103*T103</f>
        <v>920406.04</v>
      </c>
      <c r="V103" s="565">
        <v>1</v>
      </c>
      <c r="W103" s="353">
        <f t="shared" ref="W103:W107" si="40">U103*V103</f>
        <v>920406.04</v>
      </c>
      <c r="X103" s="348" t="s">
        <v>2349</v>
      </c>
      <c r="Y103" s="317"/>
    </row>
    <row r="104" spans="1:25" s="311" customFormat="1" x14ac:dyDescent="0.25">
      <c r="A104" s="297">
        <v>3</v>
      </c>
      <c r="B104" s="552" t="str">
        <f t="shared" ca="1" si="36"/>
        <v>3.9.36</v>
      </c>
      <c r="C104" s="356" t="s">
        <v>2347</v>
      </c>
      <c r="D104" s="357" t="s">
        <v>882</v>
      </c>
      <c r="E104" s="357">
        <v>2800</v>
      </c>
      <c r="F104" s="358" t="str">
        <f ca="1">CONCATENATE("учтено в п. ",$B$21,", ",$B$22)</f>
        <v>учтено в п. 3.5, 3.6</v>
      </c>
      <c r="G104" s="349"/>
      <c r="H104" s="350"/>
      <c r="I104" s="350"/>
      <c r="J104" s="350"/>
      <c r="K104" s="350"/>
      <c r="L104" s="350"/>
      <c r="M104" s="572"/>
      <c r="N104" s="572"/>
      <c r="O104" s="350"/>
      <c r="P104" s="572"/>
      <c r="Q104" s="572"/>
      <c r="R104" s="572"/>
      <c r="S104" s="350"/>
      <c r="T104" s="352"/>
      <c r="U104" s="359"/>
      <c r="V104" s="354"/>
      <c r="W104" s="359"/>
      <c r="X104" s="358"/>
      <c r="Y104" s="318"/>
    </row>
    <row r="105" spans="1:25" s="286" customFormat="1" ht="31.5" x14ac:dyDescent="0.25">
      <c r="A105" s="385">
        <v>2</v>
      </c>
      <c r="B105" s="576" t="str">
        <f t="shared" ca="1" si="36"/>
        <v>3.10</v>
      </c>
      <c r="C105" s="577" t="s">
        <v>974</v>
      </c>
      <c r="D105" s="578"/>
      <c r="E105" s="578"/>
      <c r="F105" s="579"/>
      <c r="G105" s="580"/>
      <c r="H105" s="581"/>
      <c r="I105" s="581"/>
      <c r="J105" s="581"/>
      <c r="K105" s="581"/>
      <c r="L105" s="581">
        <f>L106+L107+L108+L109</f>
        <v>116422504.37</v>
      </c>
      <c r="M105" s="556"/>
      <c r="N105" s="556"/>
      <c r="O105" s="581">
        <f>O106+O107+O108+O109</f>
        <v>137172902.80000001</v>
      </c>
      <c r="P105" s="556"/>
      <c r="Q105" s="556"/>
      <c r="R105" s="556"/>
      <c r="S105" s="581">
        <f>S106+S107+S108+S109</f>
        <v>118929403.86</v>
      </c>
      <c r="T105" s="600"/>
      <c r="U105" s="581">
        <f>U106+U107+U108+U109</f>
        <v>118929403.86</v>
      </c>
      <c r="V105" s="601"/>
      <c r="W105" s="581">
        <f>W106+W107+W108+W109</f>
        <v>118929403.86</v>
      </c>
      <c r="X105" s="582"/>
      <c r="Y105" s="376"/>
    </row>
    <row r="106" spans="1:25" ht="110.25" x14ac:dyDescent="0.25">
      <c r="A106" s="290">
        <v>3</v>
      </c>
      <c r="B106" s="552" t="str">
        <f t="shared" ca="1" si="36"/>
        <v>3.10.1</v>
      </c>
      <c r="C106" s="356" t="s">
        <v>2350</v>
      </c>
      <c r="D106" s="357" t="s">
        <v>975</v>
      </c>
      <c r="E106" s="357">
        <f>1400/1000</f>
        <v>1.4</v>
      </c>
      <c r="F106" s="568" t="s">
        <v>976</v>
      </c>
      <c r="G106" s="349">
        <v>46023</v>
      </c>
      <c r="H106" s="585">
        <f>4313.17*1000</f>
        <v>4313170</v>
      </c>
      <c r="I106" s="585">
        <f>190.51*1000</f>
        <v>190510</v>
      </c>
      <c r="J106" s="585">
        <f>86.38*1000</f>
        <v>86380</v>
      </c>
      <c r="K106" s="571">
        <f>(H106-I106-J106)*0.2%</f>
        <v>8072.56</v>
      </c>
      <c r="L106" s="351">
        <f>E106*(H106-I106-J106-K106)</f>
        <v>5639490.4199999999</v>
      </c>
      <c r="M106" s="585">
        <v>1</v>
      </c>
      <c r="N106" s="585">
        <v>1</v>
      </c>
      <c r="O106" s="585">
        <f t="shared" si="37"/>
        <v>5639490.4199999999</v>
      </c>
      <c r="P106" s="585">
        <v>0.87</v>
      </c>
      <c r="Q106" s="585">
        <v>0.99</v>
      </c>
      <c r="R106" s="585">
        <v>1</v>
      </c>
      <c r="S106" s="585">
        <f t="shared" si="38"/>
        <v>4857293.0999999996</v>
      </c>
      <c r="T106" s="563">
        <v>1</v>
      </c>
      <c r="U106" s="585">
        <f t="shared" si="39"/>
        <v>4857293.0999999996</v>
      </c>
      <c r="V106" s="565">
        <v>1</v>
      </c>
      <c r="W106" s="585">
        <f t="shared" si="40"/>
        <v>4857293.0999999996</v>
      </c>
      <c r="X106" s="348"/>
      <c r="Y106" s="317"/>
    </row>
    <row r="107" spans="1:25" ht="242.25" x14ac:dyDescent="0.25">
      <c r="A107" s="290">
        <v>3</v>
      </c>
      <c r="B107" s="552" t="str">
        <f t="shared" ca="1" si="36"/>
        <v>3.10.2</v>
      </c>
      <c r="C107" s="356" t="s">
        <v>2351</v>
      </c>
      <c r="D107" s="357" t="s">
        <v>764</v>
      </c>
      <c r="E107" s="357">
        <f>5600/1000</f>
        <v>5.6</v>
      </c>
      <c r="F107" s="590" t="s">
        <v>2110</v>
      </c>
      <c r="G107" s="349">
        <v>46023</v>
      </c>
      <c r="H107" s="624">
        <f>6761.8*1000</f>
        <v>6761800</v>
      </c>
      <c r="I107" s="624">
        <f>441.28*1000</f>
        <v>441280</v>
      </c>
      <c r="J107" s="624">
        <f>132.43*1000</f>
        <v>132430</v>
      </c>
      <c r="K107" s="571">
        <f>(H107-I107-J107)*0.2%</f>
        <v>12376.18</v>
      </c>
      <c r="L107" s="351">
        <f>E107*(H107-I107-J107-K107)</f>
        <v>34583997.390000001</v>
      </c>
      <c r="M107" s="585">
        <v>1</v>
      </c>
      <c r="N107" s="585">
        <f>1+SUM((1.02-1),(1.58-1))</f>
        <v>1.6</v>
      </c>
      <c r="O107" s="585">
        <f t="shared" si="37"/>
        <v>55334395.82</v>
      </c>
      <c r="P107" s="585">
        <v>0.9</v>
      </c>
      <c r="Q107" s="585">
        <v>0.99</v>
      </c>
      <c r="R107" s="585">
        <v>1</v>
      </c>
      <c r="S107" s="585">
        <f t="shared" si="38"/>
        <v>49302946.68</v>
      </c>
      <c r="T107" s="563">
        <v>1</v>
      </c>
      <c r="U107" s="585">
        <f t="shared" si="39"/>
        <v>49302946.68</v>
      </c>
      <c r="V107" s="565">
        <v>1</v>
      </c>
      <c r="W107" s="585">
        <f t="shared" si="40"/>
        <v>49302946.68</v>
      </c>
      <c r="X107" s="348" t="s">
        <v>2352</v>
      </c>
      <c r="Y107" s="317"/>
    </row>
    <row r="108" spans="1:25" s="290" customFormat="1" ht="63" x14ac:dyDescent="0.25">
      <c r="A108" s="290">
        <v>3</v>
      </c>
      <c r="B108" s="552" t="str">
        <f t="shared" ca="1" si="36"/>
        <v>3.10.3</v>
      </c>
      <c r="C108" s="584" t="s">
        <v>978</v>
      </c>
      <c r="D108" s="568" t="s">
        <v>941</v>
      </c>
      <c r="E108" s="569">
        <v>1</v>
      </c>
      <c r="F108" s="568" t="s">
        <v>977</v>
      </c>
      <c r="G108" s="349">
        <v>46023</v>
      </c>
      <c r="H108" s="585">
        <f>40428.18*1000</f>
        <v>40428180</v>
      </c>
      <c r="I108" s="585">
        <f>1486.24*1000</f>
        <v>1486240</v>
      </c>
      <c r="J108" s="585">
        <f>766.08*1000</f>
        <v>766080</v>
      </c>
      <c r="K108" s="571">
        <f>(H108-I108-J108)*0.2%</f>
        <v>76351.72</v>
      </c>
      <c r="L108" s="351">
        <f>E108*(H108-I108-J108-K108)</f>
        <v>38099508.280000001</v>
      </c>
      <c r="M108" s="585">
        <v>1</v>
      </c>
      <c r="N108" s="585">
        <v>1</v>
      </c>
      <c r="O108" s="585">
        <f>L108*M108*N108</f>
        <v>38099508.280000001</v>
      </c>
      <c r="P108" s="585">
        <v>0.85</v>
      </c>
      <c r="Q108" s="585">
        <v>1</v>
      </c>
      <c r="R108" s="585">
        <v>1</v>
      </c>
      <c r="S108" s="585">
        <f>O108*P108*Q108*R108</f>
        <v>32384582.039999999</v>
      </c>
      <c r="T108" s="563">
        <v>1</v>
      </c>
      <c r="U108" s="585">
        <f>S108*T108</f>
        <v>32384582.039999999</v>
      </c>
      <c r="V108" s="565">
        <v>1</v>
      </c>
      <c r="W108" s="585">
        <f>U108*V108</f>
        <v>32384582.039999999</v>
      </c>
      <c r="X108" s="591" t="s">
        <v>2354</v>
      </c>
    </row>
    <row r="109" spans="1:25" s="290" customFormat="1" ht="78.75" x14ac:dyDescent="0.25">
      <c r="A109" s="290">
        <v>3</v>
      </c>
      <c r="B109" s="552" t="str">
        <f t="shared" ca="1" si="36"/>
        <v>3.10.4</v>
      </c>
      <c r="C109" s="567" t="s">
        <v>979</v>
      </c>
      <c r="D109" s="569" t="s">
        <v>833</v>
      </c>
      <c r="E109" s="569">
        <v>1</v>
      </c>
      <c r="F109" s="568" t="s">
        <v>977</v>
      </c>
      <c r="G109" s="349">
        <v>46023</v>
      </c>
      <c r="H109" s="585">
        <f>40428.18*1000</f>
        <v>40428180</v>
      </c>
      <c r="I109" s="585">
        <f>1486.24*1000</f>
        <v>1486240</v>
      </c>
      <c r="J109" s="585">
        <f>766.08*1000</f>
        <v>766080</v>
      </c>
      <c r="K109" s="571">
        <f>(H109-I109-J109)*0.2%</f>
        <v>76351.72</v>
      </c>
      <c r="L109" s="351">
        <f>E109*(H109-I109-J109-K109)</f>
        <v>38099508.280000001</v>
      </c>
      <c r="M109" s="585">
        <v>1</v>
      </c>
      <c r="N109" s="585">
        <v>1</v>
      </c>
      <c r="O109" s="585">
        <f>L109*M109*N109</f>
        <v>38099508.280000001</v>
      </c>
      <c r="P109" s="585">
        <v>0.85</v>
      </c>
      <c r="Q109" s="585">
        <v>1</v>
      </c>
      <c r="R109" s="585">
        <v>1</v>
      </c>
      <c r="S109" s="585">
        <f>O109*P109*Q109*R109</f>
        <v>32384582.039999999</v>
      </c>
      <c r="T109" s="563">
        <v>1</v>
      </c>
      <c r="U109" s="585">
        <f>S109*T109</f>
        <v>32384582.039999999</v>
      </c>
      <c r="V109" s="565">
        <v>1</v>
      </c>
      <c r="W109" s="585">
        <f>U109*V109</f>
        <v>32384582.039999999</v>
      </c>
      <c r="X109" s="592" t="s">
        <v>2353</v>
      </c>
    </row>
    <row r="110" spans="1:25" s="286" customFormat="1" x14ac:dyDescent="0.25">
      <c r="B110" s="319"/>
      <c r="C110" s="320" t="s">
        <v>105</v>
      </c>
      <c r="D110" s="319"/>
      <c r="E110" s="319"/>
      <c r="F110" s="319"/>
      <c r="G110" s="319"/>
      <c r="H110" s="321"/>
      <c r="I110" s="321"/>
      <c r="J110" s="321"/>
      <c r="K110" s="321"/>
      <c r="L110" s="321"/>
      <c r="M110" s="321"/>
      <c r="N110" s="321"/>
      <c r="O110" s="321"/>
      <c r="P110" s="321"/>
      <c r="Q110" s="321"/>
      <c r="R110" s="321"/>
      <c r="S110" s="639" t="e">
        <f>S8+S14+S16</f>
        <v>#REF!</v>
      </c>
      <c r="T110" s="639"/>
      <c r="U110" s="639" t="e">
        <f>U8+U14+U16</f>
        <v>#REF!</v>
      </c>
      <c r="V110" s="639"/>
      <c r="W110" s="639" t="e">
        <f>W8+W14+W16</f>
        <v>#REF!</v>
      </c>
      <c r="X110" s="322"/>
    </row>
    <row r="111" spans="1:25" x14ac:dyDescent="0.25">
      <c r="B111" s="323"/>
      <c r="C111" s="324" t="s">
        <v>832</v>
      </c>
      <c r="D111" s="323"/>
      <c r="E111" s="323"/>
      <c r="F111" s="323"/>
      <c r="G111" s="323"/>
      <c r="H111" s="323"/>
      <c r="I111" s="323"/>
      <c r="J111" s="323"/>
      <c r="K111" s="323"/>
      <c r="L111" s="323"/>
      <c r="M111" s="323"/>
      <c r="N111" s="323"/>
      <c r="O111" s="323"/>
      <c r="P111" s="323"/>
      <c r="Q111" s="323"/>
      <c r="R111" s="323"/>
      <c r="S111" s="640" t="e">
        <f>S110*22%</f>
        <v>#REF!</v>
      </c>
      <c r="T111" s="641"/>
      <c r="U111" s="640" t="e">
        <f>U110*22%</f>
        <v>#REF!</v>
      </c>
      <c r="V111" s="641"/>
      <c r="W111" s="640" t="e">
        <f>W110*22%</f>
        <v>#REF!</v>
      </c>
      <c r="X111" s="323"/>
    </row>
    <row r="112" spans="1:25" s="286" customFormat="1" x14ac:dyDescent="0.25">
      <c r="B112" s="322"/>
      <c r="C112" s="325" t="s">
        <v>841</v>
      </c>
      <c r="D112" s="322"/>
      <c r="E112" s="322"/>
      <c r="F112" s="322"/>
      <c r="G112" s="322"/>
      <c r="H112" s="322"/>
      <c r="I112" s="322"/>
      <c r="J112" s="322"/>
      <c r="K112" s="322"/>
      <c r="L112" s="322"/>
      <c r="M112" s="322"/>
      <c r="N112" s="322"/>
      <c r="O112" s="322"/>
      <c r="P112" s="322"/>
      <c r="Q112" s="322"/>
      <c r="R112" s="322"/>
      <c r="S112" s="639" t="e">
        <f>S110+S111</f>
        <v>#REF!</v>
      </c>
      <c r="T112" s="642"/>
      <c r="U112" s="639" t="e">
        <f>U110+U111</f>
        <v>#REF!</v>
      </c>
      <c r="V112" s="642"/>
      <c r="W112" s="639" t="e">
        <f>W110+W111</f>
        <v>#REF!</v>
      </c>
      <c r="X112" s="322"/>
    </row>
    <row r="114" spans="1:25" x14ac:dyDescent="0.25">
      <c r="S114" s="310"/>
    </row>
    <row r="115" spans="1:25" ht="48.75" customHeight="1" x14ac:dyDescent="0.25">
      <c r="B115" s="714" t="str">
        <f>Пояснительная!A25</f>
        <v>Начальник отдела ценообразования
управления проектов
департамента развития инфраструктуры</v>
      </c>
      <c r="C115" s="714"/>
      <c r="D115" s="714"/>
      <c r="E115" s="714"/>
      <c r="F115" s="713"/>
      <c r="G115" s="713"/>
      <c r="O115" s="298" t="str">
        <f>Пояснительная!C25</f>
        <v>А.Ю. Татаринов</v>
      </c>
    </row>
    <row r="119" spans="1:25" hidden="1" x14ac:dyDescent="0.25"/>
    <row r="120" spans="1:25" s="299" customFormat="1" ht="225.75" hidden="1" customHeight="1" x14ac:dyDescent="0.25">
      <c r="A120" s="299">
        <v>1</v>
      </c>
      <c r="B120" s="300">
        <v>1</v>
      </c>
      <c r="C120" s="326" t="s">
        <v>835</v>
      </c>
      <c r="D120" s="327" t="s">
        <v>708</v>
      </c>
      <c r="E120" s="327">
        <v>2.74</v>
      </c>
      <c r="F120" s="328" t="s">
        <v>836</v>
      </c>
      <c r="G120" s="329">
        <v>45292</v>
      </c>
      <c r="H120" s="330">
        <f>9838.49</f>
        <v>9838.49</v>
      </c>
      <c r="I120" s="330"/>
      <c r="J120" s="330"/>
      <c r="K120" s="330"/>
      <c r="L120" s="330">
        <f>E120*H120</f>
        <v>26957.46</v>
      </c>
      <c r="M120" s="327">
        <v>1</v>
      </c>
      <c r="N120" s="327">
        <f>1.07</f>
        <v>1.07</v>
      </c>
      <c r="O120" s="330">
        <f>L120*M120*N120</f>
        <v>28844.48</v>
      </c>
      <c r="P120" s="327">
        <v>0.81</v>
      </c>
      <c r="Q120" s="327">
        <v>0.98</v>
      </c>
      <c r="R120" s="327">
        <v>1</v>
      </c>
      <c r="S120" s="330">
        <f>O120*P120*Q120*R120</f>
        <v>22896.75</v>
      </c>
      <c r="T120" s="331">
        <f>'[2]Индексы Росстата'!$C$20</f>
        <v>1.0589999999999999</v>
      </c>
      <c r="U120" s="332">
        <f>S120*T120</f>
        <v>24247.66</v>
      </c>
      <c r="V120" s="333">
        <f>'[2]Прогнозные индексы'!$K$15</f>
        <v>1.0383</v>
      </c>
      <c r="W120" s="332">
        <f>U120*V120</f>
        <v>25176.35</v>
      </c>
      <c r="X120" s="327"/>
    </row>
    <row r="121" spans="1:25" s="299" customFormat="1" ht="31.5" hidden="1" x14ac:dyDescent="0.25">
      <c r="A121" s="299">
        <v>2</v>
      </c>
      <c r="B121" s="300" t="str">
        <f t="shared" ref="B121:B126" ca="1" si="41">IF(A121&gt;OFFSET(A121,-1,0),OFFSET(B121,-1,0)&amp;"."&amp;1,LEFT(OFFSET(B121,-1,0),SEARCH("^^",SUBSTITUTE("."&amp;OFFSET(B121,-1,0),".","^^",A121))-1)&amp;1--MID(OFFSET(B121,-1,0),SEARCH("^^",SUBSTITUTE("."&amp;OFFSET(B121,-1,0),".","^^",A121)),SEARCH("^^",SUBSTITUTE(OFFSET(B121,-1,0)&amp;".",".","^^",A121))-SEARCH("^^",SUBSTITUTE("."&amp;OFFSET(B121,-1,0),".","^^",A121))))</f>
        <v>1.1</v>
      </c>
      <c r="C121" s="326" t="s">
        <v>837</v>
      </c>
      <c r="D121" s="327" t="s">
        <v>830</v>
      </c>
      <c r="E121" s="327">
        <f>ROUND(E120*14,0)</f>
        <v>38</v>
      </c>
      <c r="F121" s="328"/>
      <c r="G121" s="329"/>
      <c r="H121" s="330"/>
      <c r="I121" s="330"/>
      <c r="J121" s="330"/>
      <c r="K121" s="330"/>
      <c r="L121" s="330"/>
      <c r="M121" s="327"/>
      <c r="N121" s="327"/>
      <c r="O121" s="330"/>
      <c r="P121" s="327"/>
      <c r="Q121" s="327"/>
      <c r="R121" s="327"/>
      <c r="S121" s="330"/>
      <c r="T121" s="331"/>
      <c r="U121" s="332"/>
      <c r="V121" s="333"/>
      <c r="W121" s="332"/>
      <c r="X121" s="327"/>
    </row>
    <row r="122" spans="1:25" s="299" customFormat="1" ht="220.5" hidden="1" x14ac:dyDescent="0.25">
      <c r="A122" s="299">
        <v>1</v>
      </c>
      <c r="B122" s="300" t="str">
        <f t="shared" ca="1" si="41"/>
        <v>2</v>
      </c>
      <c r="C122" s="326" t="s">
        <v>838</v>
      </c>
      <c r="D122" s="327" t="s">
        <v>708</v>
      </c>
      <c r="E122" s="327">
        <v>1.24</v>
      </c>
      <c r="F122" s="328" t="s">
        <v>839</v>
      </c>
      <c r="G122" s="329">
        <v>45292</v>
      </c>
      <c r="H122" s="330">
        <f>12818.64</f>
        <v>12818.64</v>
      </c>
      <c r="I122" s="330"/>
      <c r="J122" s="330"/>
      <c r="K122" s="330"/>
      <c r="L122" s="330">
        <f>E122*H122</f>
        <v>15895.11</v>
      </c>
      <c r="M122" s="327">
        <v>1</v>
      </c>
      <c r="N122" s="327">
        <f>1.04</f>
        <v>1.04</v>
      </c>
      <c r="O122" s="330">
        <f>L122*M122*N122</f>
        <v>16530.91</v>
      </c>
      <c r="P122" s="327">
        <v>0.81</v>
      </c>
      <c r="Q122" s="327">
        <v>0.98</v>
      </c>
      <c r="R122" s="327">
        <v>1</v>
      </c>
      <c r="S122" s="330">
        <f>O122*P122*Q122*R122</f>
        <v>13122.24</v>
      </c>
      <c r="T122" s="334">
        <f>'[2]Индексы Росстата'!$C$20</f>
        <v>1.0589999999999999</v>
      </c>
      <c r="U122" s="332">
        <f>S122*T122</f>
        <v>13896.45</v>
      </c>
      <c r="V122" s="333">
        <f>'[2]Прогнозные индексы'!$K$15</f>
        <v>1.0383</v>
      </c>
      <c r="W122" s="332">
        <f>U122*V122</f>
        <v>14428.68</v>
      </c>
      <c r="X122" s="327"/>
    </row>
    <row r="123" spans="1:25" s="299" customFormat="1" ht="31.5" hidden="1" x14ac:dyDescent="0.25">
      <c r="A123" s="299">
        <v>2</v>
      </c>
      <c r="B123" s="300" t="str">
        <f t="shared" ca="1" si="41"/>
        <v>2.1</v>
      </c>
      <c r="C123" s="326" t="s">
        <v>837</v>
      </c>
      <c r="D123" s="327" t="s">
        <v>830</v>
      </c>
      <c r="E123" s="327">
        <f>ROUND(E122*14,0)</f>
        <v>17</v>
      </c>
      <c r="F123" s="328"/>
      <c r="G123" s="329"/>
      <c r="H123" s="330"/>
      <c r="I123" s="330"/>
      <c r="J123" s="330"/>
      <c r="K123" s="330"/>
      <c r="L123" s="330"/>
      <c r="M123" s="327"/>
      <c r="N123" s="327"/>
      <c r="O123" s="330"/>
      <c r="P123" s="327"/>
      <c r="Q123" s="327"/>
      <c r="R123" s="327"/>
      <c r="S123" s="330"/>
      <c r="T123" s="331"/>
      <c r="U123" s="332"/>
      <c r="V123" s="333"/>
      <c r="W123" s="332"/>
      <c r="X123" s="327"/>
    </row>
    <row r="124" spans="1:25" s="299" customFormat="1" ht="236.25" hidden="1" x14ac:dyDescent="0.25">
      <c r="A124" s="299">
        <v>1</v>
      </c>
      <c r="B124" s="300" t="str">
        <f t="shared" ca="1" si="41"/>
        <v>3</v>
      </c>
      <c r="C124" s="326" t="s">
        <v>842</v>
      </c>
      <c r="D124" s="327" t="s">
        <v>708</v>
      </c>
      <c r="E124" s="327">
        <v>1.94</v>
      </c>
      <c r="F124" s="328" t="s">
        <v>843</v>
      </c>
      <c r="G124" s="329">
        <v>45292</v>
      </c>
      <c r="H124" s="330">
        <f>28201.2</f>
        <v>28201.200000000001</v>
      </c>
      <c r="I124" s="330"/>
      <c r="J124" s="330"/>
      <c r="K124" s="330"/>
      <c r="L124" s="330">
        <f>E124*H124</f>
        <v>54710.33</v>
      </c>
      <c r="M124" s="327">
        <v>1</v>
      </c>
      <c r="N124" s="327">
        <f>1.04</f>
        <v>1.04</v>
      </c>
      <c r="O124" s="330">
        <f>L124*M124*N124</f>
        <v>56898.74</v>
      </c>
      <c r="P124" s="327">
        <v>0.81</v>
      </c>
      <c r="Q124" s="327">
        <v>0.98</v>
      </c>
      <c r="R124" s="327">
        <v>1</v>
      </c>
      <c r="S124" s="330">
        <f>O124*P124*Q124*R124</f>
        <v>45166.22</v>
      </c>
      <c r="T124" s="331">
        <f>'[2]Индексы Росстата'!$C$20</f>
        <v>1.0589999999999999</v>
      </c>
      <c r="U124" s="332">
        <f>S124*T124</f>
        <v>47831.03</v>
      </c>
      <c r="V124" s="333">
        <f>'[2]Прогнозные индексы'!$K$15</f>
        <v>1.0383</v>
      </c>
      <c r="W124" s="332">
        <f>U124*V124</f>
        <v>49662.96</v>
      </c>
      <c r="X124" s="327"/>
      <c r="Y124" s="317" t="s">
        <v>844</v>
      </c>
    </row>
    <row r="125" spans="1:25" s="299" customFormat="1" ht="31.5" hidden="1" x14ac:dyDescent="0.25">
      <c r="A125" s="299">
        <v>2</v>
      </c>
      <c r="B125" s="300" t="str">
        <f t="shared" ca="1" si="41"/>
        <v>3.1</v>
      </c>
      <c r="C125" s="326" t="s">
        <v>845</v>
      </c>
      <c r="D125" s="327" t="s">
        <v>830</v>
      </c>
      <c r="E125" s="327">
        <f>ROUND(E124*10,0)</f>
        <v>19</v>
      </c>
      <c r="F125" s="328"/>
      <c r="G125" s="329"/>
      <c r="H125" s="330"/>
      <c r="I125" s="330"/>
      <c r="J125" s="330"/>
      <c r="K125" s="330"/>
      <c r="L125" s="330"/>
      <c r="M125" s="327"/>
      <c r="N125" s="327"/>
      <c r="O125" s="330"/>
      <c r="P125" s="327"/>
      <c r="Q125" s="327"/>
      <c r="R125" s="327"/>
      <c r="S125" s="330"/>
      <c r="T125" s="331"/>
      <c r="U125" s="332"/>
      <c r="V125" s="333"/>
      <c r="W125" s="332"/>
      <c r="X125" s="327"/>
    </row>
    <row r="126" spans="1:25" s="299" customFormat="1" ht="63" hidden="1" x14ac:dyDescent="0.25">
      <c r="A126" s="299">
        <v>1</v>
      </c>
      <c r="B126" s="300" t="str">
        <f t="shared" ca="1" si="41"/>
        <v>4</v>
      </c>
      <c r="C126" s="326" t="s">
        <v>840</v>
      </c>
      <c r="D126" s="327" t="s">
        <v>846</v>
      </c>
      <c r="E126" s="327">
        <v>42.7</v>
      </c>
      <c r="F126" s="328" t="s">
        <v>847</v>
      </c>
      <c r="G126" s="329">
        <v>45292</v>
      </c>
      <c r="H126" s="335">
        <f>14493.39</f>
        <v>14493.39</v>
      </c>
      <c r="I126" s="335"/>
      <c r="J126" s="335"/>
      <c r="K126" s="335"/>
      <c r="L126" s="330">
        <f t="shared" ref="L126:L134" si="42">E126*H126</f>
        <v>618867.75</v>
      </c>
      <c r="M126" s="301">
        <v>1</v>
      </c>
      <c r="N126" s="301">
        <v>1</v>
      </c>
      <c r="O126" s="330">
        <f t="shared" ref="O126:O133" si="43">L126*M126*N126</f>
        <v>618867.75</v>
      </c>
      <c r="P126" s="327">
        <v>0.95</v>
      </c>
      <c r="Q126" s="327">
        <v>0.98</v>
      </c>
      <c r="R126" s="301">
        <v>1</v>
      </c>
      <c r="S126" s="330">
        <f t="shared" ref="S126:S134" si="44">O126*P126*Q126*R126</f>
        <v>576165.88</v>
      </c>
      <c r="T126" s="331">
        <f>'[2]Индексы Росстата'!$C$20</f>
        <v>1.0589999999999999</v>
      </c>
      <c r="U126" s="332">
        <f t="shared" ref="U126:U134" si="45">S126*T126</f>
        <v>610159.67000000004</v>
      </c>
      <c r="V126" s="333">
        <f>'[2]Прогнозные индексы'!$K$15</f>
        <v>1.0383</v>
      </c>
      <c r="W126" s="332">
        <f t="shared" ref="W126:W134" si="46">U126*V126</f>
        <v>633528.79</v>
      </c>
      <c r="X126" s="327"/>
      <c r="Y126" s="317"/>
    </row>
    <row r="127" spans="1:25" ht="94.5" hidden="1" x14ac:dyDescent="0.25">
      <c r="A127" s="290">
        <v>1</v>
      </c>
      <c r="B127" s="291" t="str">
        <f ca="1">IF(A127&gt;OFFSET(A127,-1,0),OFFSET(B127,-1,0)&amp;"."&amp;1,LEFT(OFFSET(B127,-1,0),SEARCH("^^",SUBSTITUTE("."&amp;OFFSET(B127,-1,0),".","^^",A127))-1)&amp;1--MID(OFFSET(B127,-1,0),SEARCH("^^",SUBSTITUTE("."&amp;OFFSET(B127,-1,0),".","^^",A127)),SEARCH("^^",SUBSTITUTE(OFFSET(B127,-1,0)&amp;".",".","^^",A127))-SEARCH("^^",SUBSTITUTE("."&amp;OFFSET(B127,-1,0),".","^^",A127))))</f>
        <v>5</v>
      </c>
      <c r="C127" s="292" t="s">
        <v>848</v>
      </c>
      <c r="D127" s="293" t="s">
        <v>849</v>
      </c>
      <c r="E127" s="303">
        <f>15*9</f>
        <v>135</v>
      </c>
      <c r="F127" s="293" t="s">
        <v>850</v>
      </c>
      <c r="G127" s="295">
        <v>45292</v>
      </c>
      <c r="H127" s="294">
        <f>328.53</f>
        <v>328.53</v>
      </c>
      <c r="I127" s="294"/>
      <c r="J127" s="294"/>
      <c r="K127" s="294"/>
      <c r="L127" s="294">
        <f t="shared" si="42"/>
        <v>44351.55</v>
      </c>
      <c r="M127" s="294">
        <v>1</v>
      </c>
      <c r="N127" s="294">
        <v>1</v>
      </c>
      <c r="O127" s="294">
        <f t="shared" si="43"/>
        <v>44351.55</v>
      </c>
      <c r="P127" s="294">
        <v>0.86</v>
      </c>
      <c r="Q127" s="294">
        <v>0.98</v>
      </c>
      <c r="R127" s="294">
        <v>1</v>
      </c>
      <c r="S127" s="294">
        <f t="shared" si="44"/>
        <v>37379.49</v>
      </c>
      <c r="T127" s="296">
        <f>'[2]Индексы Росстата'!$C$20</f>
        <v>1.0589999999999999</v>
      </c>
      <c r="U127" s="294">
        <f t="shared" si="45"/>
        <v>39584.879999999997</v>
      </c>
      <c r="V127" s="304">
        <f>'[2]Прогнозные индексы'!$K$15</f>
        <v>1.0383</v>
      </c>
      <c r="W127" s="294">
        <f t="shared" si="46"/>
        <v>41100.980000000003</v>
      </c>
      <c r="X127" s="336"/>
    </row>
    <row r="128" spans="1:25" ht="94.5" hidden="1" x14ac:dyDescent="0.25">
      <c r="A128" s="290">
        <v>1</v>
      </c>
      <c r="B128" s="291" t="str">
        <f ca="1">IF(A128&gt;OFFSET(A128,-1,0),OFFSET(B128,-1,0)&amp;"."&amp;1,LEFT(OFFSET(B128,-1,0),SEARCH("^^",SUBSTITUTE("."&amp;OFFSET(B128,-1,0),".","^^",A128))-1)&amp;1--MID(OFFSET(B128,-1,0),SEARCH("^^",SUBSTITUTE("."&amp;OFFSET(B128,-1,0),".","^^",A128)),SEARCH("^^",SUBSTITUTE(OFFSET(B128,-1,0)&amp;".",".","^^",A128))-SEARCH("^^",SUBSTITUTE("."&amp;OFFSET(B128,-1,0),".","^^",A128))))</f>
        <v>6</v>
      </c>
      <c r="C128" s="292" t="s">
        <v>851</v>
      </c>
      <c r="D128" s="293" t="s">
        <v>849</v>
      </c>
      <c r="E128" s="303">
        <f>15*9</f>
        <v>135</v>
      </c>
      <c r="F128" s="293" t="s">
        <v>850</v>
      </c>
      <c r="G128" s="295">
        <v>45292</v>
      </c>
      <c r="H128" s="294">
        <f>328.53</f>
        <v>328.53</v>
      </c>
      <c r="I128" s="294"/>
      <c r="J128" s="294"/>
      <c r="K128" s="294"/>
      <c r="L128" s="294">
        <f t="shared" si="42"/>
        <v>44351.55</v>
      </c>
      <c r="M128" s="294">
        <v>1</v>
      </c>
      <c r="N128" s="294">
        <v>1</v>
      </c>
      <c r="O128" s="294">
        <f t="shared" si="43"/>
        <v>44351.55</v>
      </c>
      <c r="P128" s="294">
        <v>0.86</v>
      </c>
      <c r="Q128" s="294">
        <v>0.98</v>
      </c>
      <c r="R128" s="294">
        <v>1</v>
      </c>
      <c r="S128" s="294">
        <f t="shared" si="44"/>
        <v>37379.49</v>
      </c>
      <c r="T128" s="296">
        <f>'[2]Индексы Росстата'!$C$20</f>
        <v>1.0589999999999999</v>
      </c>
      <c r="U128" s="294">
        <f t="shared" si="45"/>
        <v>39584.879999999997</v>
      </c>
      <c r="V128" s="304">
        <f>'[2]Прогнозные индексы'!$K$15</f>
        <v>1.0383</v>
      </c>
      <c r="W128" s="294">
        <f t="shared" si="46"/>
        <v>41100.980000000003</v>
      </c>
      <c r="X128" s="336"/>
    </row>
    <row r="129" spans="1:25" ht="94.5" hidden="1" x14ac:dyDescent="0.25">
      <c r="A129" s="290">
        <v>1</v>
      </c>
      <c r="B129" s="291" t="str">
        <f ca="1">IF(A129&gt;OFFSET(A129,-1,0),OFFSET(B129,-1,0)&amp;"."&amp;1,LEFT(OFFSET(B129,-1,0),SEARCH("^^",SUBSTITUTE("."&amp;OFFSET(B129,-1,0),".","^^",A129))-1)&amp;1--MID(OFFSET(B129,-1,0),SEARCH("^^",SUBSTITUTE("."&amp;OFFSET(B129,-1,0),".","^^",A129)),SEARCH("^^",SUBSTITUTE(OFFSET(B129,-1,0)&amp;".",".","^^",A129))-SEARCH("^^",SUBSTITUTE("."&amp;OFFSET(B129,-1,0),".","^^",A129))))</f>
        <v>7</v>
      </c>
      <c r="C129" s="292" t="s">
        <v>852</v>
      </c>
      <c r="D129" s="293" t="s">
        <v>849</v>
      </c>
      <c r="E129" s="303">
        <f>18*9</f>
        <v>162</v>
      </c>
      <c r="F129" s="293" t="s">
        <v>850</v>
      </c>
      <c r="G129" s="295">
        <v>45292</v>
      </c>
      <c r="H129" s="294">
        <f>328.53</f>
        <v>328.53</v>
      </c>
      <c r="I129" s="294"/>
      <c r="J129" s="294"/>
      <c r="K129" s="294"/>
      <c r="L129" s="294">
        <f t="shared" si="42"/>
        <v>53221.86</v>
      </c>
      <c r="M129" s="294">
        <v>1</v>
      </c>
      <c r="N129" s="294">
        <v>1</v>
      </c>
      <c r="O129" s="294">
        <f t="shared" si="43"/>
        <v>53221.86</v>
      </c>
      <c r="P129" s="294">
        <v>0.86</v>
      </c>
      <c r="Q129" s="294">
        <v>0.98</v>
      </c>
      <c r="R129" s="294">
        <v>1</v>
      </c>
      <c r="S129" s="294">
        <f t="shared" si="44"/>
        <v>44855.38</v>
      </c>
      <c r="T129" s="296">
        <f>'[2]Индексы Росстата'!$C$20</f>
        <v>1.0589999999999999</v>
      </c>
      <c r="U129" s="294">
        <f t="shared" si="45"/>
        <v>47501.85</v>
      </c>
      <c r="V129" s="304">
        <f>'[2]Прогнозные индексы'!$K$15</f>
        <v>1.0383</v>
      </c>
      <c r="W129" s="294">
        <f t="shared" si="46"/>
        <v>49321.17</v>
      </c>
      <c r="X129" s="336"/>
    </row>
    <row r="130" spans="1:25" ht="94.5" hidden="1" x14ac:dyDescent="0.25">
      <c r="A130" s="290">
        <v>1</v>
      </c>
      <c r="B130" s="291" t="str">
        <f ca="1">IF(A130&gt;OFFSET(A130,-1,0),OFFSET(B130,-1,0)&amp;"."&amp;1,LEFT(OFFSET(B130,-1,0),SEARCH("^^",SUBSTITUTE("."&amp;OFFSET(B130,-1,0),".","^^",A130))-1)&amp;1--MID(OFFSET(B130,-1,0),SEARCH("^^",SUBSTITUTE("."&amp;OFFSET(B130,-1,0),".","^^",A130)),SEARCH("^^",SUBSTITUTE(OFFSET(B130,-1,0)&amp;".",".","^^",A130))-SEARCH("^^",SUBSTITUTE("."&amp;OFFSET(B130,-1,0),".","^^",A130))))</f>
        <v>8</v>
      </c>
      <c r="C130" s="302" t="s">
        <v>853</v>
      </c>
      <c r="D130" s="293" t="s">
        <v>849</v>
      </c>
      <c r="E130" s="303">
        <f>16*9</f>
        <v>144</v>
      </c>
      <c r="F130" s="293" t="s">
        <v>854</v>
      </c>
      <c r="G130" s="295">
        <v>45292</v>
      </c>
      <c r="H130" s="294">
        <f>370.76</f>
        <v>370.76</v>
      </c>
      <c r="I130" s="294"/>
      <c r="J130" s="294"/>
      <c r="K130" s="294"/>
      <c r="L130" s="294">
        <f t="shared" si="42"/>
        <v>53389.440000000002</v>
      </c>
      <c r="M130" s="294">
        <v>1</v>
      </c>
      <c r="N130" s="294">
        <v>1</v>
      </c>
      <c r="O130" s="294">
        <f t="shared" si="43"/>
        <v>53389.440000000002</v>
      </c>
      <c r="P130" s="294">
        <v>0.86</v>
      </c>
      <c r="Q130" s="294">
        <v>0.98</v>
      </c>
      <c r="R130" s="294">
        <v>1</v>
      </c>
      <c r="S130" s="294">
        <f t="shared" si="44"/>
        <v>44996.62</v>
      </c>
      <c r="T130" s="296">
        <f>'[2]Индексы Росстата'!$C$20</f>
        <v>1.0589999999999999</v>
      </c>
      <c r="U130" s="294">
        <f t="shared" si="45"/>
        <v>47651.42</v>
      </c>
      <c r="V130" s="304">
        <f>'[2]Прогнозные индексы'!$K$15</f>
        <v>1.0383</v>
      </c>
      <c r="W130" s="294">
        <f t="shared" si="46"/>
        <v>49476.47</v>
      </c>
      <c r="X130" s="336"/>
    </row>
    <row r="131" spans="1:25" ht="94.5" hidden="1" x14ac:dyDescent="0.25">
      <c r="A131" s="290">
        <v>1</v>
      </c>
      <c r="B131" s="291"/>
      <c r="C131" s="302" t="s">
        <v>855</v>
      </c>
      <c r="D131" s="293" t="s">
        <v>849</v>
      </c>
      <c r="E131" s="303">
        <f>16*6</f>
        <v>96</v>
      </c>
      <c r="F131" s="293" t="s">
        <v>854</v>
      </c>
      <c r="G131" s="295">
        <v>45292</v>
      </c>
      <c r="H131" s="294">
        <f>370.76</f>
        <v>370.76</v>
      </c>
      <c r="I131" s="294"/>
      <c r="J131" s="294"/>
      <c r="K131" s="294"/>
      <c r="L131" s="294">
        <f t="shared" si="42"/>
        <v>35592.959999999999</v>
      </c>
      <c r="M131" s="294">
        <v>1</v>
      </c>
      <c r="N131" s="294">
        <v>1</v>
      </c>
      <c r="O131" s="294">
        <f t="shared" si="43"/>
        <v>35592.959999999999</v>
      </c>
      <c r="P131" s="294">
        <v>0.86</v>
      </c>
      <c r="Q131" s="294">
        <v>0.98</v>
      </c>
      <c r="R131" s="294">
        <v>1</v>
      </c>
      <c r="S131" s="294">
        <f t="shared" si="44"/>
        <v>29997.75</v>
      </c>
      <c r="T131" s="296">
        <f>'[2]Индексы Росстата'!$C$20</f>
        <v>1.0589999999999999</v>
      </c>
      <c r="U131" s="294">
        <f t="shared" si="45"/>
        <v>31767.62</v>
      </c>
      <c r="V131" s="304">
        <f>'[2]Прогнозные индексы'!$K$15</f>
        <v>1.0383</v>
      </c>
      <c r="W131" s="294">
        <f t="shared" si="46"/>
        <v>32984.32</v>
      </c>
      <c r="X131" s="336"/>
    </row>
    <row r="132" spans="1:25" ht="120" hidden="1" customHeight="1" x14ac:dyDescent="0.25">
      <c r="B132" s="337"/>
      <c r="C132" s="338" t="s">
        <v>855</v>
      </c>
      <c r="D132" s="339" t="s">
        <v>849</v>
      </c>
      <c r="E132" s="340">
        <f>16*6</f>
        <v>96</v>
      </c>
      <c r="F132" s="339" t="s">
        <v>854</v>
      </c>
      <c r="G132" s="341">
        <v>45292</v>
      </c>
      <c r="H132" s="342">
        <f>370.76</f>
        <v>370.76</v>
      </c>
      <c r="I132" s="342"/>
      <c r="J132" s="342"/>
      <c r="K132" s="342"/>
      <c r="L132" s="342">
        <f t="shared" si="42"/>
        <v>35592.959999999999</v>
      </c>
      <c r="M132" s="342">
        <v>1</v>
      </c>
      <c r="N132" s="342">
        <v>1</v>
      </c>
      <c r="O132" s="342">
        <f t="shared" si="43"/>
        <v>35592.959999999999</v>
      </c>
      <c r="P132" s="342">
        <v>0.86</v>
      </c>
      <c r="Q132" s="342">
        <v>0.98</v>
      </c>
      <c r="R132" s="342">
        <v>1</v>
      </c>
      <c r="S132" s="342">
        <f t="shared" si="44"/>
        <v>29997.75</v>
      </c>
      <c r="T132" s="343">
        <f>'[2]Индексы Росстата'!$C$20</f>
        <v>1.0589999999999999</v>
      </c>
      <c r="U132" s="342">
        <f t="shared" si="45"/>
        <v>31767.62</v>
      </c>
      <c r="V132" s="344">
        <f>'[2]Прогнозные индексы'!$K$15</f>
        <v>1.0383</v>
      </c>
      <c r="W132" s="342">
        <f t="shared" si="46"/>
        <v>32984.32</v>
      </c>
      <c r="X132" s="345"/>
    </row>
    <row r="133" spans="1:25" ht="63" hidden="1" x14ac:dyDescent="0.25">
      <c r="A133" s="290">
        <v>1</v>
      </c>
      <c r="B133" s="291" t="str">
        <f ca="1">IF(A133&gt;OFFSET(A133,-1,0),OFFSET(B133,-1,0)&amp;"."&amp;1,LEFT(OFFSET(B133,-1,0),SEARCH("^^",SUBSTITUTE("."&amp;OFFSET(B133,-1,0),".","^^",A133))-1)&amp;1--MID(OFFSET(B133,-1,0),SEARCH("^^",SUBSTITUTE("."&amp;OFFSET(B133,-1,0),".","^^",A133)),SEARCH("^^",SUBSTITUTE(OFFSET(B133,-1,0)&amp;".",".","^^",A133))-SEARCH("^^",SUBSTITUTE("."&amp;OFFSET(B133,-1,0),".","^^",A133))))</f>
        <v>.1</v>
      </c>
      <c r="C133" s="346" t="s">
        <v>856</v>
      </c>
      <c r="D133" s="347" t="s">
        <v>846</v>
      </c>
      <c r="E133" s="347">
        <v>42.7</v>
      </c>
      <c r="F133" s="348" t="s">
        <v>847</v>
      </c>
      <c r="G133" s="349">
        <v>45292</v>
      </c>
      <c r="H133" s="350">
        <f>14493.39</f>
        <v>14493.39</v>
      </c>
      <c r="I133" s="350"/>
      <c r="J133" s="350"/>
      <c r="K133" s="350"/>
      <c r="L133" s="351">
        <f t="shared" si="42"/>
        <v>618867.75</v>
      </c>
      <c r="M133" s="305">
        <v>1</v>
      </c>
      <c r="N133" s="305">
        <v>1</v>
      </c>
      <c r="O133" s="351">
        <f t="shared" si="43"/>
        <v>618867.75</v>
      </c>
      <c r="P133" s="347">
        <v>0.95</v>
      </c>
      <c r="Q133" s="347">
        <v>0.98</v>
      </c>
      <c r="R133" s="305">
        <v>1</v>
      </c>
      <c r="S133" s="351">
        <f t="shared" si="44"/>
        <v>576165.88</v>
      </c>
      <c r="T133" s="352">
        <f>'[2]Индексы Росстата'!$C$20</f>
        <v>1.0589999999999999</v>
      </c>
      <c r="U133" s="353">
        <f t="shared" si="45"/>
        <v>610159.67000000004</v>
      </c>
      <c r="V133" s="354">
        <f>'[2]Прогнозные индексы'!$K$15</f>
        <v>1.0383</v>
      </c>
      <c r="W133" s="353">
        <f t="shared" si="46"/>
        <v>633528.79</v>
      </c>
      <c r="X133" s="347"/>
      <c r="Y133" s="317"/>
    </row>
    <row r="134" spans="1:25" ht="236.25" hidden="1" x14ac:dyDescent="0.25">
      <c r="A134" s="290">
        <v>1</v>
      </c>
      <c r="B134" s="291" t="e">
        <f ca="1">IF(A134&gt;OFFSET(A134,-1,0),OFFSET(B134,-1,0)&amp;"."&amp;1,LEFT(OFFSET(B134,-1,0),SEARCH("^^",SUBSTITUTE("."&amp;OFFSET(B134,-1,0),".","^^",A134))-1)&amp;1--MID(OFFSET(B134,-1,0),SEARCH("^^",SUBSTITUTE("."&amp;OFFSET(B134,-1,0),".","^^",A134)),SEARCH("^^",SUBSTITUTE(OFFSET(B134,-1,0)&amp;".",".","^^",A134))-SEARCH("^^",SUBSTITUTE("."&amp;OFFSET(B134,-1,0),".","^^",A134))))</f>
        <v>#VALUE!</v>
      </c>
      <c r="C134" s="346" t="s">
        <v>856</v>
      </c>
      <c r="D134" s="347" t="s">
        <v>708</v>
      </c>
      <c r="E134" s="347">
        <v>4.2699999999999996</v>
      </c>
      <c r="F134" s="348" t="s">
        <v>857</v>
      </c>
      <c r="G134" s="349">
        <v>45292</v>
      </c>
      <c r="H134" s="355">
        <v>133671.51999999999</v>
      </c>
      <c r="I134" s="355"/>
      <c r="J134" s="355"/>
      <c r="K134" s="355"/>
      <c r="L134" s="351">
        <f t="shared" si="42"/>
        <v>570777.39</v>
      </c>
      <c r="M134" s="347">
        <v>1</v>
      </c>
      <c r="N134" s="347">
        <f>1.01</f>
        <v>1.01</v>
      </c>
      <c r="O134" s="351">
        <f>L134*N134</f>
        <v>576485.16</v>
      </c>
      <c r="P134" s="347">
        <v>0.81</v>
      </c>
      <c r="Q134" s="347">
        <v>0.98</v>
      </c>
      <c r="R134" s="347">
        <v>1</v>
      </c>
      <c r="S134" s="351">
        <f t="shared" si="44"/>
        <v>457613.92</v>
      </c>
      <c r="T134" s="352">
        <f>'[2]Индексы Росстата'!$C$20</f>
        <v>1.0589999999999999</v>
      </c>
      <c r="U134" s="353">
        <f t="shared" si="45"/>
        <v>484613.14</v>
      </c>
      <c r="V134" s="354">
        <f>'[2]Прогнозные индексы'!$K$15</f>
        <v>1.0383</v>
      </c>
      <c r="W134" s="353">
        <f t="shared" si="46"/>
        <v>503173.82</v>
      </c>
      <c r="X134" s="347"/>
      <c r="Y134" s="317" t="s">
        <v>844</v>
      </c>
    </row>
    <row r="135" spans="1:25" hidden="1" x14ac:dyDescent="0.25"/>
    <row r="136" spans="1:25" hidden="1" x14ac:dyDescent="0.25">
      <c r="C136" s="287" t="s">
        <v>858</v>
      </c>
    </row>
    <row r="137" spans="1:25" s="311" customFormat="1" hidden="1" x14ac:dyDescent="0.25">
      <c r="A137" s="297">
        <v>1</v>
      </c>
      <c r="B137" s="291" t="str">
        <f t="shared" ref="B137:B147" ca="1" si="47">IF(A137&gt;OFFSET(A137,-1,0),OFFSET(B137,-1,0)&amp;"."&amp;1,LEFT(OFFSET(B137,-1,0),SEARCH("^^",SUBSTITUTE("."&amp;OFFSET(B137,-1,0),".","^^",A137))-1)&amp;1--MID(OFFSET(B137,-1,0),SEARCH("^^",SUBSTITUTE("."&amp;OFFSET(B137,-1,0),".","^^",A137)),SEARCH("^^",SUBSTITUTE(OFFSET(B137,-1,0)&amp;".",".","^^",A137))-SEARCH("^^",SUBSTITUTE("."&amp;OFFSET(B137,-1,0),".","^^",A137))))</f>
        <v>.1</v>
      </c>
      <c r="C137" s="356" t="s">
        <v>859</v>
      </c>
      <c r="D137" s="357"/>
      <c r="E137" s="357"/>
      <c r="F137" s="358"/>
      <c r="G137" s="349"/>
      <c r="H137" s="350"/>
      <c r="I137" s="350"/>
      <c r="J137" s="350"/>
      <c r="K137" s="350"/>
      <c r="L137" s="350"/>
      <c r="M137" s="305"/>
      <c r="N137" s="305"/>
      <c r="O137" s="350"/>
      <c r="P137" s="357"/>
      <c r="Q137" s="357"/>
      <c r="R137" s="305"/>
      <c r="S137" s="350"/>
      <c r="T137" s="352"/>
      <c r="U137" s="359"/>
      <c r="V137" s="354"/>
      <c r="W137" s="359"/>
      <c r="X137" s="357"/>
      <c r="Y137" s="318"/>
    </row>
    <row r="138" spans="1:25" s="81" customFormat="1" ht="162" hidden="1" customHeight="1" x14ac:dyDescent="0.25">
      <c r="A138" s="117">
        <v>2</v>
      </c>
      <c r="B138" s="360" t="str">
        <f t="shared" ca="1" si="47"/>
        <v>.1.1</v>
      </c>
      <c r="C138" s="361" t="s">
        <v>860</v>
      </c>
      <c r="D138" s="362" t="s">
        <v>708</v>
      </c>
      <c r="E138" s="363">
        <f>0.3</f>
        <v>0.3</v>
      </c>
      <c r="F138" s="364" t="s">
        <v>861</v>
      </c>
      <c r="G138" s="312">
        <v>45292</v>
      </c>
      <c r="H138" s="314">
        <f>6469.02</f>
        <v>6469.02</v>
      </c>
      <c r="I138" s="314"/>
      <c r="J138" s="314"/>
      <c r="K138" s="314"/>
      <c r="L138" s="314">
        <f t="shared" ref="L138:L147" si="48">E138*H138</f>
        <v>1940.71</v>
      </c>
      <c r="M138" s="314">
        <v>1</v>
      </c>
      <c r="N138" s="314">
        <v>1</v>
      </c>
      <c r="O138" s="314">
        <f t="shared" ref="O138:O147" si="49">L138*M138*N138</f>
        <v>1940.71</v>
      </c>
      <c r="P138" s="314">
        <v>0.86</v>
      </c>
      <c r="Q138" s="314">
        <v>0.99</v>
      </c>
      <c r="R138" s="314">
        <v>1</v>
      </c>
      <c r="S138" s="314">
        <f t="shared" ref="S138:S147" si="50">O138*P138*Q138*R138</f>
        <v>1652.32</v>
      </c>
      <c r="T138" s="296">
        <f>'[2]Индексы Росстата'!$C$20</f>
        <v>1.0589999999999999</v>
      </c>
      <c r="U138" s="313">
        <f t="shared" ref="U138:U147" si="51">S138*T138</f>
        <v>1749.81</v>
      </c>
      <c r="V138" s="304">
        <f>'[2]Прогнозные индексы'!$K$15</f>
        <v>1.0383</v>
      </c>
      <c r="W138" s="313">
        <f t="shared" ref="W138:W147" si="52">U138*V138</f>
        <v>1816.83</v>
      </c>
      <c r="X138" s="365"/>
    </row>
    <row r="139" spans="1:25" ht="166.5" hidden="1" customHeight="1" x14ac:dyDescent="0.25">
      <c r="A139" s="287">
        <v>2</v>
      </c>
      <c r="B139" s="291" t="str">
        <f t="shared" ca="1" si="47"/>
        <v>.2</v>
      </c>
      <c r="C139" s="308" t="s">
        <v>862</v>
      </c>
      <c r="D139" s="309" t="s">
        <v>764</v>
      </c>
      <c r="E139" s="366">
        <v>0.3</v>
      </c>
      <c r="F139" s="293" t="s">
        <v>863</v>
      </c>
      <c r="G139" s="295">
        <v>45292</v>
      </c>
      <c r="H139" s="294">
        <f>4034.34</f>
        <v>4034.34</v>
      </c>
      <c r="I139" s="294"/>
      <c r="J139" s="294"/>
      <c r="K139" s="294"/>
      <c r="L139" s="294">
        <f t="shared" si="48"/>
        <v>1210.3</v>
      </c>
      <c r="M139" s="294">
        <v>1</v>
      </c>
      <c r="N139" s="294">
        <v>1.88</v>
      </c>
      <c r="O139" s="294">
        <f t="shared" si="49"/>
        <v>2275.36</v>
      </c>
      <c r="P139" s="294">
        <v>0.85</v>
      </c>
      <c r="Q139" s="294">
        <v>0.99</v>
      </c>
      <c r="R139" s="294">
        <v>1.01</v>
      </c>
      <c r="S139" s="294">
        <f t="shared" si="50"/>
        <v>1933.86</v>
      </c>
      <c r="T139" s="296">
        <f>'[2]Индексы Росстата'!$C$20</f>
        <v>1.0589999999999999</v>
      </c>
      <c r="U139" s="294">
        <f t="shared" si="51"/>
        <v>2047.96</v>
      </c>
      <c r="V139" s="304">
        <f>'[2]Прогнозные индексы'!$K$15</f>
        <v>1.0383</v>
      </c>
      <c r="W139" s="294">
        <f t="shared" si="52"/>
        <v>2126.4</v>
      </c>
      <c r="X139" s="336"/>
    </row>
    <row r="140" spans="1:25" ht="166.5" hidden="1" customHeight="1" x14ac:dyDescent="0.25">
      <c r="A140" s="287">
        <v>2</v>
      </c>
      <c r="B140" s="291" t="str">
        <f t="shared" ca="1" si="47"/>
        <v>.3</v>
      </c>
      <c r="C140" s="308" t="s">
        <v>864</v>
      </c>
      <c r="D140" s="309" t="s">
        <v>764</v>
      </c>
      <c r="E140" s="367">
        <f>0.15</f>
        <v>0.15</v>
      </c>
      <c r="F140" s="293" t="s">
        <v>865</v>
      </c>
      <c r="G140" s="295">
        <v>45292</v>
      </c>
      <c r="H140" s="294">
        <f>14141.07</f>
        <v>14141.07</v>
      </c>
      <c r="I140" s="294"/>
      <c r="J140" s="294"/>
      <c r="K140" s="294"/>
      <c r="L140" s="294">
        <f t="shared" si="48"/>
        <v>2121.16</v>
      </c>
      <c r="M140" s="294">
        <v>1</v>
      </c>
      <c r="N140" s="294">
        <f>1.65</f>
        <v>1.65</v>
      </c>
      <c r="O140" s="294">
        <f t="shared" si="49"/>
        <v>3499.91</v>
      </c>
      <c r="P140" s="294">
        <v>0.85</v>
      </c>
      <c r="Q140" s="294">
        <v>0.99</v>
      </c>
      <c r="R140" s="294">
        <v>1.01</v>
      </c>
      <c r="S140" s="294">
        <f t="shared" si="50"/>
        <v>2974.63</v>
      </c>
      <c r="T140" s="296">
        <f>'[2]Индексы Росстата'!$C$20</f>
        <v>1.0589999999999999</v>
      </c>
      <c r="U140" s="294">
        <f t="shared" si="51"/>
        <v>3150.13</v>
      </c>
      <c r="V140" s="304">
        <f>'[2]Прогнозные индексы'!$K$15</f>
        <v>1.0383</v>
      </c>
      <c r="W140" s="294">
        <f t="shared" si="52"/>
        <v>3270.78</v>
      </c>
      <c r="X140" s="336"/>
    </row>
    <row r="141" spans="1:25" ht="110.25" hidden="1" x14ac:dyDescent="0.25">
      <c r="A141" s="287">
        <v>2</v>
      </c>
      <c r="B141" s="291" t="str">
        <f t="shared" ca="1" si="47"/>
        <v>.4</v>
      </c>
      <c r="C141" s="308" t="s">
        <v>866</v>
      </c>
      <c r="D141" s="309" t="s">
        <v>764</v>
      </c>
      <c r="E141" s="366">
        <v>0.3</v>
      </c>
      <c r="F141" s="293" t="s">
        <v>867</v>
      </c>
      <c r="G141" s="295">
        <v>45292</v>
      </c>
      <c r="H141" s="294">
        <f>10078.03</f>
        <v>10078.030000000001</v>
      </c>
      <c r="I141" s="294"/>
      <c r="J141" s="294"/>
      <c r="K141" s="294"/>
      <c r="L141" s="294">
        <f t="shared" si="48"/>
        <v>3023.41</v>
      </c>
      <c r="M141" s="294">
        <v>1</v>
      </c>
      <c r="N141" s="294">
        <v>1</v>
      </c>
      <c r="O141" s="294">
        <f t="shared" si="49"/>
        <v>3023.41</v>
      </c>
      <c r="P141" s="294">
        <v>0.85</v>
      </c>
      <c r="Q141" s="294">
        <v>0.99</v>
      </c>
      <c r="R141" s="294">
        <v>1.01</v>
      </c>
      <c r="S141" s="294">
        <f t="shared" si="50"/>
        <v>2569.64</v>
      </c>
      <c r="T141" s="296">
        <f>'[2]Индексы Росстата'!$C$20</f>
        <v>1.0589999999999999</v>
      </c>
      <c r="U141" s="294">
        <f t="shared" si="51"/>
        <v>2721.25</v>
      </c>
      <c r="V141" s="304">
        <f>'[2]Прогнозные индексы'!$K$15</f>
        <v>1.0383</v>
      </c>
      <c r="W141" s="294">
        <f t="shared" si="52"/>
        <v>2825.47</v>
      </c>
      <c r="X141" s="336"/>
    </row>
    <row r="142" spans="1:25" ht="150" hidden="1" customHeight="1" x14ac:dyDescent="0.25">
      <c r="A142" s="287">
        <v>2</v>
      </c>
      <c r="B142" s="291" t="str">
        <f t="shared" ca="1" si="47"/>
        <v>.5</v>
      </c>
      <c r="C142" s="308" t="s">
        <v>868</v>
      </c>
      <c r="D142" s="309" t="s">
        <v>764</v>
      </c>
      <c r="E142" s="366">
        <v>0.3</v>
      </c>
      <c r="F142" s="293" t="s">
        <v>869</v>
      </c>
      <c r="G142" s="295">
        <v>45292</v>
      </c>
      <c r="H142" s="294">
        <f>10078.03</f>
        <v>10078.030000000001</v>
      </c>
      <c r="I142" s="294"/>
      <c r="J142" s="294"/>
      <c r="K142" s="294"/>
      <c r="L142" s="294">
        <f t="shared" si="48"/>
        <v>3023.41</v>
      </c>
      <c r="M142" s="294">
        <v>1</v>
      </c>
      <c r="N142" s="294">
        <v>1.84</v>
      </c>
      <c r="O142" s="294">
        <f t="shared" si="49"/>
        <v>5563.07</v>
      </c>
      <c r="P142" s="294">
        <v>0.85</v>
      </c>
      <c r="Q142" s="294">
        <v>0.99</v>
      </c>
      <c r="R142" s="294">
        <v>1.01</v>
      </c>
      <c r="S142" s="294">
        <f t="shared" si="50"/>
        <v>4728.1400000000003</v>
      </c>
      <c r="T142" s="296">
        <f>'[2]Индексы Росстата'!$C$20</f>
        <v>1.0589999999999999</v>
      </c>
      <c r="U142" s="294">
        <f t="shared" si="51"/>
        <v>5007.1000000000004</v>
      </c>
      <c r="V142" s="304">
        <f>'[2]Прогнозные индексы'!$K$15</f>
        <v>1.0383</v>
      </c>
      <c r="W142" s="294">
        <f t="shared" si="52"/>
        <v>5198.87</v>
      </c>
      <c r="X142" s="336"/>
    </row>
    <row r="143" spans="1:25" ht="124.5" hidden="1" customHeight="1" x14ac:dyDescent="0.25">
      <c r="A143" s="290">
        <v>2</v>
      </c>
      <c r="B143" s="291" t="str">
        <f t="shared" ca="1" si="47"/>
        <v>.6</v>
      </c>
      <c r="C143" s="292" t="s">
        <v>870</v>
      </c>
      <c r="D143" s="293" t="s">
        <v>764</v>
      </c>
      <c r="E143" s="306">
        <f>0.3</f>
        <v>0.3</v>
      </c>
      <c r="F143" s="293" t="s">
        <v>871</v>
      </c>
      <c r="G143" s="295">
        <v>45292</v>
      </c>
      <c r="H143" s="294">
        <f>25885.71</f>
        <v>25885.71</v>
      </c>
      <c r="I143" s="294"/>
      <c r="J143" s="294"/>
      <c r="K143" s="294"/>
      <c r="L143" s="294">
        <f t="shared" si="48"/>
        <v>7765.71</v>
      </c>
      <c r="M143" s="294">
        <v>1</v>
      </c>
      <c r="N143" s="294">
        <v>1</v>
      </c>
      <c r="O143" s="294">
        <f t="shared" si="49"/>
        <v>7765.71</v>
      </c>
      <c r="P143" s="294">
        <v>0.81</v>
      </c>
      <c r="Q143" s="294">
        <v>0.98</v>
      </c>
      <c r="R143" s="294">
        <v>1</v>
      </c>
      <c r="S143" s="294">
        <f t="shared" si="50"/>
        <v>6164.42</v>
      </c>
      <c r="T143" s="296">
        <f>'[2]Индексы Росстата'!$C$20</f>
        <v>1.0589999999999999</v>
      </c>
      <c r="U143" s="294">
        <f t="shared" si="51"/>
        <v>6528.12</v>
      </c>
      <c r="V143" s="304">
        <f>'[2]Прогнозные индексы'!$K$15</f>
        <v>1.0383</v>
      </c>
      <c r="W143" s="294">
        <f t="shared" si="52"/>
        <v>6778.15</v>
      </c>
      <c r="X143" s="336"/>
    </row>
    <row r="144" spans="1:25" ht="128.25" hidden="1" customHeight="1" x14ac:dyDescent="0.25">
      <c r="A144" s="290">
        <v>2</v>
      </c>
      <c r="B144" s="291" t="str">
        <f t="shared" ca="1" si="47"/>
        <v>.7</v>
      </c>
      <c r="C144" s="292" t="s">
        <v>872</v>
      </c>
      <c r="D144" s="293" t="s">
        <v>764</v>
      </c>
      <c r="E144" s="306">
        <f>0.3</f>
        <v>0.3</v>
      </c>
      <c r="F144" s="293" t="s">
        <v>873</v>
      </c>
      <c r="G144" s="295">
        <v>45292</v>
      </c>
      <c r="H144" s="294">
        <f>8222.8</f>
        <v>8222.7999999999993</v>
      </c>
      <c r="I144" s="294"/>
      <c r="J144" s="294"/>
      <c r="K144" s="294"/>
      <c r="L144" s="294">
        <f t="shared" si="48"/>
        <v>2466.84</v>
      </c>
      <c r="M144" s="294">
        <v>1</v>
      </c>
      <c r="N144" s="294">
        <v>1</v>
      </c>
      <c r="O144" s="294">
        <f t="shared" si="49"/>
        <v>2466.84</v>
      </c>
      <c r="P144" s="294">
        <v>0.81</v>
      </c>
      <c r="Q144" s="294">
        <v>0.98</v>
      </c>
      <c r="R144" s="294">
        <v>1</v>
      </c>
      <c r="S144" s="294">
        <f t="shared" si="50"/>
        <v>1958.18</v>
      </c>
      <c r="T144" s="296">
        <f>'[2]Индексы Росстата'!$C$20</f>
        <v>1.0589999999999999</v>
      </c>
      <c r="U144" s="294">
        <f t="shared" si="51"/>
        <v>2073.71</v>
      </c>
      <c r="V144" s="304">
        <f>'[2]Прогнозные индексы'!$K$15</f>
        <v>1.0383</v>
      </c>
      <c r="W144" s="294">
        <f t="shared" si="52"/>
        <v>2153.13</v>
      </c>
      <c r="X144" s="336"/>
    </row>
    <row r="145" spans="1:24" s="117" customFormat="1" ht="192.75" hidden="1" customHeight="1" x14ac:dyDescent="0.25">
      <c r="A145" s="117">
        <v>2</v>
      </c>
      <c r="B145" s="360" t="str">
        <f t="shared" ca="1" si="47"/>
        <v>.8</v>
      </c>
      <c r="C145" s="361" t="s">
        <v>874</v>
      </c>
      <c r="D145" s="368" t="s">
        <v>831</v>
      </c>
      <c r="E145" s="368">
        <f>3</f>
        <v>3</v>
      </c>
      <c r="F145" s="368" t="s">
        <v>875</v>
      </c>
      <c r="G145" s="312">
        <v>45292</v>
      </c>
      <c r="H145" s="313">
        <f>605.45</f>
        <v>605.45000000000005</v>
      </c>
      <c r="I145" s="314"/>
      <c r="J145" s="314"/>
      <c r="K145" s="314"/>
      <c r="L145" s="314">
        <f t="shared" si="48"/>
        <v>1816.35</v>
      </c>
      <c r="M145" s="313">
        <v>1</v>
      </c>
      <c r="N145" s="313">
        <v>1</v>
      </c>
      <c r="O145" s="313">
        <f t="shared" si="49"/>
        <v>1816.35</v>
      </c>
      <c r="P145" s="313">
        <v>0.83</v>
      </c>
      <c r="Q145" s="313">
        <v>0.99</v>
      </c>
      <c r="R145" s="313">
        <v>1</v>
      </c>
      <c r="S145" s="313">
        <f t="shared" si="50"/>
        <v>1492.49</v>
      </c>
      <c r="T145" s="296">
        <f>'[2]Индексы Росстата'!$C$20</f>
        <v>1.0589999999999999</v>
      </c>
      <c r="U145" s="313">
        <f t="shared" si="51"/>
        <v>1580.55</v>
      </c>
      <c r="V145" s="304">
        <f>'[2]Прогнозные индексы'!$K$15</f>
        <v>1.0383</v>
      </c>
      <c r="W145" s="313">
        <f t="shared" si="52"/>
        <v>1641.09</v>
      </c>
      <c r="X145" s="369"/>
    </row>
    <row r="146" spans="1:24" s="117" customFormat="1" ht="192.75" hidden="1" customHeight="1" x14ac:dyDescent="0.25">
      <c r="A146" s="117">
        <v>2</v>
      </c>
      <c r="B146" s="360" t="str">
        <f t="shared" ca="1" si="47"/>
        <v>.9</v>
      </c>
      <c r="C146" s="361" t="s">
        <v>876</v>
      </c>
      <c r="D146" s="368" t="s">
        <v>764</v>
      </c>
      <c r="E146" s="368">
        <f>150/1000</f>
        <v>0.15</v>
      </c>
      <c r="F146" s="368" t="s">
        <v>877</v>
      </c>
      <c r="G146" s="312">
        <v>45292</v>
      </c>
      <c r="H146" s="313">
        <f>10084.12</f>
        <v>10084.120000000001</v>
      </c>
      <c r="I146" s="314"/>
      <c r="J146" s="314"/>
      <c r="K146" s="314"/>
      <c r="L146" s="314">
        <f t="shared" si="48"/>
        <v>1512.62</v>
      </c>
      <c r="M146" s="313">
        <v>1</v>
      </c>
      <c r="N146" s="313">
        <v>1</v>
      </c>
      <c r="O146" s="313">
        <f t="shared" si="49"/>
        <v>1512.62</v>
      </c>
      <c r="P146" s="313">
        <v>0.83</v>
      </c>
      <c r="Q146" s="313">
        <v>0.99</v>
      </c>
      <c r="R146" s="313">
        <v>1.02</v>
      </c>
      <c r="S146" s="313">
        <f t="shared" si="50"/>
        <v>1267.78</v>
      </c>
      <c r="T146" s="296">
        <f>'[2]Индексы Росстата'!$C$20</f>
        <v>1.0589999999999999</v>
      </c>
      <c r="U146" s="313">
        <f t="shared" si="51"/>
        <v>1342.58</v>
      </c>
      <c r="V146" s="304">
        <f>'[2]Прогнозные индексы'!$K$15</f>
        <v>1.0383</v>
      </c>
      <c r="W146" s="313">
        <f t="shared" si="52"/>
        <v>1394</v>
      </c>
      <c r="X146" s="369"/>
    </row>
    <row r="147" spans="1:24" s="290" customFormat="1" ht="203.25" hidden="1" customHeight="1" x14ac:dyDescent="0.25">
      <c r="A147" s="290">
        <v>2</v>
      </c>
      <c r="B147" s="291" t="str">
        <f t="shared" ca="1" si="47"/>
        <v>.10</v>
      </c>
      <c r="C147" s="292" t="s">
        <v>878</v>
      </c>
      <c r="D147" s="293" t="s">
        <v>831</v>
      </c>
      <c r="E147" s="307">
        <f>3</f>
        <v>3</v>
      </c>
      <c r="F147" s="293" t="s">
        <v>879</v>
      </c>
      <c r="G147" s="295">
        <v>45292</v>
      </c>
      <c r="H147" s="294">
        <f>226.11</f>
        <v>226.11</v>
      </c>
      <c r="I147" s="294"/>
      <c r="J147" s="294"/>
      <c r="K147" s="294"/>
      <c r="L147" s="294">
        <f t="shared" si="48"/>
        <v>678.33</v>
      </c>
      <c r="M147" s="294">
        <v>1</v>
      </c>
      <c r="N147" s="294">
        <v>1</v>
      </c>
      <c r="O147" s="294">
        <f t="shared" si="49"/>
        <v>678.33</v>
      </c>
      <c r="P147" s="294">
        <v>0.81</v>
      </c>
      <c r="Q147" s="294">
        <v>0.99</v>
      </c>
      <c r="R147" s="294">
        <v>1</v>
      </c>
      <c r="S147" s="294">
        <f t="shared" si="50"/>
        <v>543.95000000000005</v>
      </c>
      <c r="T147" s="296">
        <f>'[2]Индексы Росстата'!$C$20</f>
        <v>1.0589999999999999</v>
      </c>
      <c r="U147" s="294">
        <f t="shared" si="51"/>
        <v>576.04</v>
      </c>
      <c r="V147" s="304">
        <f>'[2]Прогнозные индексы'!$K$15</f>
        <v>1.0383</v>
      </c>
      <c r="W147" s="294">
        <f t="shared" si="52"/>
        <v>598.1</v>
      </c>
      <c r="X147" s="370"/>
    </row>
    <row r="148" spans="1:24" hidden="1" x14ac:dyDescent="0.25"/>
    <row r="149" spans="1:24" hidden="1" x14ac:dyDescent="0.25"/>
    <row r="150" spans="1:24" hidden="1" x14ac:dyDescent="0.25"/>
    <row r="151" spans="1:24" hidden="1" x14ac:dyDescent="0.25"/>
    <row r="152" spans="1:24" hidden="1" x14ac:dyDescent="0.25"/>
    <row r="153" spans="1:24" hidden="1" x14ac:dyDescent="0.25"/>
    <row r="154" spans="1:24" hidden="1" x14ac:dyDescent="0.25"/>
    <row r="155" spans="1:24" hidden="1" x14ac:dyDescent="0.25"/>
    <row r="156" spans="1:24" hidden="1" x14ac:dyDescent="0.25"/>
    <row r="157" spans="1:24" hidden="1" x14ac:dyDescent="0.25"/>
    <row r="158" spans="1:24" hidden="1" x14ac:dyDescent="0.25"/>
    <row r="159" spans="1:24" hidden="1" x14ac:dyDescent="0.25"/>
    <row r="160" spans="1:24"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87" spans="1:27" s="290" customFormat="1" ht="31.5" x14ac:dyDescent="0.25">
      <c r="A187" s="290">
        <v>4</v>
      </c>
      <c r="B187" s="552" t="str">
        <f t="shared" ref="B187:B188" ca="1" si="53">IF(A187&gt;OFFSET(A187,-1,0),OFFSET(B187,-1,0)&amp;"."&amp;1,LEFT(OFFSET(B187,-1,0),SEARCH("^^",SUBSTITUTE("."&amp;OFFSET(B187,-1,0),".","^^",A187))-1)&amp;1--MID(OFFSET(B187,-1,0),SEARCH("^^",SUBSTITUTE("."&amp;OFFSET(B187,-1,0),".","^^",A187)),SEARCH("^^",SUBSTITUTE(OFFSET(B187,-1,0)&amp;".",".","^^",A187))-SEARCH("^^",SUBSTITUTE("."&amp;OFFSET(B187,-1,0),".","^^",A187))))</f>
        <v>.1</v>
      </c>
      <c r="C187" s="557" t="s">
        <v>1018</v>
      </c>
      <c r="D187" s="558" t="s">
        <v>882</v>
      </c>
      <c r="E187" s="558">
        <v>2200</v>
      </c>
      <c r="F187" s="358" t="str">
        <f ca="1">CONCATENATE("учтено в п.",$B$21,", ",$B$22)</f>
        <v>учтено в п.3.5, 3.6</v>
      </c>
      <c r="G187" s="559"/>
      <c r="H187" s="560"/>
      <c r="I187" s="560"/>
      <c r="J187" s="560"/>
      <c r="K187" s="560"/>
      <c r="L187" s="561"/>
      <c r="M187" s="562"/>
      <c r="N187" s="562"/>
      <c r="O187" s="561"/>
      <c r="P187" s="562"/>
      <c r="Q187" s="562"/>
      <c r="R187" s="562"/>
      <c r="S187" s="561"/>
      <c r="T187" s="563">
        <v>1</v>
      </c>
      <c r="U187" s="564"/>
      <c r="V187" s="565">
        <v>1</v>
      </c>
      <c r="W187" s="564"/>
      <c r="X187" s="566"/>
      <c r="Z187" s="388"/>
      <c r="AA187" s="388"/>
    </row>
    <row r="188" spans="1:27" s="290" customFormat="1" ht="63" x14ac:dyDescent="0.25">
      <c r="A188" s="290">
        <v>4</v>
      </c>
      <c r="B188" s="552" t="e">
        <f t="shared" ca="1" si="53"/>
        <v>#VALUE!</v>
      </c>
      <c r="C188" s="567" t="s">
        <v>1008</v>
      </c>
      <c r="D188" s="568" t="s">
        <v>1015</v>
      </c>
      <c r="E188" s="569">
        <v>600</v>
      </c>
      <c r="F188" s="568" t="s">
        <v>1009</v>
      </c>
      <c r="G188" s="570">
        <v>46023</v>
      </c>
      <c r="H188" s="571">
        <f>136.47*1000</f>
        <v>136470</v>
      </c>
      <c r="I188" s="571">
        <f>3530.2*1000/725</f>
        <v>4869.24</v>
      </c>
      <c r="J188" s="571">
        <f>2.76*1000</f>
        <v>2760</v>
      </c>
      <c r="K188" s="571">
        <f>(H188-I188-J188)*0.2%</f>
        <v>257.68</v>
      </c>
      <c r="L188" s="351">
        <f>E188*(H188-I188-J188-K188)</f>
        <v>77149848</v>
      </c>
      <c r="M188" s="572">
        <v>1</v>
      </c>
      <c r="N188" s="572">
        <v>1</v>
      </c>
      <c r="O188" s="351">
        <f>L188*M188*N188</f>
        <v>77149848</v>
      </c>
      <c r="P188" s="569">
        <v>0.88</v>
      </c>
      <c r="Q188" s="569">
        <v>1</v>
      </c>
      <c r="R188" s="569">
        <v>1.03</v>
      </c>
      <c r="S188" s="561">
        <f>O188*P188*Q188*R188</f>
        <v>69928622.230000004</v>
      </c>
      <c r="T188" s="563">
        <v>1</v>
      </c>
      <c r="U188" s="564">
        <f>S188*T188</f>
        <v>69928622.230000004</v>
      </c>
      <c r="V188" s="565">
        <v>1</v>
      </c>
      <c r="W188" s="564">
        <f>U188*V188</f>
        <v>69928622.230000004</v>
      </c>
      <c r="X188" s="566"/>
      <c r="Z188" s="388"/>
      <c r="AA188" s="388"/>
    </row>
    <row r="189" spans="1:27" s="290" customFormat="1" ht="267" customHeight="1" x14ac:dyDescent="0.25">
      <c r="A189" s="290">
        <v>3</v>
      </c>
      <c r="B189" s="552" t="e">
        <f ca="1">IF(A189&gt;OFFSET(A189,-1,0),OFFSET(B189,-1,0)&amp;"."&amp;1,LEFT(OFFSET(B189,-1,0),SEARCH("^^",SUBSTITUTE("."&amp;OFFSET(B189,-1,0),".","^^",A189))-1)&amp;1--MID(OFFSET(B189,-1,0),SEARCH("^^",SUBSTITUTE("."&amp;OFFSET(B189,-1,0),".","^^",A189)),SEARCH("^^",SUBSTITUTE(OFFSET(B189,-1,0)&amp;".",".","^^",A189))-SEARCH("^^",SUBSTITUTE("."&amp;OFFSET(B189,-1,0),".","^^",A189))))</f>
        <v>#VALUE!</v>
      </c>
      <c r="C189" s="567" t="s">
        <v>961</v>
      </c>
      <c r="D189" s="569" t="s">
        <v>981</v>
      </c>
      <c r="E189" s="569">
        <v>1</v>
      </c>
      <c r="F189" s="382" t="s">
        <v>962</v>
      </c>
      <c r="G189" s="383">
        <v>46023</v>
      </c>
      <c r="H189" s="384">
        <f>(947.07-(13000-7500)*(947.07-732.21)/(13000-4500))*1000</f>
        <v>808042.94</v>
      </c>
      <c r="I189" s="593">
        <f>(30.51-(13000-7500)*(30.51-25.98)/(13000-4500))*1000</f>
        <v>27578.82</v>
      </c>
      <c r="J189" s="593">
        <f>(19.2-(13000-7500)*(19.2-14.8)/(13000-4500))*1000</f>
        <v>16352.94</v>
      </c>
      <c r="K189" s="571">
        <f>(H189-I189-J189)*0.2%</f>
        <v>1528.22</v>
      </c>
      <c r="L189" s="351">
        <f>E189*(H189-I189-J189-K189)</f>
        <v>762582.96</v>
      </c>
      <c r="M189" s="572">
        <v>1</v>
      </c>
      <c r="N189" s="572">
        <v>1</v>
      </c>
      <c r="O189" s="561">
        <f t="shared" ref="O189:O190" si="54">L189*M189*N189</f>
        <v>762582.96</v>
      </c>
      <c r="P189" s="572">
        <v>0.88</v>
      </c>
      <c r="Q189" s="572">
        <v>0.99</v>
      </c>
      <c r="R189" s="572">
        <v>1</v>
      </c>
      <c r="S189" s="561">
        <f t="shared" ref="S189:S190" si="55">O189*P189*Q189*R189</f>
        <v>664362.27</v>
      </c>
      <c r="T189" s="563">
        <v>1</v>
      </c>
      <c r="U189" s="564">
        <f t="shared" ref="U189:U190" si="56">S189*T189</f>
        <v>664362.27</v>
      </c>
      <c r="V189" s="565">
        <v>1</v>
      </c>
      <c r="W189" s="564">
        <f t="shared" ref="W189:W190" si="57">U189*V189</f>
        <v>664362.27</v>
      </c>
      <c r="X189" s="566" t="s">
        <v>2282</v>
      </c>
    </row>
    <row r="190" spans="1:27" s="290" customFormat="1" ht="78.75" x14ac:dyDescent="0.25">
      <c r="A190" s="290">
        <v>3</v>
      </c>
      <c r="B190" s="552" t="e">
        <f t="shared" ref="B190" ca="1" si="58">IF(A190&gt;OFFSET(A190,-1,0),OFFSET(B190,-1,0)&amp;"."&amp;1,LEFT(OFFSET(B190,-1,0),SEARCH("^^",SUBSTITUTE("."&amp;OFFSET(B190,-1,0),".","^^",A190))-1)&amp;1--MID(OFFSET(B190,-1,0),SEARCH("^^",SUBSTITUTE("."&amp;OFFSET(B190,-1,0),".","^^",A190)),SEARCH("^^",SUBSTITUTE(OFFSET(B190,-1,0)&amp;".",".","^^",A190))-SEARCH("^^",SUBSTITUTE("."&amp;OFFSET(B190,-1,0),".","^^",A190))))</f>
        <v>#VALUE!</v>
      </c>
      <c r="C190" s="567" t="s">
        <v>2176</v>
      </c>
      <c r="D190" s="569" t="s">
        <v>981</v>
      </c>
      <c r="E190" s="569">
        <v>1</v>
      </c>
      <c r="F190" s="568" t="s">
        <v>2281</v>
      </c>
      <c r="G190" s="570">
        <v>46023</v>
      </c>
      <c r="H190" s="571">
        <f>13024.15*1000</f>
        <v>13024150</v>
      </c>
      <c r="I190" s="571">
        <f>297.46*1000</f>
        <v>297460</v>
      </c>
      <c r="J190" s="571">
        <f>245.14*1000</f>
        <v>245140</v>
      </c>
      <c r="K190" s="571">
        <f>(H190-I190-J190)*0.2%</f>
        <v>24963.1</v>
      </c>
      <c r="L190" s="351">
        <f>E190*(H190-I190-J190-K190)</f>
        <v>12456586.9</v>
      </c>
      <c r="M190" s="572">
        <v>1</v>
      </c>
      <c r="N190" s="572">
        <v>1</v>
      </c>
      <c r="O190" s="561">
        <f t="shared" si="54"/>
        <v>12456586.9</v>
      </c>
      <c r="P190" s="572">
        <v>0.85</v>
      </c>
      <c r="Q190" s="572">
        <v>1</v>
      </c>
      <c r="R190" s="572">
        <v>1</v>
      </c>
      <c r="S190" s="561">
        <f t="shared" si="55"/>
        <v>10588098.869999999</v>
      </c>
      <c r="T190" s="563">
        <v>1</v>
      </c>
      <c r="U190" s="564">
        <f t="shared" si="56"/>
        <v>10588098.869999999</v>
      </c>
      <c r="V190" s="565">
        <v>1</v>
      </c>
      <c r="W190" s="564">
        <f t="shared" si="57"/>
        <v>10588098.869999999</v>
      </c>
      <c r="X190" s="566"/>
    </row>
  </sheetData>
  <autoFilter ref="A7:X112"/>
  <mergeCells count="29">
    <mergeCell ref="B1:X1"/>
    <mergeCell ref="B2:X2"/>
    <mergeCell ref="A4:A6"/>
    <mergeCell ref="B4:B6"/>
    <mergeCell ref="C4:C6"/>
    <mergeCell ref="D4:D6"/>
    <mergeCell ref="E4:E6"/>
    <mergeCell ref="F4:F6"/>
    <mergeCell ref="G4:G6"/>
    <mergeCell ref="H4:H6"/>
    <mergeCell ref="W4:W6"/>
    <mergeCell ref="X4:X6"/>
    <mergeCell ref="T4:T6"/>
    <mergeCell ref="U4:U6"/>
    <mergeCell ref="V4:V6"/>
    <mergeCell ref="B115:E115"/>
    <mergeCell ref="F115:G115"/>
    <mergeCell ref="Q4:Q6"/>
    <mergeCell ref="R4:R6"/>
    <mergeCell ref="S4:S6"/>
    <mergeCell ref="I4:K4"/>
    <mergeCell ref="L4:L6"/>
    <mergeCell ref="M4:M6"/>
    <mergeCell ref="N4:N6"/>
    <mergeCell ref="O4:O6"/>
    <mergeCell ref="P4:P6"/>
    <mergeCell ref="I5:I6"/>
    <mergeCell ref="J5:J6"/>
    <mergeCell ref="K5:K6"/>
  </mergeCells>
  <hyperlinks>
    <hyperlink ref="F56" r:id="rId1"/>
  </hyperlinks>
  <printOptions horizontalCentered="1"/>
  <pageMargins left="0.70866141732283472" right="0.70866141732283472" top="0.74803149606299213" bottom="0.74803149606299213" header="0.31496062992125984" footer="0.31496062992125984"/>
  <pageSetup paperSize="8" scale="13" orientation="landscape"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3"/>
  <sheetViews>
    <sheetView topLeftCell="A7" zoomScaleNormal="100" zoomScaleSheetLayoutView="100" workbookViewId="0">
      <selection activeCell="A21" sqref="A21"/>
    </sheetView>
  </sheetViews>
  <sheetFormatPr defaultColWidth="9.140625" defaultRowHeight="15" x14ac:dyDescent="0.25"/>
  <cols>
    <col min="1" max="6" width="9.140625" style="29"/>
    <col min="7" max="7" width="17.28515625" style="29" customWidth="1"/>
    <col min="8" max="16384" width="9.140625" style="29"/>
  </cols>
  <sheetData>
    <row r="1" spans="1:11" ht="15.75" x14ac:dyDescent="0.25">
      <c r="A1" s="696" t="s">
        <v>143</v>
      </c>
      <c r="B1" s="696"/>
      <c r="C1" s="696"/>
      <c r="D1" s="696"/>
      <c r="E1" s="696"/>
      <c r="F1" s="696"/>
      <c r="G1" s="696"/>
      <c r="H1" s="696"/>
      <c r="I1" s="696"/>
      <c r="J1" s="696"/>
      <c r="K1" s="696"/>
    </row>
    <row r="2" spans="1:11" ht="15.75" x14ac:dyDescent="0.25">
      <c r="A2" s="696" t="s">
        <v>124</v>
      </c>
      <c r="B2" s="696"/>
      <c r="C2" s="696"/>
      <c r="D2" s="696"/>
      <c r="E2" s="696"/>
      <c r="F2" s="696"/>
      <c r="G2" s="696"/>
      <c r="H2" s="696"/>
      <c r="I2" s="696"/>
      <c r="J2" s="696"/>
      <c r="K2" s="696"/>
    </row>
    <row r="3" spans="1:11" ht="15.75" x14ac:dyDescent="0.25">
      <c r="A3" s="699" t="str">
        <f>Пояснительная!$A$3</f>
        <v>на выполнение проектно-изыскательских работ:</v>
      </c>
      <c r="B3" s="699"/>
      <c r="C3" s="699"/>
      <c r="D3" s="699"/>
      <c r="E3" s="699"/>
      <c r="F3" s="699"/>
      <c r="G3" s="699"/>
      <c r="H3" s="699"/>
      <c r="I3" s="699"/>
      <c r="J3" s="699"/>
      <c r="K3" s="699"/>
    </row>
    <row r="4" spans="1:11" ht="44.25" customHeight="1" x14ac:dyDescent="0.25">
      <c r="A4" s="703"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B4" s="703"/>
      <c r="C4" s="703"/>
      <c r="D4" s="703"/>
      <c r="E4" s="703"/>
      <c r="F4" s="703"/>
      <c r="G4" s="703"/>
      <c r="H4" s="703"/>
      <c r="I4" s="703"/>
      <c r="J4" s="703"/>
      <c r="K4" s="703"/>
    </row>
    <row r="5" spans="1:11" ht="35.25" customHeight="1" x14ac:dyDescent="0.25">
      <c r="A5" s="698" t="s">
        <v>125</v>
      </c>
      <c r="B5" s="698"/>
      <c r="C5" s="698"/>
      <c r="D5" s="698"/>
      <c r="E5" s="698"/>
      <c r="F5" s="698"/>
      <c r="G5" s="52">
        <f>НМЦ!E15</f>
        <v>45305521.770000003</v>
      </c>
      <c r="H5" s="51"/>
      <c r="I5" s="51"/>
      <c r="J5" s="51"/>
      <c r="K5" s="51"/>
    </row>
    <row r="6" spans="1:11" ht="39.75" customHeight="1" x14ac:dyDescent="0.25">
      <c r="A6" s="697" t="str">
        <f>[1]!СуммаПрописью(G5)</f>
        <v>Сорок пять миллионов триста пять тысяч пятьсот двадцать один рубль 77 копеек</v>
      </c>
      <c r="B6" s="697"/>
      <c r="C6" s="697"/>
      <c r="D6" s="697"/>
      <c r="E6" s="697"/>
      <c r="F6" s="697"/>
      <c r="G6" s="697"/>
      <c r="H6" s="697"/>
      <c r="I6" s="697"/>
      <c r="J6" s="697"/>
      <c r="K6" s="697"/>
    </row>
    <row r="7" spans="1:11" ht="29.25" customHeight="1" x14ac:dyDescent="0.25">
      <c r="A7" s="41" t="s">
        <v>126</v>
      </c>
      <c r="B7" s="41"/>
      <c r="C7" s="41"/>
      <c r="D7" s="41"/>
      <c r="E7" s="41"/>
      <c r="F7" s="41"/>
      <c r="G7" s="41"/>
      <c r="H7" s="41"/>
      <c r="I7" s="41"/>
      <c r="J7" s="41"/>
      <c r="K7" s="41"/>
    </row>
    <row r="8" spans="1:11" ht="15.75" x14ac:dyDescent="0.25">
      <c r="A8" s="53" t="s">
        <v>167</v>
      </c>
      <c r="B8" s="53"/>
      <c r="C8" s="53"/>
      <c r="D8" s="53"/>
      <c r="E8" s="53"/>
      <c r="F8" s="41"/>
      <c r="G8" s="41"/>
      <c r="H8" s="41"/>
      <c r="I8" s="41"/>
      <c r="J8" s="41"/>
      <c r="K8" s="41"/>
    </row>
    <row r="9" spans="1:11" s="125" customFormat="1" ht="15.75" x14ac:dyDescent="0.25">
      <c r="A9" s="126" t="s">
        <v>168</v>
      </c>
      <c r="C9" s="53"/>
      <c r="D9" s="53"/>
      <c r="E9" s="53"/>
      <c r="F9" s="41"/>
      <c r="G9" s="41"/>
      <c r="H9" s="41"/>
      <c r="I9" s="41"/>
      <c r="J9" s="41"/>
      <c r="K9" s="41"/>
    </row>
    <row r="10" spans="1:11" ht="15.75" x14ac:dyDescent="0.25">
      <c r="A10" s="126" t="s">
        <v>169</v>
      </c>
      <c r="B10" s="125"/>
      <c r="C10" s="53"/>
      <c r="D10" s="53"/>
      <c r="E10" s="53"/>
      <c r="F10" s="41"/>
      <c r="G10" s="41"/>
      <c r="H10" s="41"/>
      <c r="I10" s="41"/>
      <c r="J10" s="41"/>
      <c r="K10" s="41"/>
    </row>
    <row r="11" spans="1:11" s="125" customFormat="1" ht="23.25" customHeight="1" x14ac:dyDescent="0.25">
      <c r="A11" s="163" t="s">
        <v>235</v>
      </c>
      <c r="B11" s="164"/>
      <c r="C11" s="56"/>
      <c r="D11" s="56"/>
      <c r="E11" s="56"/>
      <c r="F11" s="152"/>
      <c r="G11" s="152"/>
      <c r="H11" s="152"/>
      <c r="I11" s="152"/>
      <c r="J11" s="152"/>
      <c r="K11" s="152"/>
    </row>
    <row r="12" spans="1:11" s="122" customFormat="1" ht="15.75" x14ac:dyDescent="0.25">
      <c r="A12" s="126" t="s">
        <v>170</v>
      </c>
      <c r="B12" s="125"/>
      <c r="C12" s="53"/>
      <c r="D12" s="53"/>
      <c r="E12" s="53"/>
      <c r="F12" s="41"/>
      <c r="G12" s="41"/>
      <c r="H12" s="41"/>
      <c r="I12" s="41"/>
      <c r="J12" s="41"/>
      <c r="K12" s="41"/>
    </row>
    <row r="13" spans="1:11" s="125" customFormat="1" ht="15.75" x14ac:dyDescent="0.25">
      <c r="A13" s="126" t="s">
        <v>192</v>
      </c>
      <c r="C13" s="53"/>
      <c r="D13" s="53"/>
      <c r="E13" s="53"/>
      <c r="F13" s="41"/>
      <c r="G13" s="41"/>
      <c r="H13" s="41"/>
      <c r="I13" s="41"/>
      <c r="J13" s="41"/>
      <c r="K13" s="41"/>
    </row>
    <row r="14" spans="1:11" s="125" customFormat="1" ht="15.75" x14ac:dyDescent="0.25">
      <c r="A14" s="701" t="s">
        <v>2037</v>
      </c>
      <c r="B14" s="701"/>
      <c r="C14" s="701"/>
      <c r="D14" s="701"/>
      <c r="E14" s="701"/>
      <c r="F14" s="701"/>
      <c r="G14" s="701"/>
      <c r="H14" s="701"/>
      <c r="I14" s="701"/>
      <c r="J14" s="701"/>
      <c r="K14" s="701"/>
    </row>
    <row r="15" spans="1:11" ht="17.25" customHeight="1" x14ac:dyDescent="0.25">
      <c r="A15" s="53" t="s">
        <v>2429</v>
      </c>
      <c r="B15" s="41"/>
      <c r="C15" s="41"/>
      <c r="D15" s="41"/>
      <c r="E15" s="41"/>
      <c r="F15" s="41"/>
      <c r="G15" s="41"/>
      <c r="H15" s="41"/>
      <c r="I15" s="41"/>
      <c r="J15" s="41"/>
      <c r="K15" s="41"/>
    </row>
    <row r="16" spans="1:11" s="125" customFormat="1" ht="16.5" hidden="1" customHeight="1" x14ac:dyDescent="0.25">
      <c r="A16" s="694" t="s">
        <v>171</v>
      </c>
      <c r="B16" s="694"/>
      <c r="C16" s="694"/>
      <c r="D16" s="694"/>
      <c r="E16" s="694"/>
      <c r="F16" s="694"/>
      <c r="G16" s="694"/>
      <c r="H16" s="694"/>
      <c r="I16" s="694"/>
      <c r="J16" s="694"/>
      <c r="K16" s="694"/>
    </row>
    <row r="17" spans="1:11" s="125" customFormat="1" ht="16.5" customHeight="1" x14ac:dyDescent="0.25">
      <c r="A17" s="702" t="s">
        <v>2038</v>
      </c>
      <c r="B17" s="702"/>
      <c r="C17" s="702"/>
      <c r="D17" s="702"/>
      <c r="E17" s="702"/>
      <c r="F17" s="702"/>
      <c r="G17" s="702"/>
      <c r="H17" s="702"/>
      <c r="I17" s="702"/>
      <c r="J17" s="702"/>
      <c r="K17" s="702"/>
    </row>
    <row r="18" spans="1:11" ht="30.75" hidden="1" customHeight="1" x14ac:dyDescent="0.25">
      <c r="A18" s="700" t="s">
        <v>149</v>
      </c>
      <c r="B18" s="700"/>
      <c r="C18" s="700"/>
      <c r="D18" s="700"/>
      <c r="E18" s="700"/>
      <c r="F18" s="700"/>
      <c r="G18" s="700"/>
      <c r="H18" s="700"/>
      <c r="I18" s="700"/>
      <c r="J18" s="700"/>
      <c r="K18" s="700"/>
    </row>
    <row r="19" spans="1:11" ht="30" customHeight="1" x14ac:dyDescent="0.25">
      <c r="A19" s="694" t="s">
        <v>469</v>
      </c>
      <c r="B19" s="694"/>
      <c r="C19" s="694"/>
      <c r="D19" s="694"/>
      <c r="E19" s="694"/>
      <c r="F19" s="694"/>
      <c r="G19" s="694"/>
      <c r="H19" s="694"/>
      <c r="I19" s="694"/>
      <c r="J19" s="694"/>
      <c r="K19" s="694"/>
    </row>
    <row r="20" spans="1:11" ht="19.5" customHeight="1" x14ac:dyDescent="0.25">
      <c r="A20" s="56" t="s">
        <v>2434</v>
      </c>
      <c r="B20" s="54"/>
      <c r="C20" s="54"/>
      <c r="D20" s="55"/>
      <c r="E20" s="53"/>
      <c r="F20" s="53"/>
      <c r="G20" s="53"/>
      <c r="H20" s="53"/>
      <c r="I20" s="53"/>
      <c r="J20" s="53"/>
      <c r="K20" s="53"/>
    </row>
    <row r="21" spans="1:11" ht="18.75" customHeight="1" x14ac:dyDescent="0.25">
      <c r="A21" s="53" t="s">
        <v>236</v>
      </c>
      <c r="B21" s="53"/>
      <c r="C21" s="53"/>
      <c r="D21" s="53"/>
      <c r="E21" s="53"/>
      <c r="F21" s="53"/>
      <c r="G21" s="53"/>
      <c r="H21" s="53"/>
      <c r="I21" s="53"/>
      <c r="J21" s="53"/>
      <c r="K21" s="53"/>
    </row>
    <row r="22" spans="1:11" ht="15.75" x14ac:dyDescent="0.25">
      <c r="A22" s="53"/>
      <c r="B22" s="53"/>
      <c r="C22" s="53"/>
      <c r="D22" s="53"/>
      <c r="E22" s="53"/>
      <c r="F22" s="53"/>
      <c r="G22" s="53"/>
      <c r="H22" s="53"/>
      <c r="I22" s="53"/>
      <c r="J22" s="53"/>
      <c r="K22" s="53"/>
    </row>
    <row r="23" spans="1:11" ht="15.75" x14ac:dyDescent="0.25">
      <c r="A23" s="53" t="s">
        <v>127</v>
      </c>
      <c r="B23" s="53"/>
      <c r="C23" s="53"/>
      <c r="D23" s="53"/>
      <c r="E23" s="53"/>
      <c r="F23" s="53"/>
      <c r="G23" s="53"/>
      <c r="H23" s="53"/>
      <c r="I23" s="53"/>
      <c r="J23" s="53"/>
      <c r="K23" s="53"/>
    </row>
    <row r="24" spans="1:11" ht="15.75" x14ac:dyDescent="0.25">
      <c r="A24" s="53" t="s">
        <v>128</v>
      </c>
      <c r="B24" s="53"/>
      <c r="C24" s="53"/>
      <c r="D24" s="53"/>
      <c r="E24" s="53"/>
      <c r="F24" s="53"/>
      <c r="G24" s="53"/>
      <c r="H24" s="53"/>
      <c r="I24" s="53"/>
      <c r="J24" s="53"/>
      <c r="K24" s="53"/>
    </row>
    <row r="25" spans="1:11" ht="15.75" x14ac:dyDescent="0.25">
      <c r="A25" s="53"/>
      <c r="B25" s="53"/>
      <c r="C25" s="53"/>
      <c r="D25" s="53"/>
      <c r="E25" s="53"/>
      <c r="F25" s="53"/>
      <c r="G25" s="53"/>
      <c r="H25" s="53"/>
      <c r="I25" s="53"/>
      <c r="J25" s="53"/>
      <c r="K25" s="53"/>
    </row>
    <row r="26" spans="1:11" s="33" customFormat="1" ht="15.75" x14ac:dyDescent="0.25">
      <c r="A26" s="131" t="s">
        <v>193</v>
      </c>
      <c r="B26" s="132"/>
      <c r="C26" s="133"/>
    </row>
    <row r="27" spans="1:11" ht="74.25" customHeight="1" x14ac:dyDescent="0.25">
      <c r="A27" s="688" t="str">
        <f>Пояснительная!A25</f>
        <v>Начальник отдела ценообразования
управления проектов
департамента развития инфраструктуры</v>
      </c>
      <c r="B27" s="688"/>
      <c r="C27" s="688"/>
      <c r="D27" s="688"/>
      <c r="E27" s="688"/>
      <c r="F27" s="688"/>
      <c r="G27" s="688"/>
      <c r="I27" s="695" t="str">
        <f>Пояснительная!C25</f>
        <v>А.Ю. Татаринов</v>
      </c>
      <c r="J27" s="695"/>
      <c r="K27" s="695"/>
    </row>
    <row r="28" spans="1:11" ht="15.75" x14ac:dyDescent="0.25">
      <c r="A28" s="147"/>
      <c r="B28" s="147"/>
      <c r="J28" s="145"/>
    </row>
    <row r="29" spans="1:11" ht="15.75" x14ac:dyDescent="0.25">
      <c r="A29" s="148" t="s">
        <v>147</v>
      </c>
      <c r="B29" s="132"/>
      <c r="J29" s="144"/>
    </row>
    <row r="30" spans="1:11" ht="61.5" customHeight="1" x14ac:dyDescent="0.25">
      <c r="A30" s="688" t="str">
        <f>Пояснительная!A28</f>
        <v>Заместитель директора департамента
по ценообразованию и сметному регулированию
Департамента развития инфраструктуры</v>
      </c>
      <c r="B30" s="688"/>
      <c r="C30" s="688"/>
      <c r="D30" s="688"/>
      <c r="E30" s="688"/>
      <c r="F30" s="688"/>
      <c r="G30" s="688"/>
      <c r="I30" s="695" t="str">
        <f>Пояснительная!C28</f>
        <v>Е.А. Татаринова</v>
      </c>
      <c r="J30" s="695"/>
      <c r="K30" s="695"/>
    </row>
    <row r="31" spans="1:11" ht="15.75" x14ac:dyDescent="0.25">
      <c r="A31" s="147"/>
      <c r="B31" s="147"/>
      <c r="J31" s="145"/>
    </row>
    <row r="32" spans="1:11" ht="15.75" x14ac:dyDescent="0.25">
      <c r="A32" s="688" t="s">
        <v>194</v>
      </c>
      <c r="B32" s="688"/>
      <c r="J32" s="144"/>
    </row>
    <row r="33" spans="1:11" ht="57" customHeight="1" x14ac:dyDescent="0.25">
      <c r="A33" s="688" t="str">
        <f>Пояснительная!A31</f>
        <v>Директор Департамента развития инфраструктуры</v>
      </c>
      <c r="B33" s="688"/>
      <c r="C33" s="688"/>
      <c r="D33" s="688"/>
      <c r="E33" s="688"/>
      <c r="F33" s="688"/>
      <c r="G33" s="688"/>
      <c r="I33" s="695" t="str">
        <f>Пояснительная!C31</f>
        <v>И.В. Евдокимов</v>
      </c>
      <c r="J33" s="695"/>
      <c r="K33" s="695"/>
    </row>
  </sheetData>
  <mergeCells count="18">
    <mergeCell ref="A1:K1"/>
    <mergeCell ref="A6:K6"/>
    <mergeCell ref="A5:F5"/>
    <mergeCell ref="A3:K3"/>
    <mergeCell ref="A18:K18"/>
    <mergeCell ref="A16:K16"/>
    <mergeCell ref="A14:K14"/>
    <mergeCell ref="A17:K17"/>
    <mergeCell ref="A2:K2"/>
    <mergeCell ref="A4:K4"/>
    <mergeCell ref="A27:G27"/>
    <mergeCell ref="A30:G30"/>
    <mergeCell ref="A32:B32"/>
    <mergeCell ref="A33:G33"/>
    <mergeCell ref="A19:K19"/>
    <mergeCell ref="I27:K27"/>
    <mergeCell ref="I30:K30"/>
    <mergeCell ref="I33:K33"/>
  </mergeCells>
  <pageMargins left="0.7" right="0.7" top="0.75" bottom="0.75" header="0.3" footer="0.3"/>
  <pageSetup paperSize="9" scale="82"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33"/>
  <sheetViews>
    <sheetView tabSelected="1" zoomScaleNormal="100" zoomScaleSheetLayoutView="100" workbookViewId="0">
      <selection activeCell="G16" sqref="G16"/>
    </sheetView>
  </sheetViews>
  <sheetFormatPr defaultColWidth="9.140625" defaultRowHeight="15" x14ac:dyDescent="0.25"/>
  <cols>
    <col min="1" max="1" width="5.42578125" style="29" customWidth="1"/>
    <col min="2" max="2" width="52.42578125" style="29" customWidth="1"/>
    <col min="3" max="3" width="17.28515625" style="29" customWidth="1"/>
    <col min="4" max="4" width="20.28515625" style="29" customWidth="1"/>
    <col min="5" max="5" width="17.28515625" style="29" customWidth="1"/>
    <col min="6" max="6" width="9.140625" style="29"/>
    <col min="7" max="7" width="27.140625" style="29" customWidth="1"/>
    <col min="8" max="16384" width="9.140625" style="29"/>
  </cols>
  <sheetData>
    <row r="1" spans="1:7" ht="15.75" x14ac:dyDescent="0.25">
      <c r="A1" s="683" t="s">
        <v>140</v>
      </c>
      <c r="B1" s="683"/>
      <c r="C1" s="683"/>
      <c r="D1" s="683"/>
      <c r="E1" s="683"/>
    </row>
    <row r="2" spans="1:7" ht="24.6" customHeight="1" x14ac:dyDescent="0.25">
      <c r="A2" s="704" t="str">
        <f>Пояснительная!$A$3</f>
        <v>на выполнение проектно-изыскательских работ:</v>
      </c>
      <c r="B2" s="704"/>
      <c r="C2" s="704"/>
      <c r="D2" s="704"/>
      <c r="E2" s="704"/>
    </row>
    <row r="3" spans="1:7" ht="51.75" customHeight="1" x14ac:dyDescent="0.25">
      <c r="A3" s="705"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B3" s="684"/>
      <c r="C3" s="684"/>
      <c r="D3" s="684"/>
      <c r="E3" s="684"/>
    </row>
    <row r="4" spans="1:7" ht="15.75" x14ac:dyDescent="0.25">
      <c r="A4" s="30"/>
      <c r="B4" s="31"/>
      <c r="C4" s="31"/>
      <c r="D4" s="31"/>
      <c r="E4" s="31"/>
    </row>
    <row r="5" spans="1:7" ht="32.25" customHeight="1" x14ac:dyDescent="0.25">
      <c r="A5" s="683" t="s">
        <v>98</v>
      </c>
      <c r="B5" s="683"/>
      <c r="C5" s="127">
        <f>(C7-C6)/30.5</f>
        <v>4.5999999999999996</v>
      </c>
      <c r="D5" s="48" t="s">
        <v>61</v>
      </c>
      <c r="E5" s="32"/>
    </row>
    <row r="6" spans="1:7" ht="15.75" hidden="1" x14ac:dyDescent="0.25">
      <c r="A6" s="32" t="s">
        <v>196</v>
      </c>
      <c r="B6" s="32"/>
      <c r="C6" s="143">
        <f>'Прогнозные индексы'!$F$67</f>
        <v>46235</v>
      </c>
      <c r="D6" s="48"/>
      <c r="E6" s="32"/>
    </row>
    <row r="7" spans="1:7" ht="15.75" hidden="1" x14ac:dyDescent="0.25">
      <c r="A7" s="32" t="s">
        <v>197</v>
      </c>
      <c r="B7" s="32"/>
      <c r="C7" s="143">
        <f>'Прогнозные индексы'!F68</f>
        <v>46375</v>
      </c>
      <c r="D7" s="48"/>
      <c r="E7" s="32"/>
    </row>
    <row r="8" spans="1:7" ht="15.75" x14ac:dyDescent="0.25">
      <c r="A8" s="32"/>
      <c r="B8" s="33"/>
      <c r="C8" s="33"/>
      <c r="D8" s="33"/>
      <c r="E8" s="33"/>
    </row>
    <row r="9" spans="1:7" ht="15.75" customHeight="1" x14ac:dyDescent="0.25">
      <c r="A9" s="706" t="s">
        <v>99</v>
      </c>
      <c r="B9" s="706" t="s">
        <v>100</v>
      </c>
      <c r="C9" s="706" t="s">
        <v>101</v>
      </c>
      <c r="D9" s="706"/>
      <c r="E9" s="706"/>
    </row>
    <row r="10" spans="1:7" ht="15.75" customHeight="1" x14ac:dyDescent="0.25">
      <c r="A10" s="706"/>
      <c r="B10" s="706"/>
      <c r="C10" s="706"/>
      <c r="D10" s="706"/>
      <c r="E10" s="706"/>
    </row>
    <row r="11" spans="1:7" ht="15.75" x14ac:dyDescent="0.25">
      <c r="A11" s="706"/>
      <c r="B11" s="706"/>
      <c r="C11" s="34" t="s">
        <v>102</v>
      </c>
      <c r="D11" s="34" t="s">
        <v>468</v>
      </c>
      <c r="E11" s="34" t="s">
        <v>103</v>
      </c>
    </row>
    <row r="12" spans="1:7" ht="30" customHeight="1" x14ac:dyDescent="0.25">
      <c r="A12" s="34">
        <v>1</v>
      </c>
      <c r="B12" s="34">
        <v>2</v>
      </c>
      <c r="C12" s="34">
        <v>3</v>
      </c>
      <c r="D12" s="34">
        <v>4</v>
      </c>
      <c r="E12" s="34">
        <v>5</v>
      </c>
    </row>
    <row r="13" spans="1:7" ht="42" customHeight="1" x14ac:dyDescent="0.25">
      <c r="A13" s="35">
        <v>1</v>
      </c>
      <c r="B13" s="36" t="s">
        <v>104</v>
      </c>
      <c r="C13" s="37">
        <f>'НМЦК (ПИР)'!$K$10*1.02</f>
        <v>15425942.210000001</v>
      </c>
      <c r="D13" s="37">
        <f>C13*0.22</f>
        <v>3393707.29</v>
      </c>
      <c r="E13" s="37">
        <f>C13+D13</f>
        <v>18819649.5</v>
      </c>
    </row>
    <row r="14" spans="1:7" ht="44.25" customHeight="1" x14ac:dyDescent="0.25">
      <c r="A14" s="35">
        <v>2</v>
      </c>
      <c r="B14" s="36" t="s">
        <v>229</v>
      </c>
      <c r="C14" s="104">
        <f>'НМЦК (ПИР)'!$K$11*1.02-0.01</f>
        <v>21709731.370000001</v>
      </c>
      <c r="D14" s="37">
        <f>C14*0.22</f>
        <v>4776140.9000000004</v>
      </c>
      <c r="E14" s="37">
        <f>C14+D14</f>
        <v>26485872.27</v>
      </c>
    </row>
    <row r="15" spans="1:7" ht="35.25" customHeight="1" x14ac:dyDescent="0.25">
      <c r="A15" s="38"/>
      <c r="B15" s="38" t="s">
        <v>105</v>
      </c>
      <c r="C15" s="39">
        <f>C13+C14</f>
        <v>37135673.579999998</v>
      </c>
      <c r="D15" s="39">
        <f>D13+D14</f>
        <v>8169848.1900000004</v>
      </c>
      <c r="E15" s="39">
        <f>E13+E14</f>
        <v>45305521.770000003</v>
      </c>
      <c r="G15" s="664"/>
    </row>
    <row r="16" spans="1:7" ht="15.75" x14ac:dyDescent="0.25">
      <c r="A16" s="105"/>
      <c r="B16" s="106" t="s">
        <v>2431</v>
      </c>
    </row>
    <row r="17" spans="1:5" ht="15.75" x14ac:dyDescent="0.25">
      <c r="A17" s="669"/>
      <c r="B17" s="670" t="s">
        <v>2432</v>
      </c>
      <c r="C17" s="107">
        <f>'НМЦК (ПИР)'!K12</f>
        <v>728150.46</v>
      </c>
      <c r="D17" s="107">
        <f>C17*0.22</f>
        <v>160193.1</v>
      </c>
      <c r="E17" s="107">
        <f>C17+D17</f>
        <v>888343.56</v>
      </c>
    </row>
    <row r="18" spans="1:5" ht="31.5" x14ac:dyDescent="0.25">
      <c r="A18" s="105"/>
      <c r="B18" s="106" t="s">
        <v>2433</v>
      </c>
      <c r="C18" s="107">
        <f>'НМЦК (ПИР)'!K13-'НМЦК (ПИР)'!I13</f>
        <v>476568.37</v>
      </c>
      <c r="D18" s="107">
        <f>C18*0.22</f>
        <v>104845.04</v>
      </c>
      <c r="E18" s="107">
        <f>C18+D18</f>
        <v>581413.41</v>
      </c>
    </row>
    <row r="19" spans="1:5" ht="15.75" x14ac:dyDescent="0.25">
      <c r="A19" s="33"/>
      <c r="B19" s="33"/>
      <c r="C19" s="57"/>
      <c r="D19" s="40"/>
      <c r="E19" s="40"/>
    </row>
    <row r="20" spans="1:5" s="33" customFormat="1" ht="15.75" x14ac:dyDescent="0.25">
      <c r="A20" s="131" t="s">
        <v>193</v>
      </c>
      <c r="B20" s="132"/>
      <c r="C20" s="133"/>
    </row>
    <row r="21" spans="1:5" s="33" customFormat="1" ht="69" customHeight="1" x14ac:dyDescent="0.25">
      <c r="A21" s="688" t="str">
        <f>Пояснительная!A25</f>
        <v>Начальник отдела ценообразования
управления проектов
департамента развития инфраструктуры</v>
      </c>
      <c r="B21" s="688"/>
      <c r="C21" s="144"/>
      <c r="D21" s="145"/>
      <c r="E21" s="146" t="str">
        <f>Пояснительная!C25</f>
        <v>А.Ю. Татаринов</v>
      </c>
    </row>
    <row r="22" spans="1:5" s="33" customFormat="1" ht="15.75" x14ac:dyDescent="0.25">
      <c r="A22" s="147"/>
      <c r="B22" s="147"/>
      <c r="C22" s="144"/>
      <c r="D22" s="145"/>
      <c r="E22" s="146"/>
    </row>
    <row r="23" spans="1:5" s="33" customFormat="1" ht="15.75" x14ac:dyDescent="0.25">
      <c r="A23" s="148" t="s">
        <v>147</v>
      </c>
      <c r="B23" s="132"/>
      <c r="C23" s="144"/>
      <c r="D23" s="144"/>
      <c r="E23" s="133"/>
    </row>
    <row r="24" spans="1:5" s="33" customFormat="1" ht="86.25" customHeight="1" x14ac:dyDescent="0.25">
      <c r="A24" s="688" t="str">
        <f>Пояснительная!A28</f>
        <v>Заместитель директора департамента
по ценообразованию и сметному регулированию
Департамента развития инфраструктуры</v>
      </c>
      <c r="B24" s="688"/>
      <c r="C24" s="144"/>
      <c r="D24" s="145"/>
      <c r="E24" s="146" t="str">
        <f>Пояснительная!C28</f>
        <v>Е.А. Татаринова</v>
      </c>
    </row>
    <row r="25" spans="1:5" s="33" customFormat="1" ht="15.75" x14ac:dyDescent="0.25">
      <c r="A25" s="147"/>
      <c r="B25" s="147"/>
      <c r="C25" s="144"/>
      <c r="D25" s="145"/>
      <c r="E25" s="146"/>
    </row>
    <row r="26" spans="1:5" s="33" customFormat="1" ht="14.25" customHeight="1" x14ac:dyDescent="0.25">
      <c r="A26" s="688" t="s">
        <v>194</v>
      </c>
      <c r="B26" s="688"/>
      <c r="C26" s="144"/>
      <c r="D26" s="144"/>
      <c r="E26" s="146"/>
    </row>
    <row r="27" spans="1:5" s="33" customFormat="1" ht="44.25" customHeight="1" x14ac:dyDescent="0.25">
      <c r="A27" s="688" t="str">
        <f>Пояснительная!A31</f>
        <v>Директор Департамента развития инфраструктуры</v>
      </c>
      <c r="B27" s="688"/>
      <c r="C27" s="144"/>
      <c r="D27" s="144"/>
      <c r="E27" s="146" t="str">
        <f>Пояснительная!C31</f>
        <v>И.В. Евдокимов</v>
      </c>
    </row>
    <row r="32" spans="1:5" x14ac:dyDescent="0.25">
      <c r="E32" s="116"/>
    </row>
    <row r="33" spans="5:5" x14ac:dyDescent="0.25">
      <c r="E33" s="115"/>
    </row>
  </sheetData>
  <mergeCells count="11">
    <mergeCell ref="A21:B21"/>
    <mergeCell ref="A24:B24"/>
    <mergeCell ref="A26:B26"/>
    <mergeCell ref="A27:B27"/>
    <mergeCell ref="A1:E1"/>
    <mergeCell ref="A2:E2"/>
    <mergeCell ref="A3:E3"/>
    <mergeCell ref="A9:A11"/>
    <mergeCell ref="B9:B11"/>
    <mergeCell ref="C9:E10"/>
    <mergeCell ref="A5:B5"/>
  </mergeCells>
  <printOptions horizontalCentered="1"/>
  <pageMargins left="0.70866141732283472" right="0.70866141732283472" top="0.74803149606299213" bottom="0.74803149606299213" header="0.31496062992125984" footer="0.31496062992125984"/>
  <pageSetup paperSize="9" scale="36"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18"/>
  <sheetViews>
    <sheetView zoomScale="80" zoomScaleNormal="80" zoomScaleSheetLayoutView="70" workbookViewId="0">
      <pane xSplit="6" ySplit="9" topLeftCell="G10" activePane="bottomRight" state="frozen"/>
      <selection pane="topRight" activeCell="H1" sqref="H1"/>
      <selection pane="bottomLeft" activeCell="A9" sqref="A9"/>
      <selection pane="bottomRight" activeCell="K12" sqref="K12"/>
    </sheetView>
  </sheetViews>
  <sheetFormatPr defaultRowHeight="15.75" outlineLevelCol="1" x14ac:dyDescent="0.25"/>
  <cols>
    <col min="1" max="1" width="9.140625" style="287" hidden="1" customWidth="1" outlineLevel="1"/>
    <col min="2" max="2" width="12.85546875" style="287" customWidth="1" collapsed="1"/>
    <col min="3" max="3" width="56.28515625" style="287" customWidth="1"/>
    <col min="4" max="4" width="13.7109375" style="287" customWidth="1"/>
    <col min="5" max="5" width="10.5703125" style="287" customWidth="1"/>
    <col min="6" max="6" width="23.42578125" style="287" customWidth="1"/>
    <col min="7" max="7" width="18.7109375" style="287" customWidth="1"/>
    <col min="8" max="11" width="21" style="287" customWidth="1"/>
    <col min="12" max="12" width="34.7109375" style="287" customWidth="1"/>
    <col min="13" max="16384" width="9.140625" style="287"/>
  </cols>
  <sheetData>
    <row r="1" spans="1:12" s="286" customFormat="1" x14ac:dyDescent="0.25">
      <c r="B1" s="707" t="s">
        <v>2224</v>
      </c>
      <c r="C1" s="707"/>
      <c r="D1" s="707"/>
      <c r="E1" s="707"/>
      <c r="F1" s="707"/>
      <c r="G1" s="707"/>
      <c r="H1" s="707"/>
      <c r="I1" s="707"/>
      <c r="J1" s="707"/>
      <c r="K1" s="707"/>
      <c r="L1" s="707"/>
    </row>
    <row r="2" spans="1:12" s="286" customFormat="1" x14ac:dyDescent="0.25">
      <c r="B2" s="713" t="str">
        <f>Пояснительная!$A$3</f>
        <v>на выполнение проектно-изыскательских работ:</v>
      </c>
      <c r="C2" s="713"/>
      <c r="D2" s="713"/>
      <c r="E2" s="713"/>
      <c r="F2" s="713"/>
      <c r="G2" s="713"/>
      <c r="H2" s="713"/>
      <c r="I2" s="713"/>
      <c r="J2" s="713"/>
      <c r="K2" s="713"/>
      <c r="L2" s="713"/>
    </row>
    <row r="3" spans="1:12" s="286" customFormat="1" x14ac:dyDescent="0.25">
      <c r="B3" s="708"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C3" s="708"/>
      <c r="D3" s="708"/>
      <c r="E3" s="708"/>
      <c r="F3" s="708"/>
      <c r="G3" s="708"/>
      <c r="H3" s="708"/>
      <c r="I3" s="708"/>
      <c r="J3" s="708"/>
      <c r="K3" s="708"/>
      <c r="L3" s="708"/>
    </row>
    <row r="4" spans="1:12" x14ac:dyDescent="0.25">
      <c r="B4" s="288"/>
      <c r="C4" s="288"/>
      <c r="D4" s="288"/>
      <c r="E4" s="288"/>
      <c r="F4" s="288"/>
      <c r="G4" s="288"/>
      <c r="H4" s="288"/>
      <c r="I4" s="288"/>
      <c r="J4" s="288"/>
      <c r="K4" s="288"/>
    </row>
    <row r="5" spans="1:12" ht="51" customHeight="1" x14ac:dyDescent="0.25">
      <c r="A5" s="709" t="s">
        <v>820</v>
      </c>
      <c r="B5" s="710" t="s">
        <v>153</v>
      </c>
      <c r="C5" s="710" t="s">
        <v>2425</v>
      </c>
      <c r="D5" s="710" t="s">
        <v>53</v>
      </c>
      <c r="E5" s="710" t="s">
        <v>822</v>
      </c>
      <c r="F5" s="711" t="s">
        <v>823</v>
      </c>
      <c r="G5" s="710" t="s">
        <v>2218</v>
      </c>
      <c r="H5" s="712" t="s">
        <v>2211</v>
      </c>
      <c r="I5" s="710" t="s">
        <v>2222</v>
      </c>
      <c r="J5" s="712" t="s">
        <v>2428</v>
      </c>
      <c r="K5" s="710" t="s">
        <v>2223</v>
      </c>
      <c r="L5" s="710" t="s">
        <v>829</v>
      </c>
    </row>
    <row r="6" spans="1:12" ht="51" customHeight="1" x14ac:dyDescent="0.25">
      <c r="A6" s="709"/>
      <c r="B6" s="710"/>
      <c r="C6" s="710"/>
      <c r="D6" s="710"/>
      <c r="E6" s="710"/>
      <c r="F6" s="711"/>
      <c r="G6" s="710"/>
      <c r="H6" s="712"/>
      <c r="I6" s="710"/>
      <c r="J6" s="712"/>
      <c r="K6" s="710"/>
      <c r="L6" s="710"/>
    </row>
    <row r="7" spans="1:12" ht="51" customHeight="1" x14ac:dyDescent="0.25">
      <c r="A7" s="709"/>
      <c r="B7" s="710"/>
      <c r="C7" s="710"/>
      <c r="D7" s="710"/>
      <c r="E7" s="710"/>
      <c r="F7" s="711"/>
      <c r="G7" s="710"/>
      <c r="H7" s="712"/>
      <c r="I7" s="710"/>
      <c r="J7" s="712"/>
      <c r="K7" s="710"/>
      <c r="L7" s="710"/>
    </row>
    <row r="8" spans="1:12" x14ac:dyDescent="0.25">
      <c r="A8" s="289"/>
      <c r="B8" s="315">
        <v>1</v>
      </c>
      <c r="C8" s="316">
        <v>2</v>
      </c>
      <c r="D8" s="315">
        <v>3</v>
      </c>
      <c r="E8" s="316">
        <v>4</v>
      </c>
      <c r="F8" s="315">
        <v>5</v>
      </c>
      <c r="G8" s="316">
        <v>7</v>
      </c>
      <c r="H8" s="316">
        <v>16</v>
      </c>
      <c r="I8" s="315">
        <v>17</v>
      </c>
      <c r="J8" s="316">
        <v>18</v>
      </c>
      <c r="K8" s="315">
        <v>19</v>
      </c>
      <c r="L8" s="316">
        <v>20</v>
      </c>
    </row>
    <row r="9" spans="1:12" s="547" customFormat="1" x14ac:dyDescent="0.25">
      <c r="A9" s="546">
        <v>1</v>
      </c>
      <c r="B9" s="548">
        <v>1</v>
      </c>
      <c r="C9" s="549" t="s">
        <v>2214</v>
      </c>
      <c r="D9" s="550" t="s">
        <v>35</v>
      </c>
      <c r="E9" s="549">
        <v>1</v>
      </c>
      <c r="F9" s="550"/>
      <c r="G9" s="658"/>
      <c r="H9" s="549"/>
      <c r="I9" s="661">
        <f>SUM(I10:I12)</f>
        <v>36659105.210000001</v>
      </c>
      <c r="J9" s="549"/>
      <c r="K9" s="661">
        <f>SUM(K10:K12)</f>
        <v>37135673.579999998</v>
      </c>
      <c r="L9" s="549"/>
    </row>
    <row r="10" spans="1:12" s="311" customFormat="1" x14ac:dyDescent="0.25">
      <c r="A10" s="545">
        <v>2</v>
      </c>
      <c r="B10" s="552" t="str">
        <f t="shared" ref="B10:B12" ca="1" si="0">IF(A10&gt;OFFSET(A10,-1,0),OFFSET(B10,-1,0)&amp;"."&amp;1,LEFT(OFFSET(B10,-1,0),SEARCH("^^",SUBSTITUTE("."&amp;OFFSET(B10,-1,0),".","^^",A10))-1)&amp;1--MID(OFFSET(B10,-1,0),SEARCH("^^",SUBSTITUTE("."&amp;OFFSET(B10,-1,0),".","^^",A10)),SEARCH("^^",SUBSTITUTE(OFFSET(B10,-1,0)&amp;".",".","^^",A10))-SEARCH("^^",SUBSTITUTE("."&amp;OFFSET(B10,-1,0),".","^^",A10))))</f>
        <v>1.1</v>
      </c>
      <c r="C10" s="357" t="s">
        <v>104</v>
      </c>
      <c r="D10" s="358" t="s">
        <v>35</v>
      </c>
      <c r="E10" s="357">
        <v>1</v>
      </c>
      <c r="F10" s="358" t="s">
        <v>2217</v>
      </c>
      <c r="G10" s="659">
        <f>'Cводная смета ПИР'!$G$20</f>
        <v>14929390.67</v>
      </c>
      <c r="H10" s="352">
        <v>1</v>
      </c>
      <c r="I10" s="663">
        <f>G10*H10</f>
        <v>14929390.67</v>
      </c>
      <c r="J10" s="354">
        <f>'Прогнозные индексы'!$F$72</f>
        <v>1.0129999999999999</v>
      </c>
      <c r="K10" s="657">
        <f>I10*J10</f>
        <v>15123472.75</v>
      </c>
      <c r="L10" s="357"/>
    </row>
    <row r="11" spans="1:12" s="311" customFormat="1" x14ac:dyDescent="0.25">
      <c r="A11" s="545">
        <v>2</v>
      </c>
      <c r="B11" s="552" t="str">
        <f t="shared" ca="1" si="0"/>
        <v>1.2</v>
      </c>
      <c r="C11" s="357" t="s">
        <v>0</v>
      </c>
      <c r="D11" s="358" t="s">
        <v>35</v>
      </c>
      <c r="E11" s="357">
        <v>1</v>
      </c>
      <c r="F11" s="358" t="s">
        <v>2217</v>
      </c>
      <c r="G11" s="659">
        <f>'Cводная смета ПИР'!$G$25</f>
        <v>21010908.559999999</v>
      </c>
      <c r="H11" s="352">
        <v>1</v>
      </c>
      <c r="I11" s="663">
        <f>G11*H11</f>
        <v>21010908.559999999</v>
      </c>
      <c r="J11" s="354">
        <f>'Прогнозные индексы'!$F$72</f>
        <v>1.0129999999999999</v>
      </c>
      <c r="K11" s="657">
        <f>I11*J11</f>
        <v>21284050.370000001</v>
      </c>
      <c r="L11" s="357"/>
    </row>
    <row r="12" spans="1:12" s="311" customFormat="1" x14ac:dyDescent="0.25">
      <c r="A12" s="545">
        <v>2</v>
      </c>
      <c r="B12" s="552" t="str">
        <f t="shared" ca="1" si="0"/>
        <v>1.3</v>
      </c>
      <c r="C12" s="357" t="s">
        <v>2430</v>
      </c>
      <c r="D12" s="358" t="s">
        <v>35</v>
      </c>
      <c r="E12" s="357">
        <v>1</v>
      </c>
      <c r="F12" s="358"/>
      <c r="G12" s="659"/>
      <c r="H12" s="352"/>
      <c r="I12" s="662">
        <f>(I10+I11)*2%</f>
        <v>718805.98</v>
      </c>
      <c r="J12" s="354"/>
      <c r="K12" s="662">
        <f>(K10+K11)*2%</f>
        <v>728150.46</v>
      </c>
      <c r="L12" s="357"/>
    </row>
    <row r="13" spans="1:12" s="286" customFormat="1" x14ac:dyDescent="0.25">
      <c r="B13" s="319"/>
      <c r="C13" s="320" t="s">
        <v>105</v>
      </c>
      <c r="D13" s="319"/>
      <c r="E13" s="319"/>
      <c r="F13" s="319"/>
      <c r="G13" s="660"/>
      <c r="H13" s="639"/>
      <c r="I13" s="639">
        <f>I9</f>
        <v>36659105.210000001</v>
      </c>
      <c r="J13" s="639"/>
      <c r="K13" s="639">
        <f>K9</f>
        <v>37135673.579999998</v>
      </c>
      <c r="L13" s="322"/>
    </row>
    <row r="14" spans="1:12" x14ac:dyDescent="0.25">
      <c r="B14" s="323"/>
      <c r="C14" s="324" t="s">
        <v>832</v>
      </c>
      <c r="D14" s="323"/>
      <c r="E14" s="323"/>
      <c r="F14" s="323"/>
      <c r="G14" s="641"/>
      <c r="H14" s="641"/>
      <c r="I14" s="640">
        <f>I13*22%</f>
        <v>8065003.1500000004</v>
      </c>
      <c r="J14" s="641"/>
      <c r="K14" s="640">
        <f>K13*22%</f>
        <v>8169848.1900000004</v>
      </c>
      <c r="L14" s="323"/>
    </row>
    <row r="15" spans="1:12" s="286" customFormat="1" x14ac:dyDescent="0.25">
      <c r="B15" s="322"/>
      <c r="C15" s="325" t="s">
        <v>841</v>
      </c>
      <c r="D15" s="322"/>
      <c r="E15" s="322"/>
      <c r="F15" s="322"/>
      <c r="G15" s="642"/>
      <c r="H15" s="642"/>
      <c r="I15" s="639">
        <f>I13+I14</f>
        <v>44724108.359999999</v>
      </c>
      <c r="J15" s="642"/>
      <c r="K15" s="639">
        <f>K13+K14</f>
        <v>45305521.770000003</v>
      </c>
      <c r="L15" s="322"/>
    </row>
    <row r="18" spans="2:6" ht="48.75" customHeight="1" x14ac:dyDescent="0.25">
      <c r="B18" s="714" t="str">
        <f>Пояснительная!A25</f>
        <v>Начальник отдела ценообразования
управления проектов
департамента развития инфраструктуры</v>
      </c>
      <c r="C18" s="714"/>
      <c r="D18" s="714"/>
      <c r="E18" s="714"/>
      <c r="F18" s="677"/>
    </row>
  </sheetData>
  <autoFilter ref="A8:L15"/>
  <mergeCells count="16">
    <mergeCell ref="B18:E18"/>
    <mergeCell ref="H5:H7"/>
    <mergeCell ref="B1:L1"/>
    <mergeCell ref="B3:L3"/>
    <mergeCell ref="A5:A7"/>
    <mergeCell ref="B5:B7"/>
    <mergeCell ref="C5:C7"/>
    <mergeCell ref="D5:D7"/>
    <mergeCell ref="E5:E7"/>
    <mergeCell ref="F5:F7"/>
    <mergeCell ref="G5:G7"/>
    <mergeCell ref="L5:L7"/>
    <mergeCell ref="I5:I7"/>
    <mergeCell ref="J5:J7"/>
    <mergeCell ref="K5:K7"/>
    <mergeCell ref="B2:L2"/>
  </mergeCells>
  <printOptions horizontalCentered="1"/>
  <pageMargins left="0.70866141732283472" right="0.70866141732283472" top="0.74803149606299213" bottom="0.74803149606299213" header="0.31496062992125984" footer="0.31496062992125984"/>
  <pageSetup paperSize="8" scale="13"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9"/>
  <sheetViews>
    <sheetView topLeftCell="A3" zoomScaleNormal="100" zoomScaleSheetLayoutView="85" workbookViewId="0">
      <selection activeCell="G14" sqref="G14"/>
    </sheetView>
  </sheetViews>
  <sheetFormatPr defaultColWidth="9.140625" defaultRowHeight="15" x14ac:dyDescent="0.25"/>
  <cols>
    <col min="1" max="1" width="47.7109375" style="29" customWidth="1"/>
    <col min="2" max="2" width="25.140625" style="29" customWidth="1"/>
    <col min="3" max="3" width="18.85546875" style="29" customWidth="1"/>
    <col min="4" max="4" width="25.85546875" style="29" customWidth="1"/>
    <col min="5" max="5" width="20.42578125" style="29" customWidth="1"/>
    <col min="6" max="6" width="24.28515625" style="29" customWidth="1"/>
    <col min="7" max="7" width="26.7109375" style="29" customWidth="1"/>
    <col min="8" max="9" width="11.28515625" style="29" bestFit="1" customWidth="1"/>
    <col min="10" max="16384" width="9.140625" style="29"/>
  </cols>
  <sheetData>
    <row r="1" spans="1:7" ht="37.5" customHeight="1" x14ac:dyDescent="0.25">
      <c r="A1" s="730" t="s">
        <v>144</v>
      </c>
      <c r="B1" s="730"/>
      <c r="C1" s="730"/>
      <c r="D1" s="730"/>
      <c r="E1" s="730"/>
      <c r="F1" s="730"/>
      <c r="G1" s="113"/>
    </row>
    <row r="2" spans="1:7" ht="48" customHeight="1" x14ac:dyDescent="0.25">
      <c r="A2" s="42" t="s">
        <v>107</v>
      </c>
      <c r="B2" s="739"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C2" s="739"/>
      <c r="D2" s="739"/>
      <c r="E2" s="739"/>
      <c r="F2" s="739"/>
      <c r="G2" s="48"/>
    </row>
    <row r="3" spans="1:7" ht="28.5" customHeight="1" x14ac:dyDescent="0.25">
      <c r="A3" s="42" t="s">
        <v>108</v>
      </c>
      <c r="B3" s="731" t="s">
        <v>199</v>
      </c>
      <c r="C3" s="731"/>
      <c r="D3" s="731"/>
      <c r="E3" s="731"/>
      <c r="F3" s="731"/>
      <c r="G3" s="731"/>
    </row>
    <row r="4" spans="1:7" ht="15.75" x14ac:dyDescent="0.25">
      <c r="A4" s="33"/>
      <c r="B4" s="33"/>
      <c r="C4" s="33"/>
      <c r="D4" s="33"/>
      <c r="E4" s="33"/>
      <c r="F4" s="33"/>
      <c r="G4" s="33"/>
    </row>
    <row r="5" spans="1:7" ht="15.75" x14ac:dyDescent="0.25">
      <c r="A5" s="43" t="s">
        <v>109</v>
      </c>
      <c r="B5" s="33"/>
      <c r="C5" s="740"/>
      <c r="D5" s="740"/>
      <c r="E5" s="740"/>
      <c r="F5" s="740"/>
      <c r="G5" s="33"/>
    </row>
    <row r="6" spans="1:7" ht="15.75" x14ac:dyDescent="0.25">
      <c r="A6" s="732"/>
      <c r="B6" s="732"/>
      <c r="C6" s="732"/>
      <c r="D6" s="732"/>
      <c r="E6" s="732"/>
      <c r="F6" s="732"/>
      <c r="G6" s="732"/>
    </row>
    <row r="7" spans="1:7" ht="15.75" x14ac:dyDescent="0.25">
      <c r="A7" s="43" t="s">
        <v>110</v>
      </c>
      <c r="B7" s="40"/>
      <c r="C7" s="40"/>
      <c r="D7" s="33"/>
      <c r="E7" s="33"/>
      <c r="F7" s="33"/>
      <c r="G7" s="33"/>
    </row>
    <row r="8" spans="1:7" ht="15.75" x14ac:dyDescent="0.25">
      <c r="A8" s="43" t="s">
        <v>237</v>
      </c>
      <c r="B8" s="40"/>
      <c r="C8" s="40"/>
      <c r="D8" s="33"/>
      <c r="E8" s="33"/>
      <c r="F8" s="33"/>
      <c r="G8" s="33"/>
    </row>
    <row r="9" spans="1:7" ht="14.25" customHeight="1" x14ac:dyDescent="0.25">
      <c r="A9" s="44" t="s">
        <v>119</v>
      </c>
      <c r="B9" s="533">
        <f>ROUNDUP((F25-F24)/30.5,1)</f>
        <v>4.5999999999999996</v>
      </c>
      <c r="C9" s="732" t="s">
        <v>61</v>
      </c>
      <c r="D9" s="732"/>
      <c r="E9" s="732"/>
      <c r="F9" s="732"/>
      <c r="G9" s="94"/>
    </row>
    <row r="10" spans="1:7" ht="15.75" x14ac:dyDescent="0.25">
      <c r="A10" s="33"/>
      <c r="B10" s="33"/>
      <c r="C10" s="33"/>
      <c r="D10" s="33"/>
      <c r="E10" s="33"/>
      <c r="F10" s="33"/>
      <c r="G10" s="95"/>
    </row>
    <row r="11" spans="1:7" ht="131.25" customHeight="1" x14ac:dyDescent="0.25">
      <c r="A11" s="733" t="s">
        <v>111</v>
      </c>
      <c r="B11" s="735" t="s">
        <v>239</v>
      </c>
      <c r="C11" s="735" t="s">
        <v>112</v>
      </c>
      <c r="D11" s="735" t="s">
        <v>120</v>
      </c>
      <c r="E11" s="735" t="s">
        <v>113</v>
      </c>
      <c r="F11" s="738" t="s">
        <v>114</v>
      </c>
      <c r="G11" s="96"/>
    </row>
    <row r="12" spans="1:7" ht="21.75" customHeight="1" x14ac:dyDescent="0.25">
      <c r="A12" s="734"/>
      <c r="B12" s="736"/>
      <c r="C12" s="737"/>
      <c r="D12" s="737"/>
      <c r="E12" s="737"/>
      <c r="F12" s="738"/>
      <c r="G12" s="97"/>
    </row>
    <row r="13" spans="1:7" ht="15.75" x14ac:dyDescent="0.25">
      <c r="A13" s="49">
        <v>1</v>
      </c>
      <c r="B13" s="50">
        <v>2</v>
      </c>
      <c r="C13" s="49">
        <v>3</v>
      </c>
      <c r="D13" s="49">
        <v>4</v>
      </c>
      <c r="E13" s="49">
        <v>5</v>
      </c>
      <c r="F13" s="49">
        <v>6</v>
      </c>
      <c r="G13" s="98"/>
    </row>
    <row r="14" spans="1:7" ht="26.25" customHeight="1" x14ac:dyDescent="0.25">
      <c r="A14" s="89" t="s">
        <v>104</v>
      </c>
      <c r="B14" s="45">
        <f>'Cводная смета ПИР'!G20</f>
        <v>14929390.67</v>
      </c>
      <c r="C14" s="103">
        <f>C21</f>
        <v>1</v>
      </c>
      <c r="D14" s="45">
        <f>B14*C14</f>
        <v>14929390.67</v>
      </c>
      <c r="E14" s="103">
        <f>F29</f>
        <v>1.0129999999999999</v>
      </c>
      <c r="F14" s="124">
        <f>D14*E14</f>
        <v>15123472.75</v>
      </c>
      <c r="G14" s="123"/>
    </row>
    <row r="15" spans="1:7" ht="35.25" customHeight="1" x14ac:dyDescent="0.25">
      <c r="A15" s="89" t="s">
        <v>0</v>
      </c>
      <c r="B15" s="45">
        <f>'Cводная смета ПИР'!G22+'Cводная смета ПИР'!G24</f>
        <v>19300107</v>
      </c>
      <c r="C15" s="103">
        <f>C21</f>
        <v>1</v>
      </c>
      <c r="D15" s="45">
        <f>B15*C15</f>
        <v>19300107</v>
      </c>
      <c r="E15" s="103">
        <f>F29</f>
        <v>1.0129999999999999</v>
      </c>
      <c r="F15" s="124">
        <f>D15*E15</f>
        <v>19551008.390000001</v>
      </c>
      <c r="G15" s="130"/>
    </row>
    <row r="16" spans="1:7" ht="34.5" customHeight="1" x14ac:dyDescent="0.25">
      <c r="A16" s="89" t="s">
        <v>151</v>
      </c>
      <c r="B16" s="45">
        <f>'Cводная смета ПИР'!G23</f>
        <v>1710801.56</v>
      </c>
      <c r="C16" s="167">
        <f>C21</f>
        <v>1</v>
      </c>
      <c r="D16" s="45">
        <f>B16*C16</f>
        <v>1710801.56</v>
      </c>
      <c r="E16" s="103">
        <f>F29</f>
        <v>1.0129999999999999</v>
      </c>
      <c r="F16" s="124">
        <f>D16*E16</f>
        <v>1733041.98</v>
      </c>
      <c r="G16" s="99"/>
    </row>
    <row r="17" spans="1:10" ht="15.75" x14ac:dyDescent="0.25">
      <c r="A17" s="90" t="s">
        <v>115</v>
      </c>
      <c r="B17" s="93">
        <f>SUM(B14:B16)</f>
        <v>35940299.229999997</v>
      </c>
      <c r="C17" s="91"/>
      <c r="D17" s="93">
        <f>SUM(D14:D16)</f>
        <v>35940299.229999997</v>
      </c>
      <c r="E17" s="92"/>
      <c r="F17" s="93">
        <f>SUM(F14:F16)</f>
        <v>36407523.119999997</v>
      </c>
      <c r="G17" s="100"/>
    </row>
    <row r="18" spans="1:10" ht="15.75" x14ac:dyDescent="0.25">
      <c r="A18" s="90" t="s">
        <v>238</v>
      </c>
      <c r="B18" s="93">
        <f>B17*0.22</f>
        <v>7906865.8300000001</v>
      </c>
      <c r="C18" s="91"/>
      <c r="D18" s="93">
        <f>D17*0.22</f>
        <v>7906865.8300000001</v>
      </c>
      <c r="E18" s="92"/>
      <c r="F18" s="93">
        <f>F17*0.22</f>
        <v>8009655.0899999999</v>
      </c>
      <c r="G18" s="101"/>
    </row>
    <row r="19" spans="1:10" ht="15.75" x14ac:dyDescent="0.25">
      <c r="A19" s="90" t="s">
        <v>116</v>
      </c>
      <c r="B19" s="93">
        <f>B17+B18</f>
        <v>43847165.060000002</v>
      </c>
      <c r="C19" s="91"/>
      <c r="D19" s="93">
        <f>D17+D18</f>
        <v>43847165.060000002</v>
      </c>
      <c r="E19" s="92"/>
      <c r="F19" s="93">
        <f>F17+F18</f>
        <v>44417178.210000001</v>
      </c>
      <c r="G19" s="101"/>
    </row>
    <row r="20" spans="1:10" ht="15.75" x14ac:dyDescent="0.25">
      <c r="A20" s="46"/>
      <c r="B20" s="47"/>
      <c r="C20" s="47"/>
      <c r="D20" s="47"/>
      <c r="E20" s="47"/>
      <c r="F20" s="47"/>
      <c r="G20" s="33"/>
    </row>
    <row r="21" spans="1:10" ht="36" customHeight="1" x14ac:dyDescent="0.25">
      <c r="A21" s="722" t="s">
        <v>148</v>
      </c>
      <c r="B21" s="722"/>
      <c r="C21" s="121">
        <v>1</v>
      </c>
      <c r="D21" s="40"/>
      <c r="E21" s="40"/>
      <c r="F21" s="40"/>
      <c r="G21" s="40"/>
    </row>
    <row r="22" spans="1:10" ht="23.45" customHeight="1" x14ac:dyDescent="0.25">
      <c r="A22" s="723" t="s">
        <v>240</v>
      </c>
      <c r="B22" s="723"/>
      <c r="C22" s="723"/>
      <c r="D22" s="723"/>
      <c r="E22" s="723"/>
      <c r="F22" s="723"/>
      <c r="G22" s="40"/>
    </row>
    <row r="23" spans="1:10" s="142" customFormat="1" ht="15.75" x14ac:dyDescent="0.25">
      <c r="A23" s="716" t="s">
        <v>141</v>
      </c>
      <c r="B23" s="716"/>
      <c r="C23" s="716"/>
      <c r="D23" s="716"/>
      <c r="E23" s="716"/>
      <c r="F23" s="525">
        <v>46204</v>
      </c>
      <c r="G23" s="142" t="s">
        <v>243</v>
      </c>
    </row>
    <row r="24" spans="1:10" s="142" customFormat="1" ht="15.75" x14ac:dyDescent="0.25">
      <c r="A24" s="717" t="s">
        <v>117</v>
      </c>
      <c r="B24" s="718"/>
      <c r="C24" s="718"/>
      <c r="D24" s="718"/>
      <c r="E24" s="719"/>
      <c r="F24" s="525">
        <v>46237</v>
      </c>
      <c r="G24" s="526"/>
    </row>
    <row r="25" spans="1:10" s="142" customFormat="1" ht="15.75" x14ac:dyDescent="0.25">
      <c r="A25" s="717" t="s">
        <v>118</v>
      </c>
      <c r="B25" s="718"/>
      <c r="C25" s="718"/>
      <c r="D25" s="718"/>
      <c r="E25" s="719"/>
      <c r="F25" s="525">
        <f>F24+140</f>
        <v>46377</v>
      </c>
      <c r="G25" s="527"/>
    </row>
    <row r="26" spans="1:10" s="142" customFormat="1" ht="19.5" customHeight="1" x14ac:dyDescent="0.25">
      <c r="A26" s="717" t="s">
        <v>2111</v>
      </c>
      <c r="B26" s="718"/>
      <c r="C26" s="718"/>
      <c r="D26" s="718"/>
      <c r="E26" s="719"/>
      <c r="F26" s="528">
        <f>ROUNDUP((F25-F23)/30.5,1)</f>
        <v>5.7</v>
      </c>
    </row>
    <row r="27" spans="1:10" s="142" customFormat="1" ht="35.25" customHeight="1" x14ac:dyDescent="0.25">
      <c r="A27" s="720" t="s">
        <v>576</v>
      </c>
      <c r="B27" s="720"/>
      <c r="C27" s="720"/>
      <c r="D27" s="720"/>
      <c r="E27" s="720"/>
      <c r="F27" s="529">
        <v>1.0549999999999999</v>
      </c>
      <c r="I27" s="527"/>
    </row>
    <row r="28" spans="1:10" s="142" customFormat="1" ht="15.75" x14ac:dyDescent="0.25">
      <c r="A28" s="724" t="s">
        <v>241</v>
      </c>
      <c r="B28" s="724"/>
      <c r="C28" s="724"/>
      <c r="D28" s="530">
        <f>F27</f>
        <v>1.0549999999999999</v>
      </c>
      <c r="E28" s="531" t="s">
        <v>225</v>
      </c>
      <c r="F28" s="532">
        <f>F27^(1/12)</f>
        <v>1.0044999999999999</v>
      </c>
    </row>
    <row r="29" spans="1:10" s="142" customFormat="1" ht="34.5" customHeight="1" x14ac:dyDescent="0.25">
      <c r="A29" s="725" t="s">
        <v>121</v>
      </c>
      <c r="B29" s="726"/>
      <c r="C29" s="727" t="str">
        <f>CONCATENATE("(",F28,"^",ROUNDUP((F25-F23)/30.5,1),"-1)/2+1")</f>
        <v>(1,0045^5,7-1)/2+1</v>
      </c>
      <c r="D29" s="728"/>
      <c r="E29" s="729"/>
      <c r="F29" s="141">
        <f>(ROUND(((F28^ROUNDUP((F25-F23)/30.5,1)-1)/2)+1,4))</f>
        <v>1.0129999999999999</v>
      </c>
      <c r="H29" s="715"/>
      <c r="I29" s="715"/>
      <c r="J29" s="715"/>
    </row>
    <row r="30" spans="1:10" ht="15.75" customHeight="1" x14ac:dyDescent="0.25">
      <c r="A30" s="138"/>
      <c r="B30" s="138"/>
      <c r="C30" s="139"/>
      <c r="D30" s="139"/>
      <c r="E30" s="139"/>
      <c r="F30" s="140"/>
      <c r="G30" s="117"/>
    </row>
    <row r="31" spans="1:10" ht="15.75" customHeight="1" x14ac:dyDescent="0.25">
      <c r="A31" s="138"/>
      <c r="B31" s="138"/>
      <c r="C31" s="139"/>
      <c r="D31" s="139"/>
      <c r="E31" s="139"/>
      <c r="F31" s="140"/>
      <c r="G31" s="117"/>
    </row>
    <row r="32" spans="1:10" s="134" customFormat="1" ht="15.75" x14ac:dyDescent="0.25">
      <c r="A32" s="131" t="s">
        <v>193</v>
      </c>
      <c r="B32" s="132"/>
      <c r="C32" s="133"/>
    </row>
    <row r="33" spans="1:7" ht="59.25" customHeight="1" x14ac:dyDescent="0.25">
      <c r="A33" s="721" t="str">
        <f>Пояснительная!A25</f>
        <v>Начальник отдела ценообразования
управления проектов
департамента развития инфраструктуры</v>
      </c>
      <c r="B33" s="721"/>
      <c r="C33" s="721"/>
      <c r="D33" s="120"/>
      <c r="F33" s="108" t="str">
        <f>Пояснительная!C25</f>
        <v>А.Ю. Татаринов</v>
      </c>
      <c r="G33" s="120"/>
    </row>
    <row r="34" spans="1:7" ht="15.75" x14ac:dyDescent="0.25">
      <c r="A34" s="128"/>
      <c r="B34" s="128"/>
      <c r="D34" s="120"/>
      <c r="F34" s="108"/>
      <c r="G34" s="120"/>
    </row>
    <row r="35" spans="1:7" s="134" customFormat="1" ht="15.75" x14ac:dyDescent="0.25">
      <c r="A35" s="131" t="s">
        <v>147</v>
      </c>
      <c r="B35" s="132"/>
      <c r="F35" s="133"/>
    </row>
    <row r="36" spans="1:7" ht="58.5" customHeight="1" x14ac:dyDescent="0.25">
      <c r="A36" s="721" t="str">
        <f>Пояснительная!A28</f>
        <v>Заместитель директора департамента
по ценообразованию и сметному регулированию
Департамента развития инфраструктуры</v>
      </c>
      <c r="B36" s="721"/>
      <c r="C36" s="721"/>
      <c r="D36" s="120"/>
      <c r="F36" s="108" t="str">
        <f>Пояснительная!C28</f>
        <v>Е.А. Татаринова</v>
      </c>
      <c r="G36" s="120"/>
    </row>
    <row r="37" spans="1:7" ht="15.75" x14ac:dyDescent="0.25">
      <c r="A37" s="128"/>
      <c r="B37" s="128"/>
      <c r="D37" s="120"/>
      <c r="F37" s="108"/>
      <c r="G37" s="120"/>
    </row>
    <row r="38" spans="1:7" ht="14.25" customHeight="1" x14ac:dyDescent="0.25">
      <c r="A38" s="721" t="s">
        <v>194</v>
      </c>
      <c r="B38" s="721"/>
      <c r="F38" s="108"/>
    </row>
    <row r="39" spans="1:7" ht="22.5" customHeight="1" x14ac:dyDescent="0.25">
      <c r="A39" s="721" t="str">
        <f>Пояснительная!A31</f>
        <v>Директор Департамента развития инфраструктуры</v>
      </c>
      <c r="B39" s="721"/>
      <c r="F39" s="108" t="str">
        <f>Пояснительная!C31</f>
        <v>И.В. Евдокимов</v>
      </c>
    </row>
  </sheetData>
  <mergeCells count="27">
    <mergeCell ref="A1:F1"/>
    <mergeCell ref="B3:G3"/>
    <mergeCell ref="A6:G6"/>
    <mergeCell ref="A11:A12"/>
    <mergeCell ref="B11:B12"/>
    <mergeCell ref="C11:C12"/>
    <mergeCell ref="D11:D12"/>
    <mergeCell ref="E11:E12"/>
    <mergeCell ref="F11:F12"/>
    <mergeCell ref="C9:F9"/>
    <mergeCell ref="B2:F2"/>
    <mergeCell ref="C5:F5"/>
    <mergeCell ref="A36:C36"/>
    <mergeCell ref="A38:B38"/>
    <mergeCell ref="A39:B39"/>
    <mergeCell ref="A33:C33"/>
    <mergeCell ref="A21:B21"/>
    <mergeCell ref="A22:F22"/>
    <mergeCell ref="A28:C28"/>
    <mergeCell ref="A29:B29"/>
    <mergeCell ref="C29:E29"/>
    <mergeCell ref="H29:J29"/>
    <mergeCell ref="A23:E23"/>
    <mergeCell ref="A24:E24"/>
    <mergeCell ref="A25:E25"/>
    <mergeCell ref="A26:E26"/>
    <mergeCell ref="A27:E27"/>
  </mergeCells>
  <pageMargins left="0.25" right="0.25" top="0.75" bottom="0.75" header="0.3" footer="0.3"/>
  <pageSetup paperSize="9" scale="35" fitToHeight="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27"/>
  <sheetViews>
    <sheetView topLeftCell="A10" zoomScale="90" zoomScaleNormal="90" zoomScaleSheetLayoutView="85" workbookViewId="0">
      <selection activeCell="F22" sqref="F22"/>
    </sheetView>
  </sheetViews>
  <sheetFormatPr defaultColWidth="8.7109375" defaultRowHeight="12.75" x14ac:dyDescent="0.2"/>
  <cols>
    <col min="1" max="1" width="6.42578125" style="3" customWidth="1"/>
    <col min="2" max="2" width="51.5703125" style="3" customWidth="1"/>
    <col min="3" max="3" width="20.42578125" style="3" customWidth="1"/>
    <col min="4" max="4" width="29.85546875" style="3" customWidth="1"/>
    <col min="5" max="5" width="22.7109375" style="3" customWidth="1"/>
    <col min="6" max="6" width="23" style="3" customWidth="1"/>
    <col min="7" max="7" width="22.28515625" style="3" customWidth="1"/>
    <col min="8" max="16384" width="8.7109375" style="3"/>
  </cols>
  <sheetData>
    <row r="1" spans="1:8" ht="15.75" x14ac:dyDescent="0.25">
      <c r="A1" s="2"/>
      <c r="B1" s="2"/>
      <c r="C1" s="2"/>
      <c r="D1" s="2"/>
      <c r="E1" s="2"/>
      <c r="F1" s="2"/>
      <c r="G1" s="2"/>
    </row>
    <row r="2" spans="1:8" ht="15.75" x14ac:dyDescent="0.2">
      <c r="A2" s="741" t="s">
        <v>22</v>
      </c>
      <c r="B2" s="741"/>
      <c r="C2" s="741"/>
      <c r="D2" s="741"/>
      <c r="E2" s="741"/>
      <c r="F2" s="741"/>
      <c r="G2" s="741"/>
    </row>
    <row r="3" spans="1:8" ht="31.5" customHeight="1" x14ac:dyDescent="0.2">
      <c r="A3" s="741" t="s">
        <v>23</v>
      </c>
      <c r="B3" s="741"/>
      <c r="C3" s="741"/>
      <c r="D3" s="741"/>
      <c r="E3" s="741"/>
      <c r="F3" s="741"/>
      <c r="G3" s="741"/>
    </row>
    <row r="4" spans="1:8" ht="15.75" x14ac:dyDescent="0.25">
      <c r="A4" s="2"/>
      <c r="B4" s="2"/>
      <c r="C4" s="2"/>
      <c r="D4" s="2"/>
      <c r="E4" s="2"/>
      <c r="F4" s="2"/>
      <c r="G4" s="2"/>
    </row>
    <row r="5" spans="1:8" ht="43.5" customHeight="1" x14ac:dyDescent="0.2">
      <c r="A5" s="742" t="s">
        <v>24</v>
      </c>
      <c r="B5" s="743"/>
      <c r="C5" s="744"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D5" s="745"/>
      <c r="E5" s="745"/>
      <c r="F5" s="745"/>
      <c r="G5" s="745"/>
    </row>
    <row r="6" spans="1:8" s="4" customFormat="1" ht="35.25" customHeight="1" x14ac:dyDescent="0.25">
      <c r="A6" s="746" t="s">
        <v>25</v>
      </c>
      <c r="B6" s="746"/>
      <c r="C6" s="747"/>
      <c r="D6" s="747"/>
      <c r="E6" s="748"/>
      <c r="F6" s="748"/>
      <c r="G6" s="748"/>
    </row>
    <row r="7" spans="1:8" ht="29.25" customHeight="1" x14ac:dyDescent="0.2">
      <c r="A7" s="746" t="s">
        <v>26</v>
      </c>
      <c r="B7" s="746"/>
      <c r="C7" s="747" t="s">
        <v>130</v>
      </c>
      <c r="D7" s="747"/>
      <c r="E7" s="748"/>
      <c r="F7" s="748"/>
      <c r="G7" s="748"/>
    </row>
    <row r="8" spans="1:8" ht="15.75" x14ac:dyDescent="0.25">
      <c r="A8" s="5"/>
      <c r="B8" s="6"/>
      <c r="C8" s="5"/>
      <c r="D8" s="5"/>
      <c r="E8" s="5"/>
      <c r="F8" s="5"/>
      <c r="G8" s="7" t="s">
        <v>27</v>
      </c>
    </row>
    <row r="9" spans="1:8" ht="15.75" x14ac:dyDescent="0.25">
      <c r="A9" s="749" t="s">
        <v>1</v>
      </c>
      <c r="B9" s="749" t="s">
        <v>28</v>
      </c>
      <c r="C9" s="749" t="s">
        <v>29</v>
      </c>
      <c r="D9" s="749" t="s">
        <v>30</v>
      </c>
      <c r="E9" s="752" t="s">
        <v>31</v>
      </c>
      <c r="F9" s="752"/>
      <c r="G9" s="752"/>
    </row>
    <row r="10" spans="1:8" ht="51" customHeight="1" x14ac:dyDescent="0.2">
      <c r="A10" s="750"/>
      <c r="B10" s="750"/>
      <c r="C10" s="750"/>
      <c r="D10" s="751"/>
      <c r="E10" s="64" t="s">
        <v>32</v>
      </c>
      <c r="F10" s="64" t="s">
        <v>33</v>
      </c>
      <c r="G10" s="64" t="s">
        <v>8</v>
      </c>
    </row>
    <row r="11" spans="1:8" ht="31.5" customHeight="1" x14ac:dyDescent="0.2">
      <c r="A11" s="63">
        <v>1</v>
      </c>
      <c r="B11" s="63">
        <v>2</v>
      </c>
      <c r="C11" s="63"/>
      <c r="D11" s="63"/>
      <c r="E11" s="63">
        <v>4</v>
      </c>
      <c r="F11" s="63">
        <v>5</v>
      </c>
      <c r="G11" s="63">
        <v>6</v>
      </c>
    </row>
    <row r="12" spans="1:8" ht="28.5" customHeight="1" x14ac:dyDescent="0.2">
      <c r="A12" s="753" t="s">
        <v>34</v>
      </c>
      <c r="B12" s="754"/>
      <c r="C12" s="754"/>
      <c r="D12" s="754"/>
      <c r="E12" s="754"/>
      <c r="F12" s="754"/>
      <c r="G12" s="755"/>
    </row>
    <row r="13" spans="1:8" ht="57.75" customHeight="1" x14ac:dyDescent="0.2">
      <c r="A13" s="8" t="s">
        <v>6</v>
      </c>
      <c r="B13" s="112" t="s">
        <v>131</v>
      </c>
      <c r="C13" s="9" t="s">
        <v>35</v>
      </c>
      <c r="D13" s="8" t="s">
        <v>36</v>
      </c>
      <c r="E13" s="543">
        <f>ИГДИ!$M$44</f>
        <v>1295325.81</v>
      </c>
      <c r="F13" s="60"/>
      <c r="G13" s="60">
        <f>E13+F13</f>
        <v>1295325.81</v>
      </c>
      <c r="H13" s="166"/>
    </row>
    <row r="14" spans="1:8" ht="50.25" customHeight="1" x14ac:dyDescent="0.2">
      <c r="A14" s="153" t="s">
        <v>7</v>
      </c>
      <c r="B14" s="58" t="s">
        <v>630</v>
      </c>
      <c r="C14" s="9" t="s">
        <v>35</v>
      </c>
      <c r="D14" s="8" t="s">
        <v>37</v>
      </c>
      <c r="E14" s="544">
        <f>ИГИ!$M$223</f>
        <v>11240862.76</v>
      </c>
      <c r="F14" s="154"/>
      <c r="G14" s="60">
        <f t="shared" ref="G14:G19" si="0">E14+F14</f>
        <v>11240862.76</v>
      </c>
      <c r="H14" s="166"/>
    </row>
    <row r="15" spans="1:8" ht="50.25" hidden="1" customHeight="1" x14ac:dyDescent="0.2">
      <c r="A15" s="153" t="s">
        <v>38</v>
      </c>
      <c r="B15" s="155" t="s">
        <v>628</v>
      </c>
      <c r="C15" s="9" t="s">
        <v>35</v>
      </c>
      <c r="D15" s="8" t="s">
        <v>39</v>
      </c>
      <c r="E15" s="544"/>
      <c r="F15" s="154"/>
      <c r="G15" s="60">
        <f t="shared" si="0"/>
        <v>0</v>
      </c>
    </row>
    <row r="16" spans="1:8" ht="60" customHeight="1" x14ac:dyDescent="0.2">
      <c r="A16" s="153" t="s">
        <v>38</v>
      </c>
      <c r="B16" s="112" t="s">
        <v>629</v>
      </c>
      <c r="C16" s="9" t="s">
        <v>35</v>
      </c>
      <c r="D16" s="8" t="s">
        <v>39</v>
      </c>
      <c r="E16" s="544">
        <f>ИГМИ!$M$60</f>
        <v>180902</v>
      </c>
      <c r="F16" s="154"/>
      <c r="G16" s="60">
        <f t="shared" si="0"/>
        <v>180902</v>
      </c>
    </row>
    <row r="17" spans="1:8" ht="57" customHeight="1" x14ac:dyDescent="0.2">
      <c r="A17" s="153" t="s">
        <v>40</v>
      </c>
      <c r="B17" s="58" t="s">
        <v>132</v>
      </c>
      <c r="C17" s="9" t="s">
        <v>35</v>
      </c>
      <c r="D17" s="8" t="s">
        <v>41</v>
      </c>
      <c r="E17" s="543">
        <f>Экология!$G$107</f>
        <v>1017489.85</v>
      </c>
      <c r="F17" s="61"/>
      <c r="G17" s="60">
        <f t="shared" si="0"/>
        <v>1017489.85</v>
      </c>
    </row>
    <row r="18" spans="1:8" ht="57" customHeight="1" x14ac:dyDescent="0.2">
      <c r="A18" s="153" t="s">
        <v>42</v>
      </c>
      <c r="B18" s="58" t="s">
        <v>627</v>
      </c>
      <c r="C18" s="9" t="s">
        <v>35</v>
      </c>
      <c r="D18" s="8" t="s">
        <v>1019</v>
      </c>
      <c r="E18" s="544">
        <f>Археология!$G$31</f>
        <v>329252</v>
      </c>
      <c r="F18" s="154"/>
      <c r="G18" s="60">
        <f t="shared" si="0"/>
        <v>329252</v>
      </c>
    </row>
    <row r="19" spans="1:8" ht="57" customHeight="1" x14ac:dyDescent="0.2">
      <c r="A19" s="153" t="s">
        <v>158</v>
      </c>
      <c r="B19" s="155" t="s">
        <v>581</v>
      </c>
      <c r="C19" s="9" t="s">
        <v>35</v>
      </c>
      <c r="D19" s="8" t="s">
        <v>1020</v>
      </c>
      <c r="E19" s="544">
        <f>ВОП!$O$40</f>
        <v>865558.25</v>
      </c>
      <c r="F19" s="154"/>
      <c r="G19" s="60">
        <f t="shared" si="0"/>
        <v>865558.25</v>
      </c>
    </row>
    <row r="20" spans="1:8" ht="25.5" customHeight="1" x14ac:dyDescent="0.2">
      <c r="A20" s="756" t="s">
        <v>309</v>
      </c>
      <c r="B20" s="757"/>
      <c r="C20" s="757"/>
      <c r="D20" s="757"/>
      <c r="E20" s="757"/>
      <c r="F20" s="758"/>
      <c r="G20" s="62">
        <f>SUM(G13:G19)</f>
        <v>14929390.67</v>
      </c>
    </row>
    <row r="21" spans="1:8" ht="25.5" customHeight="1" x14ac:dyDescent="0.2">
      <c r="A21" s="759" t="s">
        <v>43</v>
      </c>
      <c r="B21" s="760"/>
      <c r="C21" s="760"/>
      <c r="D21" s="760"/>
      <c r="E21" s="760"/>
      <c r="F21" s="760"/>
      <c r="G21" s="760"/>
    </row>
    <row r="22" spans="1:8" ht="54" customHeight="1" x14ac:dyDescent="0.2">
      <c r="A22" s="8" t="s">
        <v>9</v>
      </c>
      <c r="B22" s="11" t="s">
        <v>135</v>
      </c>
      <c r="C22" s="9"/>
      <c r="D22" s="8" t="s">
        <v>2043</v>
      </c>
      <c r="E22" s="10"/>
      <c r="F22" s="118">
        <f>ПД!$M$1077</f>
        <v>19300107</v>
      </c>
      <c r="G22" s="60">
        <f>F22</f>
        <v>19300107</v>
      </c>
      <c r="H22" s="166"/>
    </row>
    <row r="23" spans="1:8" ht="59.25" customHeight="1" x14ac:dyDescent="0.2">
      <c r="A23" s="8" t="s">
        <v>10</v>
      </c>
      <c r="B23" s="11" t="s">
        <v>151</v>
      </c>
      <c r="C23" s="9"/>
      <c r="D23" s="8" t="s">
        <v>152</v>
      </c>
      <c r="E23" s="10"/>
      <c r="F23" s="118">
        <f>ОВОС!F5</f>
        <v>1710801.56</v>
      </c>
      <c r="G23" s="60">
        <f>F23</f>
        <v>1710801.56</v>
      </c>
      <c r="H23" s="4"/>
    </row>
    <row r="24" spans="1:8" ht="140.25" hidden="1" customHeight="1" x14ac:dyDescent="0.2">
      <c r="A24" s="8" t="s">
        <v>10</v>
      </c>
      <c r="B24" s="11" t="s">
        <v>226</v>
      </c>
      <c r="C24" s="9"/>
      <c r="D24" s="8" t="s">
        <v>365</v>
      </c>
      <c r="E24" s="60"/>
      <c r="F24" s="285">
        <f>62283.61*0</f>
        <v>0</v>
      </c>
      <c r="G24" s="118">
        <f>F24</f>
        <v>0</v>
      </c>
    </row>
    <row r="25" spans="1:8" ht="29.25" customHeight="1" x14ac:dyDescent="0.2">
      <c r="A25" s="756" t="s">
        <v>44</v>
      </c>
      <c r="B25" s="757"/>
      <c r="C25" s="757"/>
      <c r="D25" s="757"/>
      <c r="E25" s="757"/>
      <c r="F25" s="758"/>
      <c r="G25" s="62">
        <f>SUM(G22:G24)</f>
        <v>21010908.559999999</v>
      </c>
    </row>
    <row r="26" spans="1:8" ht="27.75" customHeight="1" x14ac:dyDescent="0.2">
      <c r="A26" s="761" t="s">
        <v>45</v>
      </c>
      <c r="B26" s="762"/>
      <c r="C26" s="762"/>
      <c r="D26" s="762"/>
      <c r="E26" s="762"/>
      <c r="F26" s="763"/>
      <c r="G26" s="88">
        <f>G20+G25</f>
        <v>35940299.229999997</v>
      </c>
    </row>
    <row r="27" spans="1:8" ht="55.5" customHeight="1" x14ac:dyDescent="0.25">
      <c r="A27" s="721"/>
      <c r="B27" s="721"/>
      <c r="E27" s="102"/>
    </row>
  </sheetData>
  <mergeCells count="19">
    <mergeCell ref="A27:B27"/>
    <mergeCell ref="A12:G12"/>
    <mergeCell ref="A20:F20"/>
    <mergeCell ref="A21:G21"/>
    <mergeCell ref="A26:F26"/>
    <mergeCell ref="A25:F25"/>
    <mergeCell ref="A7:B7"/>
    <mergeCell ref="C7:G7"/>
    <mergeCell ref="A9:A10"/>
    <mergeCell ref="B9:B10"/>
    <mergeCell ref="C9:C10"/>
    <mergeCell ref="D9:D10"/>
    <mergeCell ref="E9:G9"/>
    <mergeCell ref="A2:G2"/>
    <mergeCell ref="A3:G3"/>
    <mergeCell ref="A5:B5"/>
    <mergeCell ref="C5:G5"/>
    <mergeCell ref="A6:B6"/>
    <mergeCell ref="C6:G6"/>
  </mergeCells>
  <printOptions horizontalCentered="1"/>
  <pageMargins left="0.70866141732283472" right="0.70866141732283472" top="0.74803149606299213" bottom="0.74803149606299213" header="0.31496062992125984" footer="0.31496062992125984"/>
  <pageSetup paperSize="9" scale="53"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2"/>
  <sheetViews>
    <sheetView showRuler="0" workbookViewId="0">
      <selection activeCell="K15" sqref="K15"/>
    </sheetView>
  </sheetViews>
  <sheetFormatPr defaultRowHeight="15" x14ac:dyDescent="0.25"/>
  <cols>
    <col min="1" max="1" width="6.42578125" style="168" customWidth="1"/>
    <col min="2" max="50" width="8" style="168" customWidth="1"/>
    <col min="51" max="16384" width="9.140625" style="165"/>
  </cols>
  <sheetData>
    <row r="1" spans="1:16" ht="27.2" customHeight="1" x14ac:dyDescent="0.25">
      <c r="A1" s="777" t="s">
        <v>320</v>
      </c>
      <c r="B1" s="777"/>
      <c r="C1" s="777"/>
      <c r="D1" s="777"/>
      <c r="E1" s="778" t="s">
        <v>522</v>
      </c>
      <c r="F1" s="778"/>
      <c r="G1" s="778"/>
      <c r="H1" s="778"/>
      <c r="I1" s="778"/>
      <c r="J1" s="778"/>
      <c r="K1" s="778"/>
      <c r="L1" s="778"/>
      <c r="M1" s="778"/>
      <c r="N1" s="778"/>
      <c r="O1" s="778"/>
      <c r="P1" s="778"/>
    </row>
    <row r="2" spans="1:16" ht="15" customHeight="1" x14ac:dyDescent="0.25"/>
    <row r="3" spans="1:16" ht="15" customHeight="1" x14ac:dyDescent="0.25">
      <c r="A3" s="770" t="s">
        <v>691</v>
      </c>
      <c r="B3" s="770"/>
      <c r="C3" s="770"/>
      <c r="D3" s="770"/>
      <c r="E3" s="770"/>
      <c r="F3" s="770"/>
      <c r="G3" s="770"/>
      <c r="H3" s="770"/>
      <c r="I3" s="770"/>
      <c r="J3" s="770"/>
      <c r="K3" s="770"/>
      <c r="L3" s="770"/>
      <c r="M3" s="770"/>
      <c r="N3" s="770"/>
      <c r="O3" s="770"/>
      <c r="P3" s="770"/>
    </row>
    <row r="4" spans="1:16" ht="15" customHeight="1" x14ac:dyDescent="0.25">
      <c r="A4" s="779" t="s">
        <v>523</v>
      </c>
      <c r="B4" s="779"/>
      <c r="C4" s="779"/>
      <c r="D4" s="779"/>
      <c r="E4" s="779"/>
      <c r="F4" s="779"/>
      <c r="G4" s="779"/>
      <c r="H4" s="779"/>
      <c r="I4" s="779"/>
      <c r="J4" s="779"/>
      <c r="K4" s="779"/>
      <c r="L4" s="779"/>
      <c r="M4" s="779"/>
      <c r="N4" s="779"/>
      <c r="O4" s="779"/>
      <c r="P4" s="779"/>
    </row>
    <row r="5" spans="1:16" ht="15" customHeight="1" x14ac:dyDescent="0.25"/>
    <row r="6" spans="1:16" ht="15" customHeight="1" x14ac:dyDescent="0.25">
      <c r="A6" s="770" t="s">
        <v>524</v>
      </c>
      <c r="B6" s="770"/>
      <c r="C6" s="770"/>
      <c r="D6" s="770"/>
      <c r="E6" s="770"/>
      <c r="F6" s="770"/>
      <c r="G6" s="770"/>
      <c r="H6" s="770"/>
      <c r="I6" s="770"/>
      <c r="J6" s="770"/>
      <c r="K6" s="770"/>
      <c r="L6" s="770"/>
      <c r="M6" s="770"/>
      <c r="N6" s="770"/>
      <c r="O6" s="770"/>
      <c r="P6" s="770"/>
    </row>
    <row r="7" spans="1:16" ht="15" customHeight="1" x14ac:dyDescent="0.25">
      <c r="A7" s="766" t="s">
        <v>367</v>
      </c>
      <c r="B7" s="766"/>
      <c r="C7" s="766"/>
      <c r="D7" s="766"/>
      <c r="E7" s="766"/>
      <c r="F7" s="766"/>
      <c r="G7" s="766"/>
      <c r="H7" s="766"/>
      <c r="I7" s="766"/>
      <c r="J7" s="766"/>
      <c r="K7" s="766"/>
      <c r="L7" s="766"/>
      <c r="M7" s="766"/>
      <c r="N7" s="766"/>
      <c r="O7" s="766"/>
      <c r="P7" s="766"/>
    </row>
    <row r="8" spans="1:16" ht="15" customHeight="1" x14ac:dyDescent="0.25"/>
    <row r="9" spans="1:16" ht="29.25" customHeight="1" x14ac:dyDescent="0.25">
      <c r="A9" s="770" t="s">
        <v>584</v>
      </c>
      <c r="B9" s="770"/>
      <c r="C9" s="770"/>
      <c r="D9" s="770"/>
      <c r="E9" s="770"/>
      <c r="F9" s="770"/>
      <c r="G9" s="770"/>
      <c r="H9" s="770"/>
      <c r="I9" s="770"/>
      <c r="J9" s="770"/>
      <c r="K9" s="770"/>
      <c r="L9" s="770"/>
      <c r="M9" s="770"/>
      <c r="N9" s="770"/>
      <c r="O9" s="770"/>
      <c r="P9" s="770"/>
    </row>
    <row r="10" spans="1:16" ht="15" customHeight="1" x14ac:dyDescent="0.25">
      <c r="A10" s="766" t="s">
        <v>146</v>
      </c>
      <c r="B10" s="766"/>
      <c r="C10" s="766"/>
      <c r="D10" s="766"/>
      <c r="E10" s="766"/>
      <c r="F10" s="766"/>
      <c r="G10" s="766"/>
      <c r="H10" s="766"/>
      <c r="I10" s="766"/>
      <c r="J10" s="766"/>
      <c r="K10" s="766"/>
      <c r="L10" s="766"/>
      <c r="M10" s="766"/>
      <c r="N10" s="766"/>
      <c r="O10" s="766"/>
      <c r="P10" s="766"/>
    </row>
    <row r="11" spans="1:16" ht="15" customHeight="1" x14ac:dyDescent="0.25"/>
    <row r="12" spans="1:16" ht="15" customHeight="1" x14ac:dyDescent="0.25">
      <c r="A12" s="767" t="s">
        <v>538</v>
      </c>
      <c r="B12" s="767"/>
      <c r="C12" s="767"/>
      <c r="D12" s="767"/>
      <c r="E12" s="767"/>
      <c r="F12" s="767"/>
      <c r="G12" s="767"/>
      <c r="H12" s="767"/>
      <c r="I12" s="767"/>
      <c r="J12" s="767"/>
      <c r="K12" s="767"/>
      <c r="L12" s="767"/>
      <c r="M12" s="767"/>
      <c r="N12" s="767"/>
      <c r="O12" s="767"/>
      <c r="P12" s="767"/>
    </row>
    <row r="13" spans="1:16" ht="15" customHeight="1" x14ac:dyDescent="0.25"/>
    <row r="14" spans="1:16" ht="15" customHeight="1" x14ac:dyDescent="0.25">
      <c r="A14" s="767" t="s">
        <v>323</v>
      </c>
      <c r="B14" s="767"/>
      <c r="C14" s="767"/>
      <c r="D14" s="767"/>
      <c r="E14" s="767"/>
      <c r="F14" s="767"/>
      <c r="G14" s="767"/>
      <c r="H14" s="767"/>
      <c r="I14" s="767"/>
      <c r="J14" s="767"/>
      <c r="K14" s="767"/>
      <c r="L14" s="767"/>
      <c r="M14" s="767"/>
      <c r="N14" s="767"/>
      <c r="O14" s="767"/>
      <c r="P14" s="767"/>
    </row>
    <row r="15" spans="1:16" ht="15" customHeight="1" x14ac:dyDescent="0.25"/>
    <row r="16" spans="1:16" ht="122.45" customHeight="1" x14ac:dyDescent="0.25">
      <c r="A16" s="172" t="s">
        <v>97</v>
      </c>
      <c r="B16" s="776" t="s">
        <v>111</v>
      </c>
      <c r="C16" s="776"/>
      <c r="D16" s="776"/>
      <c r="E16" s="776"/>
      <c r="F16" s="776"/>
      <c r="G16" s="776" t="s">
        <v>155</v>
      </c>
      <c r="H16" s="776"/>
      <c r="I16" s="776"/>
      <c r="J16" s="776" t="s">
        <v>156</v>
      </c>
      <c r="K16" s="776"/>
      <c r="L16" s="776"/>
      <c r="M16" s="776" t="s">
        <v>368</v>
      </c>
      <c r="N16" s="776"/>
      <c r="O16" s="776" t="s">
        <v>498</v>
      </c>
      <c r="P16" s="776"/>
    </row>
    <row r="17" spans="1:16" ht="15" customHeight="1" x14ac:dyDescent="0.25">
      <c r="A17" s="172">
        <v>1</v>
      </c>
      <c r="B17" s="776">
        <v>2</v>
      </c>
      <c r="C17" s="776"/>
      <c r="D17" s="776"/>
      <c r="E17" s="776"/>
      <c r="F17" s="776"/>
      <c r="G17" s="776">
        <v>3</v>
      </c>
      <c r="H17" s="776"/>
      <c r="I17" s="776"/>
      <c r="J17" s="776">
        <v>4</v>
      </c>
      <c r="K17" s="776"/>
      <c r="L17" s="776"/>
      <c r="M17" s="776">
        <v>5</v>
      </c>
      <c r="N17" s="776"/>
      <c r="O17" s="776">
        <v>6</v>
      </c>
      <c r="P17" s="776"/>
    </row>
    <row r="18" spans="1:16" ht="15" customHeight="1" x14ac:dyDescent="0.25">
      <c r="A18" s="171"/>
      <c r="B18" s="764" t="s">
        <v>369</v>
      </c>
      <c r="C18" s="764"/>
      <c r="D18" s="764"/>
      <c r="E18" s="764"/>
      <c r="F18" s="764"/>
      <c r="G18" s="764"/>
      <c r="H18" s="764"/>
      <c r="I18" s="764"/>
      <c r="J18" s="764"/>
      <c r="K18" s="764"/>
      <c r="L18" s="764"/>
      <c r="M18" s="764"/>
      <c r="N18" s="764"/>
      <c r="O18" s="764"/>
      <c r="P18" s="764"/>
    </row>
    <row r="19" spans="1:16" ht="81.599999999999994" customHeight="1" x14ac:dyDescent="0.25">
      <c r="A19" s="219" t="s">
        <v>6</v>
      </c>
      <c r="B19" s="771" t="s">
        <v>525</v>
      </c>
      <c r="C19" s="772"/>
      <c r="D19" s="772"/>
      <c r="E19" s="772"/>
      <c r="F19" s="772"/>
      <c r="G19" s="772" t="s">
        <v>663</v>
      </c>
      <c r="H19" s="772"/>
      <c r="I19" s="772"/>
      <c r="J19" s="772" t="s">
        <v>664</v>
      </c>
      <c r="K19" s="772"/>
      <c r="L19" s="772"/>
      <c r="M19" s="773">
        <f>ROUND(35837 * 3 * 1.25 * 0.5, 2)</f>
        <v>67194.38</v>
      </c>
      <c r="N19" s="772"/>
      <c r="O19" s="772" t="s">
        <v>129</v>
      </c>
      <c r="P19" s="772"/>
    </row>
    <row r="20" spans="1:16" ht="15" customHeight="1" x14ac:dyDescent="0.25">
      <c r="A20" s="169"/>
      <c r="B20" s="774" t="s">
        <v>306</v>
      </c>
      <c r="C20" s="774"/>
      <c r="D20" s="774"/>
      <c r="E20" s="774"/>
      <c r="F20" s="774"/>
      <c r="G20" s="774" t="s">
        <v>129</v>
      </c>
      <c r="H20" s="774"/>
      <c r="I20" s="774"/>
      <c r="J20" s="774" t="s">
        <v>129</v>
      </c>
      <c r="K20" s="774"/>
      <c r="L20" s="774"/>
      <c r="M20" s="774"/>
      <c r="N20" s="774"/>
      <c r="O20" s="774"/>
      <c r="P20" s="774"/>
    </row>
    <row r="21" spans="1:16" ht="190.35" customHeight="1" x14ac:dyDescent="0.25">
      <c r="A21" s="170"/>
      <c r="B21" s="775" t="s">
        <v>526</v>
      </c>
      <c r="C21" s="775"/>
      <c r="D21" s="775"/>
      <c r="E21" s="775"/>
      <c r="F21" s="775"/>
      <c r="G21" s="775" t="s">
        <v>527</v>
      </c>
      <c r="H21" s="775"/>
      <c r="I21" s="775"/>
      <c r="J21" s="775" t="s">
        <v>129</v>
      </c>
      <c r="K21" s="775"/>
      <c r="L21" s="775"/>
      <c r="M21" s="775"/>
      <c r="N21" s="775"/>
      <c r="O21" s="775"/>
      <c r="P21" s="775"/>
    </row>
    <row r="22" spans="1:16" ht="68.099999999999994" customHeight="1" x14ac:dyDescent="0.25">
      <c r="A22" s="219" t="s">
        <v>7</v>
      </c>
      <c r="B22" s="771" t="s">
        <v>528</v>
      </c>
      <c r="C22" s="772"/>
      <c r="D22" s="772"/>
      <c r="E22" s="772"/>
      <c r="F22" s="772"/>
      <c r="G22" s="772" t="s">
        <v>665</v>
      </c>
      <c r="H22" s="772"/>
      <c r="I22" s="772"/>
      <c r="J22" s="772" t="s">
        <v>666</v>
      </c>
      <c r="K22" s="772"/>
      <c r="L22" s="772"/>
      <c r="M22" s="773">
        <f>ROUND(26188 * 3 * 1.25, 2)</f>
        <v>98205</v>
      </c>
      <c r="N22" s="772"/>
      <c r="O22" s="772" t="s">
        <v>129</v>
      </c>
      <c r="P22" s="772"/>
    </row>
    <row r="23" spans="1:16" ht="122.45" customHeight="1" x14ac:dyDescent="0.25">
      <c r="A23" s="219" t="s">
        <v>38</v>
      </c>
      <c r="B23" s="771" t="s">
        <v>529</v>
      </c>
      <c r="C23" s="772"/>
      <c r="D23" s="772"/>
      <c r="E23" s="772"/>
      <c r="F23" s="772"/>
      <c r="G23" s="772" t="s">
        <v>667</v>
      </c>
      <c r="H23" s="772"/>
      <c r="I23" s="772"/>
      <c r="J23" s="772" t="s">
        <v>668</v>
      </c>
      <c r="K23" s="772"/>
      <c r="L23" s="772"/>
      <c r="M23" s="773">
        <f>ROUND(17656 * 7.5 * 1.25, 2)</f>
        <v>165525</v>
      </c>
      <c r="N23" s="772"/>
      <c r="O23" s="772" t="s">
        <v>539</v>
      </c>
      <c r="P23" s="772"/>
    </row>
    <row r="24" spans="1:16" ht="408" customHeight="1" x14ac:dyDescent="0.25">
      <c r="A24" s="219" t="s">
        <v>40</v>
      </c>
      <c r="B24" s="771" t="s">
        <v>530</v>
      </c>
      <c r="C24" s="772"/>
      <c r="D24" s="772"/>
      <c r="E24" s="772"/>
      <c r="F24" s="772"/>
      <c r="G24" s="772" t="s">
        <v>669</v>
      </c>
      <c r="H24" s="772"/>
      <c r="I24" s="772"/>
      <c r="J24" s="772" t="s">
        <v>670</v>
      </c>
      <c r="K24" s="772"/>
      <c r="L24" s="772"/>
      <c r="M24" s="773">
        <f>ROUND(24772 * 7.5 * 1.25, 2)</f>
        <v>232237.5</v>
      </c>
      <c r="N24" s="772"/>
      <c r="O24" s="772" t="s">
        <v>310</v>
      </c>
      <c r="P24" s="772"/>
    </row>
    <row r="25" spans="1:16" ht="95.25" customHeight="1" x14ac:dyDescent="0.25">
      <c r="A25" s="219" t="s">
        <v>42</v>
      </c>
      <c r="B25" s="771" t="s">
        <v>531</v>
      </c>
      <c r="C25" s="772"/>
      <c r="D25" s="772"/>
      <c r="E25" s="772"/>
      <c r="F25" s="772"/>
      <c r="G25" s="772" t="s">
        <v>671</v>
      </c>
      <c r="H25" s="772"/>
      <c r="I25" s="772"/>
      <c r="J25" s="772" t="s">
        <v>672</v>
      </c>
      <c r="K25" s="772"/>
      <c r="L25" s="772"/>
      <c r="M25" s="773">
        <f>ROUND(4882 * 46 * 1.25, 2)</f>
        <v>280715</v>
      </c>
      <c r="N25" s="772"/>
      <c r="O25" s="772" t="s">
        <v>129</v>
      </c>
      <c r="P25" s="772"/>
    </row>
    <row r="26" spans="1:16" ht="15" customHeight="1" x14ac:dyDescent="0.25">
      <c r="A26" s="171"/>
      <c r="B26" s="764" t="s">
        <v>377</v>
      </c>
      <c r="C26" s="764"/>
      <c r="D26" s="764"/>
      <c r="E26" s="764"/>
      <c r="F26" s="764"/>
      <c r="G26" s="764"/>
      <c r="H26" s="764"/>
      <c r="I26" s="764"/>
      <c r="J26" s="764" t="s">
        <v>129</v>
      </c>
      <c r="K26" s="764"/>
      <c r="L26" s="764"/>
      <c r="M26" s="765">
        <f>ROUND(SUM($M$19:$M$25),2)</f>
        <v>843876.88</v>
      </c>
      <c r="N26" s="764"/>
      <c r="O26" s="764"/>
      <c r="P26" s="764"/>
    </row>
    <row r="27" spans="1:16" ht="15" customHeight="1" x14ac:dyDescent="0.25">
      <c r="A27" s="171"/>
      <c r="B27" s="764" t="s">
        <v>378</v>
      </c>
      <c r="C27" s="764"/>
      <c r="D27" s="764"/>
      <c r="E27" s="764"/>
      <c r="F27" s="764"/>
      <c r="G27" s="764"/>
      <c r="H27" s="764"/>
      <c r="I27" s="764"/>
      <c r="J27" s="764" t="s">
        <v>129</v>
      </c>
      <c r="K27" s="764"/>
      <c r="L27" s="764"/>
      <c r="M27" s="765">
        <f>ROUND(($M$26),2)</f>
        <v>843876.88</v>
      </c>
      <c r="N27" s="764"/>
      <c r="O27" s="764"/>
      <c r="P27" s="764"/>
    </row>
    <row r="28" spans="1:16" ht="15" customHeight="1" x14ac:dyDescent="0.25">
      <c r="A28" s="171"/>
      <c r="B28" s="764" t="s">
        <v>449</v>
      </c>
      <c r="C28" s="764"/>
      <c r="D28" s="764"/>
      <c r="E28" s="764"/>
      <c r="F28" s="764"/>
      <c r="G28" s="764"/>
      <c r="H28" s="764"/>
      <c r="I28" s="764"/>
      <c r="J28" s="764"/>
      <c r="K28" s="764"/>
      <c r="L28" s="764"/>
      <c r="M28" s="764"/>
      <c r="N28" s="764"/>
      <c r="O28" s="764"/>
      <c r="P28" s="764"/>
    </row>
    <row r="29" spans="1:16" ht="68.099999999999994" customHeight="1" x14ac:dyDescent="0.25">
      <c r="A29" s="219" t="s">
        <v>9</v>
      </c>
      <c r="B29" s="771" t="s">
        <v>532</v>
      </c>
      <c r="C29" s="772"/>
      <c r="D29" s="772"/>
      <c r="E29" s="772"/>
      <c r="F29" s="772"/>
      <c r="G29" s="772" t="s">
        <v>673</v>
      </c>
      <c r="H29" s="772"/>
      <c r="I29" s="772"/>
      <c r="J29" s="772" t="s">
        <v>674</v>
      </c>
      <c r="K29" s="772"/>
      <c r="L29" s="772"/>
      <c r="M29" s="773">
        <f>ROUND(1714 * 3 * 1.25, 2)</f>
        <v>6427.5</v>
      </c>
      <c r="N29" s="772"/>
      <c r="O29" s="772" t="s">
        <v>129</v>
      </c>
      <c r="P29" s="772"/>
    </row>
    <row r="30" spans="1:16" ht="409.6" customHeight="1" x14ac:dyDescent="0.25">
      <c r="A30" s="219" t="s">
        <v>10</v>
      </c>
      <c r="B30" s="771" t="s">
        <v>675</v>
      </c>
      <c r="C30" s="772"/>
      <c r="D30" s="772"/>
      <c r="E30" s="772"/>
      <c r="F30" s="772"/>
      <c r="G30" s="772" t="s">
        <v>676</v>
      </c>
      <c r="H30" s="772"/>
      <c r="I30" s="772"/>
      <c r="J30" s="772" t="s">
        <v>677</v>
      </c>
      <c r="K30" s="772"/>
      <c r="L30" s="772"/>
      <c r="M30" s="773">
        <f>ROUND((1392 + 2331 * 7.5) * 1 * 1.25, 2)</f>
        <v>23593.13</v>
      </c>
      <c r="N30" s="772"/>
      <c r="O30" s="772" t="s">
        <v>311</v>
      </c>
      <c r="P30" s="772"/>
    </row>
    <row r="31" spans="1:16" ht="135.94999999999999" customHeight="1" x14ac:dyDescent="0.25">
      <c r="A31" s="219" t="s">
        <v>11</v>
      </c>
      <c r="B31" s="771" t="s">
        <v>678</v>
      </c>
      <c r="C31" s="772"/>
      <c r="D31" s="772"/>
      <c r="E31" s="772"/>
      <c r="F31" s="772"/>
      <c r="G31" s="772" t="s">
        <v>679</v>
      </c>
      <c r="H31" s="772"/>
      <c r="I31" s="772"/>
      <c r="J31" s="772" t="s">
        <v>680</v>
      </c>
      <c r="K31" s="772"/>
      <c r="L31" s="772"/>
      <c r="M31" s="773">
        <f>ROUND((643 + 1018 * 7.5) * 1 * 1.25, 2)</f>
        <v>10347.5</v>
      </c>
      <c r="N31" s="772"/>
      <c r="O31" s="772" t="s">
        <v>312</v>
      </c>
      <c r="P31" s="772"/>
    </row>
    <row r="32" spans="1:16" ht="149.65" customHeight="1" x14ac:dyDescent="0.25">
      <c r="A32" s="219" t="s">
        <v>159</v>
      </c>
      <c r="B32" s="771" t="s">
        <v>533</v>
      </c>
      <c r="C32" s="772"/>
      <c r="D32" s="772"/>
      <c r="E32" s="772"/>
      <c r="F32" s="772"/>
      <c r="G32" s="772" t="s">
        <v>681</v>
      </c>
      <c r="H32" s="772"/>
      <c r="I32" s="772"/>
      <c r="J32" s="772" t="s">
        <v>682</v>
      </c>
      <c r="K32" s="772"/>
      <c r="L32" s="772"/>
      <c r="M32" s="773">
        <f>ROUND(804 * 5.2 * 1.25, 2)</f>
        <v>5226</v>
      </c>
      <c r="N32" s="772"/>
      <c r="O32" s="772" t="s">
        <v>313</v>
      </c>
      <c r="P32" s="772"/>
    </row>
    <row r="33" spans="1:16" ht="95.25" customHeight="1" x14ac:dyDescent="0.25">
      <c r="A33" s="219" t="s">
        <v>160</v>
      </c>
      <c r="B33" s="771" t="s">
        <v>534</v>
      </c>
      <c r="C33" s="772"/>
      <c r="D33" s="772"/>
      <c r="E33" s="772"/>
      <c r="F33" s="772"/>
      <c r="G33" s="772" t="s">
        <v>540</v>
      </c>
      <c r="H33" s="772"/>
      <c r="I33" s="772"/>
      <c r="J33" s="772" t="s">
        <v>535</v>
      </c>
      <c r="K33" s="772"/>
      <c r="L33" s="772"/>
      <c r="M33" s="773">
        <f>ROUND(21451 * 4 * 1.25, 2)</f>
        <v>107255</v>
      </c>
      <c r="N33" s="772"/>
      <c r="O33" s="772" t="s">
        <v>129</v>
      </c>
      <c r="P33" s="772"/>
    </row>
    <row r="34" spans="1:16" ht="15" customHeight="1" x14ac:dyDescent="0.25">
      <c r="A34" s="171"/>
      <c r="B34" s="764" t="s">
        <v>403</v>
      </c>
      <c r="C34" s="764"/>
      <c r="D34" s="764"/>
      <c r="E34" s="764"/>
      <c r="F34" s="764"/>
      <c r="G34" s="764"/>
      <c r="H34" s="764"/>
      <c r="I34" s="764"/>
      <c r="J34" s="764" t="s">
        <v>129</v>
      </c>
      <c r="K34" s="764"/>
      <c r="L34" s="764"/>
      <c r="M34" s="765">
        <f>ROUND(SUM($M$29:$M$33),2)</f>
        <v>152849.13</v>
      </c>
      <c r="N34" s="764"/>
      <c r="O34" s="764"/>
      <c r="P34" s="764"/>
    </row>
    <row r="35" spans="1:16" ht="15" customHeight="1" x14ac:dyDescent="0.25">
      <c r="A35" s="171"/>
      <c r="B35" s="764" t="s">
        <v>404</v>
      </c>
      <c r="C35" s="764"/>
      <c r="D35" s="764"/>
      <c r="E35" s="764"/>
      <c r="F35" s="764"/>
      <c r="G35" s="764"/>
      <c r="H35" s="764"/>
      <c r="I35" s="764"/>
      <c r="J35" s="764" t="s">
        <v>129</v>
      </c>
      <c r="K35" s="764"/>
      <c r="L35" s="764"/>
      <c r="M35" s="765">
        <f>ROUND(($M$34),2)</f>
        <v>152849.13</v>
      </c>
      <c r="N35" s="764"/>
      <c r="O35" s="764"/>
      <c r="P35" s="764"/>
    </row>
    <row r="36" spans="1:16" ht="27.2" customHeight="1" x14ac:dyDescent="0.25">
      <c r="A36" s="171"/>
      <c r="B36" s="764" t="s">
        <v>450</v>
      </c>
      <c r="C36" s="764"/>
      <c r="D36" s="764"/>
      <c r="E36" s="764"/>
      <c r="F36" s="764"/>
      <c r="G36" s="764"/>
      <c r="H36" s="764"/>
      <c r="I36" s="764"/>
      <c r="J36" s="764"/>
      <c r="K36" s="764"/>
      <c r="L36" s="764"/>
      <c r="M36" s="764"/>
      <c r="N36" s="764"/>
      <c r="O36" s="764"/>
      <c r="P36" s="764"/>
    </row>
    <row r="37" spans="1:16" ht="231.2" customHeight="1" x14ac:dyDescent="0.25">
      <c r="A37" s="219" t="s">
        <v>17</v>
      </c>
      <c r="B37" s="771" t="s">
        <v>536</v>
      </c>
      <c r="C37" s="772"/>
      <c r="D37" s="772"/>
      <c r="E37" s="772"/>
      <c r="F37" s="772"/>
      <c r="G37" s="772" t="s">
        <v>683</v>
      </c>
      <c r="H37" s="772"/>
      <c r="I37" s="772"/>
      <c r="J37" s="772" t="s">
        <v>684</v>
      </c>
      <c r="K37" s="772"/>
      <c r="L37" s="772"/>
      <c r="M37" s="773">
        <f>ROUND((675.1015 * ((10.4 + (8 - 10.4) / (1000 - 500) * (675.1015 - 500)) / 100) * 1 * 1.25) * 1000, 2)</f>
        <v>80670.52</v>
      </c>
      <c r="N37" s="772"/>
      <c r="O37" s="772" t="s">
        <v>541</v>
      </c>
      <c r="P37" s="772"/>
    </row>
    <row r="38" spans="1:16" ht="122.45" customHeight="1" x14ac:dyDescent="0.25">
      <c r="A38" s="219" t="s">
        <v>93</v>
      </c>
      <c r="B38" s="771" t="s">
        <v>537</v>
      </c>
      <c r="C38" s="772"/>
      <c r="D38" s="772"/>
      <c r="E38" s="772"/>
      <c r="F38" s="772"/>
      <c r="G38" s="772" t="s">
        <v>685</v>
      </c>
      <c r="H38" s="772"/>
      <c r="I38" s="772"/>
      <c r="J38" s="772" t="s">
        <v>686</v>
      </c>
      <c r="K38" s="772"/>
      <c r="L38" s="772"/>
      <c r="M38" s="773">
        <f>ROUND((675.1015 * ((15.3 + (7.7 - 15.3) / (1000 - 500) * (675.1015 - 500)) / 100) * 1 * 1.25) * 1000, 2)</f>
        <v>106653.02</v>
      </c>
      <c r="N38" s="772"/>
      <c r="O38" s="772" t="s">
        <v>542</v>
      </c>
      <c r="P38" s="772"/>
    </row>
    <row r="39" spans="1:16" ht="135.94999999999999" customHeight="1" x14ac:dyDescent="0.25">
      <c r="A39" s="219" t="s">
        <v>94</v>
      </c>
      <c r="B39" s="771" t="s">
        <v>314</v>
      </c>
      <c r="C39" s="772"/>
      <c r="D39" s="772"/>
      <c r="E39" s="772"/>
      <c r="F39" s="772"/>
      <c r="G39" s="772" t="s">
        <v>687</v>
      </c>
      <c r="H39" s="772"/>
      <c r="I39" s="772"/>
      <c r="J39" s="772" t="s">
        <v>688</v>
      </c>
      <c r="K39" s="772"/>
      <c r="L39" s="772"/>
      <c r="M39" s="773">
        <v>35023.769999999997</v>
      </c>
      <c r="N39" s="772"/>
      <c r="O39" s="772" t="s">
        <v>543</v>
      </c>
      <c r="P39" s="772"/>
    </row>
    <row r="40" spans="1:16" ht="135.94999999999999" customHeight="1" x14ac:dyDescent="0.25">
      <c r="A40" s="219" t="s">
        <v>95</v>
      </c>
      <c r="B40" s="771" t="s">
        <v>315</v>
      </c>
      <c r="C40" s="772"/>
      <c r="D40" s="772"/>
      <c r="E40" s="772"/>
      <c r="F40" s="772"/>
      <c r="G40" s="772" t="s">
        <v>689</v>
      </c>
      <c r="H40" s="772"/>
      <c r="I40" s="772"/>
      <c r="J40" s="772" t="s">
        <v>690</v>
      </c>
      <c r="K40" s="772"/>
      <c r="L40" s="772"/>
      <c r="M40" s="773">
        <v>76252.490000000005</v>
      </c>
      <c r="N40" s="772"/>
      <c r="O40" s="772" t="s">
        <v>316</v>
      </c>
      <c r="P40" s="772"/>
    </row>
    <row r="41" spans="1:16" ht="27.2" customHeight="1" x14ac:dyDescent="0.25">
      <c r="A41" s="171"/>
      <c r="B41" s="764" t="s">
        <v>413</v>
      </c>
      <c r="C41" s="764"/>
      <c r="D41" s="764"/>
      <c r="E41" s="764"/>
      <c r="F41" s="764"/>
      <c r="G41" s="764"/>
      <c r="H41" s="764"/>
      <c r="I41" s="764"/>
      <c r="J41" s="764" t="s">
        <v>129</v>
      </c>
      <c r="K41" s="764"/>
      <c r="L41" s="764"/>
      <c r="M41" s="765">
        <f>ROUND(SUM($M$37:$M$40),2)</f>
        <v>298599.8</v>
      </c>
      <c r="N41" s="764"/>
      <c r="O41" s="764"/>
      <c r="P41" s="764"/>
    </row>
    <row r="42" spans="1:16" ht="27.2" customHeight="1" x14ac:dyDescent="0.25">
      <c r="A42" s="171"/>
      <c r="B42" s="764" t="s">
        <v>414</v>
      </c>
      <c r="C42" s="764"/>
      <c r="D42" s="764"/>
      <c r="E42" s="764"/>
      <c r="F42" s="764"/>
      <c r="G42" s="764"/>
      <c r="H42" s="764"/>
      <c r="I42" s="764"/>
      <c r="J42" s="764" t="s">
        <v>129</v>
      </c>
      <c r="K42" s="764"/>
      <c r="L42" s="764"/>
      <c r="M42" s="765">
        <f>ROUND(($M$41),2)</f>
        <v>298599.8</v>
      </c>
      <c r="N42" s="764"/>
      <c r="O42" s="764"/>
      <c r="P42" s="764"/>
    </row>
    <row r="43" spans="1:16" ht="15" customHeight="1" x14ac:dyDescent="0.25">
      <c r="A43" s="171" t="s">
        <v>12</v>
      </c>
      <c r="B43" s="764" t="s">
        <v>362</v>
      </c>
      <c r="C43" s="764"/>
      <c r="D43" s="764"/>
      <c r="E43" s="764"/>
      <c r="F43" s="764"/>
      <c r="G43" s="764"/>
      <c r="H43" s="764"/>
      <c r="I43" s="764"/>
      <c r="J43" s="764" t="s">
        <v>129</v>
      </c>
      <c r="K43" s="764"/>
      <c r="L43" s="764"/>
      <c r="M43" s="765">
        <f>ROUND($M$27+$M$35+$M$42,2)</f>
        <v>1295325.81</v>
      </c>
      <c r="N43" s="764"/>
      <c r="O43" s="764"/>
      <c r="P43" s="764"/>
    </row>
    <row r="44" spans="1:16" ht="15" customHeight="1" x14ac:dyDescent="0.25">
      <c r="A44" s="171" t="s">
        <v>13</v>
      </c>
      <c r="B44" s="764" t="s">
        <v>363</v>
      </c>
      <c r="C44" s="764"/>
      <c r="D44" s="764"/>
      <c r="E44" s="764"/>
      <c r="F44" s="764"/>
      <c r="G44" s="764"/>
      <c r="H44" s="764"/>
      <c r="I44" s="764"/>
      <c r="J44" s="764" t="s">
        <v>129</v>
      </c>
      <c r="K44" s="764"/>
      <c r="L44" s="764"/>
      <c r="M44" s="765">
        <f>ROUND(($M$43),2)</f>
        <v>1295325.81</v>
      </c>
      <c r="N44" s="764"/>
      <c r="O44" s="764"/>
      <c r="P44" s="764"/>
    </row>
    <row r="45" spans="1:16" ht="15" customHeight="1" x14ac:dyDescent="0.25"/>
    <row r="46" spans="1:16" ht="30" customHeight="1" x14ac:dyDescent="0.25">
      <c r="A46" s="767" t="s">
        <v>364</v>
      </c>
      <c r="B46" s="767"/>
      <c r="C46" s="767"/>
      <c r="D46" s="767"/>
      <c r="E46" s="767"/>
      <c r="F46" s="768">
        <f>$M$44</f>
        <v>1295325.81</v>
      </c>
      <c r="G46" s="768"/>
      <c r="H46" s="768"/>
      <c r="I46" s="768"/>
      <c r="J46" s="768"/>
      <c r="K46" s="768"/>
      <c r="L46" s="768"/>
      <c r="M46" s="768"/>
      <c r="N46" s="768"/>
      <c r="O46" s="768"/>
      <c r="P46" s="768"/>
    </row>
    <row r="47" spans="1:16" ht="15" customHeight="1" x14ac:dyDescent="0.25"/>
    <row r="48" spans="1:16" ht="15" customHeight="1" x14ac:dyDescent="0.25">
      <c r="A48" s="767" t="s">
        <v>317</v>
      </c>
      <c r="B48" s="767"/>
      <c r="C48" s="767"/>
      <c r="D48" s="769"/>
      <c r="E48" s="769"/>
      <c r="F48" s="769"/>
      <c r="G48" s="769"/>
      <c r="H48" s="769"/>
      <c r="I48" s="769"/>
      <c r="J48" s="769"/>
      <c r="K48" s="769"/>
      <c r="L48" s="769"/>
      <c r="M48" s="769"/>
      <c r="N48" s="769"/>
      <c r="O48" s="769"/>
      <c r="P48" s="769"/>
    </row>
    <row r="49" spans="1:16" ht="15" customHeight="1" x14ac:dyDescent="0.25">
      <c r="D49" s="766" t="s">
        <v>421</v>
      </c>
      <c r="E49" s="766"/>
      <c r="F49" s="766"/>
      <c r="G49" s="766"/>
      <c r="H49" s="766"/>
      <c r="I49" s="766"/>
      <c r="J49" s="766"/>
      <c r="K49" s="766"/>
      <c r="L49" s="766"/>
      <c r="M49" s="766"/>
      <c r="N49" s="766"/>
      <c r="O49" s="766"/>
      <c r="P49" s="766"/>
    </row>
    <row r="50" spans="1:16" ht="15" customHeight="1" x14ac:dyDescent="0.25"/>
    <row r="51" spans="1:16" x14ac:dyDescent="0.25">
      <c r="A51" s="770" t="s">
        <v>318</v>
      </c>
      <c r="B51" s="770"/>
      <c r="C51" s="770"/>
      <c r="D51" s="769"/>
      <c r="E51" s="769"/>
      <c r="F51" s="769"/>
      <c r="G51" s="769"/>
      <c r="H51" s="769"/>
      <c r="I51" s="769"/>
      <c r="J51" s="769"/>
      <c r="K51" s="769"/>
      <c r="L51" s="769"/>
      <c r="M51" s="769"/>
      <c r="N51" s="769"/>
      <c r="O51" s="769"/>
      <c r="P51" s="769"/>
    </row>
    <row r="52" spans="1:16" x14ac:dyDescent="0.25">
      <c r="D52" s="766" t="s">
        <v>421</v>
      </c>
      <c r="E52" s="766"/>
      <c r="F52" s="766"/>
      <c r="G52" s="766"/>
      <c r="H52" s="766"/>
      <c r="I52" s="766"/>
      <c r="J52" s="766"/>
      <c r="K52" s="766"/>
      <c r="L52" s="766"/>
      <c r="M52" s="766"/>
      <c r="N52" s="766"/>
      <c r="O52" s="766"/>
      <c r="P52" s="766"/>
    </row>
  </sheetData>
  <mergeCells count="163">
    <mergeCell ref="A1:D1"/>
    <mergeCell ref="E1:P1"/>
    <mergeCell ref="A3:P3"/>
    <mergeCell ref="A4:P4"/>
    <mergeCell ref="A6:P6"/>
    <mergeCell ref="A7:P7"/>
    <mergeCell ref="A9:P9"/>
    <mergeCell ref="A10:P10"/>
    <mergeCell ref="A12:P12"/>
    <mergeCell ref="A14:P14"/>
    <mergeCell ref="B16:F16"/>
    <mergeCell ref="G16:I16"/>
    <mergeCell ref="J16:L16"/>
    <mergeCell ref="M16:N16"/>
    <mergeCell ref="O16:P16"/>
    <mergeCell ref="B17:F17"/>
    <mergeCell ref="G17:I17"/>
    <mergeCell ref="J17:L17"/>
    <mergeCell ref="M17:N17"/>
    <mergeCell ref="O17:P17"/>
    <mergeCell ref="B18:F18"/>
    <mergeCell ref="G18:I18"/>
    <mergeCell ref="J18:L18"/>
    <mergeCell ref="M18:N18"/>
    <mergeCell ref="O18:P18"/>
    <mergeCell ref="B19:F19"/>
    <mergeCell ref="G19:I19"/>
    <mergeCell ref="J19:L19"/>
    <mergeCell ref="M19:N19"/>
    <mergeCell ref="O19:P19"/>
    <mergeCell ref="B20:F20"/>
    <mergeCell ref="G20:I20"/>
    <mergeCell ref="J20:L20"/>
    <mergeCell ref="M20:N20"/>
    <mergeCell ref="O20:P20"/>
    <mergeCell ref="B21:F21"/>
    <mergeCell ref="G21:I21"/>
    <mergeCell ref="J21:L21"/>
    <mergeCell ref="M21:N21"/>
    <mergeCell ref="O21:P21"/>
    <mergeCell ref="B22:F22"/>
    <mergeCell ref="G22:I22"/>
    <mergeCell ref="J22:L22"/>
    <mergeCell ref="M22:N22"/>
    <mergeCell ref="O22:P22"/>
    <mergeCell ref="B23:F23"/>
    <mergeCell ref="G23:I23"/>
    <mergeCell ref="J23:L23"/>
    <mergeCell ref="M23:N23"/>
    <mergeCell ref="O23:P23"/>
    <mergeCell ref="B24:F24"/>
    <mergeCell ref="G24:I24"/>
    <mergeCell ref="J24:L24"/>
    <mergeCell ref="M24:N24"/>
    <mergeCell ref="O24:P24"/>
    <mergeCell ref="B25:F25"/>
    <mergeCell ref="G25:I25"/>
    <mergeCell ref="J25:L25"/>
    <mergeCell ref="M25:N25"/>
    <mergeCell ref="O25:P25"/>
    <mergeCell ref="B26:F26"/>
    <mergeCell ref="G26:I26"/>
    <mergeCell ref="J26:L26"/>
    <mergeCell ref="M26:N26"/>
    <mergeCell ref="O26:P26"/>
    <mergeCell ref="B27:F27"/>
    <mergeCell ref="G27:I27"/>
    <mergeCell ref="J27:L27"/>
    <mergeCell ref="M27:N27"/>
    <mergeCell ref="O27:P27"/>
    <mergeCell ref="B28:F28"/>
    <mergeCell ref="G28:I28"/>
    <mergeCell ref="J28:L28"/>
    <mergeCell ref="M28:N28"/>
    <mergeCell ref="O28:P28"/>
    <mergeCell ref="B29:F29"/>
    <mergeCell ref="G29:I29"/>
    <mergeCell ref="J29:L29"/>
    <mergeCell ref="M29:N29"/>
    <mergeCell ref="O29:P29"/>
    <mergeCell ref="B30:F30"/>
    <mergeCell ref="G30:I30"/>
    <mergeCell ref="J30:L30"/>
    <mergeCell ref="M30:N30"/>
    <mergeCell ref="O30:P30"/>
    <mergeCell ref="B31:F31"/>
    <mergeCell ref="G31:I31"/>
    <mergeCell ref="J31:L31"/>
    <mergeCell ref="M31:N31"/>
    <mergeCell ref="O31:P31"/>
    <mergeCell ref="B32:F32"/>
    <mergeCell ref="G32:I32"/>
    <mergeCell ref="J32:L32"/>
    <mergeCell ref="M32:N32"/>
    <mergeCell ref="O32:P32"/>
    <mergeCell ref="B33:F33"/>
    <mergeCell ref="G33:I33"/>
    <mergeCell ref="J33:L33"/>
    <mergeCell ref="M33:N33"/>
    <mergeCell ref="O33:P33"/>
    <mergeCell ref="B34:F34"/>
    <mergeCell ref="G34:I34"/>
    <mergeCell ref="J34:L34"/>
    <mergeCell ref="M34:N34"/>
    <mergeCell ref="O34:P34"/>
    <mergeCell ref="B35:F35"/>
    <mergeCell ref="G35:I35"/>
    <mergeCell ref="J35:L35"/>
    <mergeCell ref="M35:N35"/>
    <mergeCell ref="O35:P35"/>
    <mergeCell ref="B36:F36"/>
    <mergeCell ref="G36:I36"/>
    <mergeCell ref="J36:L36"/>
    <mergeCell ref="M36:N36"/>
    <mergeCell ref="O36:P36"/>
    <mergeCell ref="B37:F37"/>
    <mergeCell ref="G37:I37"/>
    <mergeCell ref="J37:L37"/>
    <mergeCell ref="M37:N37"/>
    <mergeCell ref="O37:P37"/>
    <mergeCell ref="B38:F38"/>
    <mergeCell ref="G38:I38"/>
    <mergeCell ref="J38:L38"/>
    <mergeCell ref="M38:N38"/>
    <mergeCell ref="O38:P38"/>
    <mergeCell ref="B39:F39"/>
    <mergeCell ref="G39:I39"/>
    <mergeCell ref="J39:L39"/>
    <mergeCell ref="M39:N39"/>
    <mergeCell ref="O39:P39"/>
    <mergeCell ref="B40:F40"/>
    <mergeCell ref="G40:I40"/>
    <mergeCell ref="J40:L40"/>
    <mergeCell ref="M40:N40"/>
    <mergeCell ref="O40:P40"/>
    <mergeCell ref="B41:F41"/>
    <mergeCell ref="G41:I41"/>
    <mergeCell ref="J41:L41"/>
    <mergeCell ref="M41:N41"/>
    <mergeCell ref="O41:P41"/>
    <mergeCell ref="B42:F42"/>
    <mergeCell ref="G42:I42"/>
    <mergeCell ref="J42:L42"/>
    <mergeCell ref="M42:N42"/>
    <mergeCell ref="O42:P42"/>
    <mergeCell ref="D52:P52"/>
    <mergeCell ref="A46:E46"/>
    <mergeCell ref="F46:P46"/>
    <mergeCell ref="A48:C48"/>
    <mergeCell ref="D48:P48"/>
    <mergeCell ref="D49:P49"/>
    <mergeCell ref="A51:C51"/>
    <mergeCell ref="D51:P51"/>
    <mergeCell ref="B43:F43"/>
    <mergeCell ref="G43:I43"/>
    <mergeCell ref="J43:L43"/>
    <mergeCell ref="M43:N43"/>
    <mergeCell ref="O43:P43"/>
    <mergeCell ref="B44:F44"/>
    <mergeCell ref="G44:I44"/>
    <mergeCell ref="J44:L44"/>
    <mergeCell ref="M44:N44"/>
    <mergeCell ref="O44:P44"/>
  </mergeCells>
  <pageMargins left="0.4" right="0.4" top="0.75" bottom="0.75" header="0.3" footer="0.3"/>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231"/>
  <sheetViews>
    <sheetView showRuler="0" topLeftCell="A4" workbookViewId="0">
      <selection activeCell="O16" sqref="O16:P16"/>
    </sheetView>
  </sheetViews>
  <sheetFormatPr defaultRowHeight="15" x14ac:dyDescent="0.25"/>
  <cols>
    <col min="1" max="1" width="6.42578125" style="534" customWidth="1"/>
    <col min="2" max="50" width="8" style="534" customWidth="1"/>
    <col min="51" max="16384" width="9.140625" style="165"/>
  </cols>
  <sheetData>
    <row r="1" spans="1:16" ht="27.2" customHeight="1" x14ac:dyDescent="0.25">
      <c r="A1" s="777" t="s">
        <v>320</v>
      </c>
      <c r="B1" s="777"/>
      <c r="C1" s="777"/>
      <c r="D1" s="777"/>
      <c r="E1" s="778" t="s">
        <v>2108</v>
      </c>
      <c r="F1" s="778"/>
      <c r="G1" s="778"/>
      <c r="H1" s="778"/>
      <c r="I1" s="778"/>
      <c r="J1" s="778"/>
      <c r="K1" s="778"/>
      <c r="L1" s="778"/>
      <c r="M1" s="778"/>
      <c r="N1" s="778"/>
      <c r="O1" s="778"/>
      <c r="P1" s="778"/>
    </row>
    <row r="2" spans="1:16" ht="15" customHeight="1" x14ac:dyDescent="0.25"/>
    <row r="3" spans="1:16" ht="15" customHeight="1" x14ac:dyDescent="0.25">
      <c r="A3" s="770" t="s">
        <v>2107</v>
      </c>
      <c r="B3" s="770"/>
      <c r="C3" s="770"/>
      <c r="D3" s="770"/>
      <c r="E3" s="770"/>
      <c r="F3" s="770"/>
      <c r="G3" s="770"/>
      <c r="H3" s="770"/>
      <c r="I3" s="770"/>
      <c r="J3" s="770"/>
      <c r="K3" s="770"/>
      <c r="L3" s="770"/>
      <c r="M3" s="770"/>
      <c r="N3" s="770"/>
      <c r="O3" s="770"/>
      <c r="P3" s="770"/>
    </row>
    <row r="4" spans="1:16" ht="15" customHeight="1" x14ac:dyDescent="0.25">
      <c r="A4" s="779" t="s">
        <v>366</v>
      </c>
      <c r="B4" s="779"/>
      <c r="C4" s="779"/>
      <c r="D4" s="779"/>
      <c r="E4" s="779"/>
      <c r="F4" s="779"/>
      <c r="G4" s="779"/>
      <c r="H4" s="779"/>
      <c r="I4" s="779"/>
      <c r="J4" s="779"/>
      <c r="K4" s="779"/>
      <c r="L4" s="779"/>
      <c r="M4" s="779"/>
      <c r="N4" s="779"/>
      <c r="O4" s="779"/>
      <c r="P4" s="779"/>
    </row>
    <row r="5" spans="1:16" ht="15" customHeight="1" x14ac:dyDescent="0.25"/>
    <row r="6" spans="1:16" ht="15" customHeight="1" x14ac:dyDescent="0.25">
      <c r="A6" s="770" t="s">
        <v>630</v>
      </c>
      <c r="B6" s="770"/>
      <c r="C6" s="770"/>
      <c r="D6" s="770"/>
      <c r="E6" s="770"/>
      <c r="F6" s="770"/>
      <c r="G6" s="770"/>
      <c r="H6" s="770"/>
      <c r="I6" s="770"/>
      <c r="J6" s="770"/>
      <c r="K6" s="770"/>
      <c r="L6" s="770"/>
      <c r="M6" s="770"/>
      <c r="N6" s="770"/>
      <c r="O6" s="770"/>
      <c r="P6" s="770"/>
    </row>
    <row r="7" spans="1:16" ht="15" customHeight="1" x14ac:dyDescent="0.25">
      <c r="A7" s="766" t="s">
        <v>367</v>
      </c>
      <c r="B7" s="766"/>
      <c r="C7" s="766"/>
      <c r="D7" s="766"/>
      <c r="E7" s="766"/>
      <c r="F7" s="766"/>
      <c r="G7" s="766"/>
      <c r="H7" s="766"/>
      <c r="I7" s="766"/>
      <c r="J7" s="766"/>
      <c r="K7" s="766"/>
      <c r="L7" s="766"/>
      <c r="M7" s="766"/>
      <c r="N7" s="766"/>
      <c r="O7" s="766"/>
      <c r="P7" s="766"/>
    </row>
    <row r="8" spans="1:16" ht="15" customHeight="1" x14ac:dyDescent="0.25"/>
    <row r="9" spans="1:16" ht="36" customHeight="1" x14ac:dyDescent="0.25">
      <c r="A9" s="770" t="s">
        <v>584</v>
      </c>
      <c r="B9" s="770"/>
      <c r="C9" s="770"/>
      <c r="D9" s="770"/>
      <c r="E9" s="770"/>
      <c r="F9" s="770"/>
      <c r="G9" s="770"/>
      <c r="H9" s="770"/>
      <c r="I9" s="770"/>
      <c r="J9" s="770"/>
      <c r="K9" s="770"/>
      <c r="L9" s="770"/>
      <c r="M9" s="770"/>
      <c r="N9" s="770"/>
      <c r="O9" s="770"/>
      <c r="P9" s="770"/>
    </row>
    <row r="10" spans="1:16" ht="15" customHeight="1" x14ac:dyDescent="0.25">
      <c r="A10" s="766" t="s">
        <v>146</v>
      </c>
      <c r="B10" s="766"/>
      <c r="C10" s="766"/>
      <c r="D10" s="766"/>
      <c r="E10" s="766"/>
      <c r="F10" s="766"/>
      <c r="G10" s="766"/>
      <c r="H10" s="766"/>
      <c r="I10" s="766"/>
      <c r="J10" s="766"/>
      <c r="K10" s="766"/>
      <c r="L10" s="766"/>
      <c r="M10" s="766"/>
      <c r="N10" s="766"/>
      <c r="O10" s="766"/>
      <c r="P10" s="766"/>
    </row>
    <row r="11" spans="1:16" ht="15" customHeight="1" x14ac:dyDescent="0.25"/>
    <row r="12" spans="1:16" ht="15" customHeight="1" x14ac:dyDescent="0.25">
      <c r="A12" s="767" t="s">
        <v>631</v>
      </c>
      <c r="B12" s="767"/>
      <c r="C12" s="767"/>
      <c r="D12" s="767"/>
      <c r="E12" s="767"/>
      <c r="F12" s="767"/>
      <c r="G12" s="767"/>
      <c r="H12" s="767"/>
      <c r="I12" s="767"/>
      <c r="J12" s="767"/>
      <c r="K12" s="767"/>
      <c r="L12" s="767"/>
      <c r="M12" s="767"/>
      <c r="N12" s="767"/>
      <c r="O12" s="767"/>
      <c r="P12" s="767"/>
    </row>
    <row r="13" spans="1:16" ht="15" customHeight="1" x14ac:dyDescent="0.25"/>
    <row r="14" spans="1:16" ht="15" customHeight="1" x14ac:dyDescent="0.25">
      <c r="A14" s="767" t="s">
        <v>323</v>
      </c>
      <c r="B14" s="767"/>
      <c r="C14" s="767"/>
      <c r="D14" s="767"/>
      <c r="E14" s="767"/>
      <c r="F14" s="767"/>
      <c r="G14" s="767"/>
      <c r="H14" s="767"/>
      <c r="I14" s="767"/>
      <c r="J14" s="767"/>
      <c r="K14" s="767"/>
      <c r="L14" s="767"/>
      <c r="M14" s="767"/>
      <c r="N14" s="767"/>
      <c r="O14" s="767"/>
      <c r="P14" s="767"/>
    </row>
    <row r="15" spans="1:16" ht="15" customHeight="1" x14ac:dyDescent="0.25"/>
    <row r="16" spans="1:16" ht="122.45" customHeight="1" x14ac:dyDescent="0.25">
      <c r="A16" s="538" t="s">
        <v>97</v>
      </c>
      <c r="B16" s="784" t="s">
        <v>111</v>
      </c>
      <c r="C16" s="784"/>
      <c r="D16" s="784"/>
      <c r="E16" s="784"/>
      <c r="F16" s="784" t="s">
        <v>155</v>
      </c>
      <c r="G16" s="784"/>
      <c r="H16" s="538" t="s">
        <v>2342</v>
      </c>
      <c r="I16" s="538" t="s">
        <v>4</v>
      </c>
      <c r="J16" s="784" t="s">
        <v>156</v>
      </c>
      <c r="K16" s="784"/>
      <c r="L16" s="784"/>
      <c r="M16" s="784" t="s">
        <v>368</v>
      </c>
      <c r="N16" s="784"/>
      <c r="O16" s="784" t="s">
        <v>498</v>
      </c>
      <c r="P16" s="784"/>
    </row>
    <row r="17" spans="1:16" ht="15" customHeight="1" x14ac:dyDescent="0.25">
      <c r="A17" s="538">
        <v>1</v>
      </c>
      <c r="B17" s="784">
        <v>2</v>
      </c>
      <c r="C17" s="784"/>
      <c r="D17" s="784"/>
      <c r="E17" s="784"/>
      <c r="F17" s="784">
        <v>3</v>
      </c>
      <c r="G17" s="784"/>
      <c r="H17" s="538">
        <v>4</v>
      </c>
      <c r="I17" s="538">
        <v>5</v>
      </c>
      <c r="J17" s="784">
        <v>6</v>
      </c>
      <c r="K17" s="784"/>
      <c r="L17" s="784"/>
      <c r="M17" s="784">
        <v>7</v>
      </c>
      <c r="N17" s="784"/>
      <c r="O17" s="784">
        <v>8</v>
      </c>
      <c r="P17" s="784"/>
    </row>
    <row r="18" spans="1:16" ht="27.2" customHeight="1" x14ac:dyDescent="0.25">
      <c r="A18" s="537"/>
      <c r="B18" s="780" t="s">
        <v>369</v>
      </c>
      <c r="C18" s="780"/>
      <c r="D18" s="780"/>
      <c r="E18" s="780"/>
      <c r="F18" s="780"/>
      <c r="G18" s="780"/>
      <c r="H18" s="537"/>
      <c r="I18" s="537"/>
      <c r="J18" s="780"/>
      <c r="K18" s="780"/>
      <c r="L18" s="780"/>
      <c r="M18" s="780"/>
      <c r="N18" s="780"/>
      <c r="O18" s="780"/>
      <c r="P18" s="780"/>
    </row>
    <row r="19" spans="1:16" ht="122.45" customHeight="1" x14ac:dyDescent="0.25">
      <c r="A19" s="542" t="s">
        <v>6</v>
      </c>
      <c r="B19" s="781" t="s">
        <v>422</v>
      </c>
      <c r="C19" s="782"/>
      <c r="D19" s="782"/>
      <c r="E19" s="782"/>
      <c r="F19" s="782" t="s">
        <v>632</v>
      </c>
      <c r="G19" s="782"/>
      <c r="H19" s="623" t="s">
        <v>2341</v>
      </c>
      <c r="I19" s="623" t="s">
        <v>5</v>
      </c>
      <c r="J19" s="782" t="s">
        <v>633</v>
      </c>
      <c r="K19" s="782"/>
      <c r="L19" s="782"/>
      <c r="M19" s="783">
        <f>ROUND((15264 + 3608 * 7.5) * 1 * 1.25, 2)</f>
        <v>52905</v>
      </c>
      <c r="N19" s="782"/>
      <c r="O19" s="782" t="s">
        <v>129</v>
      </c>
      <c r="P19" s="782"/>
    </row>
    <row r="20" spans="1:16" ht="15" customHeight="1" x14ac:dyDescent="0.25">
      <c r="A20" s="535"/>
      <c r="B20" s="774" t="s">
        <v>306</v>
      </c>
      <c r="C20" s="774"/>
      <c r="D20" s="774"/>
      <c r="E20" s="774"/>
      <c r="F20" s="774" t="s">
        <v>129</v>
      </c>
      <c r="G20" s="774"/>
      <c r="H20" s="535"/>
      <c r="I20" s="535"/>
      <c r="J20" s="774" t="s">
        <v>129</v>
      </c>
      <c r="K20" s="774"/>
      <c r="L20" s="774"/>
      <c r="M20" s="774"/>
      <c r="N20" s="774"/>
      <c r="O20" s="774"/>
      <c r="P20" s="774"/>
    </row>
    <row r="21" spans="1:16" ht="68.099999999999994" customHeight="1" x14ac:dyDescent="0.25">
      <c r="A21" s="536"/>
      <c r="B21" s="775" t="s">
        <v>370</v>
      </c>
      <c r="C21" s="775"/>
      <c r="D21" s="775"/>
      <c r="E21" s="775"/>
      <c r="F21" s="775" t="s">
        <v>371</v>
      </c>
      <c r="G21" s="775"/>
      <c r="H21" s="536"/>
      <c r="I21" s="536"/>
      <c r="J21" s="775" t="s">
        <v>129</v>
      </c>
      <c r="K21" s="775"/>
      <c r="L21" s="775"/>
      <c r="M21" s="775"/>
      <c r="N21" s="775"/>
      <c r="O21" s="775"/>
      <c r="P21" s="775"/>
    </row>
    <row r="22" spans="1:16" ht="15" customHeight="1" x14ac:dyDescent="0.25">
      <c r="A22" s="785" t="s">
        <v>2106</v>
      </c>
      <c r="B22" s="785"/>
      <c r="C22" s="785"/>
      <c r="D22" s="785"/>
      <c r="E22" s="785"/>
      <c r="F22" s="785"/>
      <c r="G22" s="785"/>
      <c r="H22" s="785"/>
      <c r="I22" s="785"/>
      <c r="J22" s="785"/>
      <c r="K22" s="785"/>
      <c r="L22" s="785"/>
      <c r="M22" s="785"/>
      <c r="N22" s="785"/>
      <c r="O22" s="785"/>
      <c r="P22" s="785"/>
    </row>
    <row r="23" spans="1:16" ht="122.45" customHeight="1" x14ac:dyDescent="0.25">
      <c r="A23" s="542" t="s">
        <v>7</v>
      </c>
      <c r="B23" s="781" t="s">
        <v>372</v>
      </c>
      <c r="C23" s="782"/>
      <c r="D23" s="782"/>
      <c r="E23" s="782"/>
      <c r="F23" s="782" t="s">
        <v>2340</v>
      </c>
      <c r="G23" s="782"/>
      <c r="H23" s="623" t="s">
        <v>2306</v>
      </c>
      <c r="I23" s="623" t="s">
        <v>2339</v>
      </c>
      <c r="J23" s="782" t="s">
        <v>2338</v>
      </c>
      <c r="K23" s="782"/>
      <c r="L23" s="782"/>
      <c r="M23" s="783">
        <f>ROUND(2858 * 75 * 1.25, 2)</f>
        <v>267937.5</v>
      </c>
      <c r="N23" s="782"/>
      <c r="O23" s="782" t="s">
        <v>129</v>
      </c>
      <c r="P23" s="782"/>
    </row>
    <row r="24" spans="1:16" ht="15" customHeight="1" x14ac:dyDescent="0.25">
      <c r="A24" s="535"/>
      <c r="B24" s="774" t="s">
        <v>306</v>
      </c>
      <c r="C24" s="774"/>
      <c r="D24" s="774"/>
      <c r="E24" s="774"/>
      <c r="F24" s="774" t="s">
        <v>129</v>
      </c>
      <c r="G24" s="774"/>
      <c r="H24" s="535"/>
      <c r="I24" s="535"/>
      <c r="J24" s="774" t="s">
        <v>129</v>
      </c>
      <c r="K24" s="774"/>
      <c r="L24" s="774"/>
      <c r="M24" s="774"/>
      <c r="N24" s="774"/>
      <c r="O24" s="774"/>
      <c r="P24" s="774"/>
    </row>
    <row r="25" spans="1:16" ht="68.099999999999994" customHeight="1" x14ac:dyDescent="0.25">
      <c r="A25" s="536"/>
      <c r="B25" s="775" t="s">
        <v>370</v>
      </c>
      <c r="C25" s="775"/>
      <c r="D25" s="775"/>
      <c r="E25" s="775"/>
      <c r="F25" s="775" t="s">
        <v>371</v>
      </c>
      <c r="G25" s="775"/>
      <c r="H25" s="536"/>
      <c r="I25" s="536"/>
      <c r="J25" s="775" t="s">
        <v>129</v>
      </c>
      <c r="K25" s="775"/>
      <c r="L25" s="775"/>
      <c r="M25" s="775"/>
      <c r="N25" s="775"/>
      <c r="O25" s="775"/>
      <c r="P25" s="775"/>
    </row>
    <row r="26" spans="1:16" ht="122.45" customHeight="1" x14ac:dyDescent="0.25">
      <c r="A26" s="542" t="s">
        <v>38</v>
      </c>
      <c r="B26" s="781" t="s">
        <v>373</v>
      </c>
      <c r="C26" s="782"/>
      <c r="D26" s="782"/>
      <c r="E26" s="782"/>
      <c r="F26" s="782" t="s">
        <v>2337</v>
      </c>
      <c r="G26" s="782"/>
      <c r="H26" s="623" t="s">
        <v>2306</v>
      </c>
      <c r="I26" s="623" t="s">
        <v>2334</v>
      </c>
      <c r="J26" s="782" t="s">
        <v>2336</v>
      </c>
      <c r="K26" s="782"/>
      <c r="L26" s="782"/>
      <c r="M26" s="783">
        <f>ROUND(3237 * 334 * 1.25, 2)</f>
        <v>1351447.5</v>
      </c>
      <c r="N26" s="782"/>
      <c r="O26" s="782" t="s">
        <v>129</v>
      </c>
      <c r="P26" s="782"/>
    </row>
    <row r="27" spans="1:16" ht="15" customHeight="1" x14ac:dyDescent="0.25">
      <c r="A27" s="535"/>
      <c r="B27" s="774" t="s">
        <v>306</v>
      </c>
      <c r="C27" s="774"/>
      <c r="D27" s="774"/>
      <c r="E27" s="774"/>
      <c r="F27" s="774" t="s">
        <v>129</v>
      </c>
      <c r="G27" s="774"/>
      <c r="H27" s="535"/>
      <c r="I27" s="535"/>
      <c r="J27" s="774" t="s">
        <v>129</v>
      </c>
      <c r="K27" s="774"/>
      <c r="L27" s="774"/>
      <c r="M27" s="774"/>
      <c r="N27" s="774"/>
      <c r="O27" s="774"/>
      <c r="P27" s="774"/>
    </row>
    <row r="28" spans="1:16" ht="68.099999999999994" customHeight="1" x14ac:dyDescent="0.25">
      <c r="A28" s="536"/>
      <c r="B28" s="775" t="s">
        <v>370</v>
      </c>
      <c r="C28" s="775"/>
      <c r="D28" s="775"/>
      <c r="E28" s="775"/>
      <c r="F28" s="775" t="s">
        <v>371</v>
      </c>
      <c r="G28" s="775"/>
      <c r="H28" s="536"/>
      <c r="I28" s="536"/>
      <c r="J28" s="775" t="s">
        <v>129</v>
      </c>
      <c r="K28" s="775"/>
      <c r="L28" s="775"/>
      <c r="M28" s="775"/>
      <c r="N28" s="775"/>
      <c r="O28" s="775"/>
      <c r="P28" s="775"/>
    </row>
    <row r="29" spans="1:16" ht="122.45" customHeight="1" x14ac:dyDescent="0.25">
      <c r="A29" s="542" t="s">
        <v>40</v>
      </c>
      <c r="B29" s="781" t="s">
        <v>374</v>
      </c>
      <c r="C29" s="782"/>
      <c r="D29" s="782"/>
      <c r="E29" s="782"/>
      <c r="F29" s="782" t="s">
        <v>2335</v>
      </c>
      <c r="G29" s="782"/>
      <c r="H29" s="623" t="s">
        <v>2306</v>
      </c>
      <c r="I29" s="623" t="s">
        <v>2334</v>
      </c>
      <c r="J29" s="782" t="s">
        <v>2333</v>
      </c>
      <c r="K29" s="782"/>
      <c r="L29" s="782"/>
      <c r="M29" s="783">
        <f>ROUND(3300 * 334 * 1.25, 2)</f>
        <v>1377750</v>
      </c>
      <c r="N29" s="782"/>
      <c r="O29" s="782" t="s">
        <v>129</v>
      </c>
      <c r="P29" s="782"/>
    </row>
    <row r="30" spans="1:16" ht="15" customHeight="1" x14ac:dyDescent="0.25">
      <c r="A30" s="535"/>
      <c r="B30" s="774" t="s">
        <v>306</v>
      </c>
      <c r="C30" s="774"/>
      <c r="D30" s="774"/>
      <c r="E30" s="774"/>
      <c r="F30" s="774" t="s">
        <v>129</v>
      </c>
      <c r="G30" s="774"/>
      <c r="H30" s="535"/>
      <c r="I30" s="535"/>
      <c r="J30" s="774" t="s">
        <v>129</v>
      </c>
      <c r="K30" s="774"/>
      <c r="L30" s="774"/>
      <c r="M30" s="774"/>
      <c r="N30" s="774"/>
      <c r="O30" s="774"/>
      <c r="P30" s="774"/>
    </row>
    <row r="31" spans="1:16" ht="68.099999999999994" customHeight="1" x14ac:dyDescent="0.25">
      <c r="A31" s="536"/>
      <c r="B31" s="775" t="s">
        <v>370</v>
      </c>
      <c r="C31" s="775"/>
      <c r="D31" s="775"/>
      <c r="E31" s="775"/>
      <c r="F31" s="775" t="s">
        <v>371</v>
      </c>
      <c r="G31" s="775"/>
      <c r="H31" s="536"/>
      <c r="I31" s="536"/>
      <c r="J31" s="775" t="s">
        <v>129</v>
      </c>
      <c r="K31" s="775"/>
      <c r="L31" s="775"/>
      <c r="M31" s="775"/>
      <c r="N31" s="775"/>
      <c r="O31" s="775"/>
      <c r="P31" s="775"/>
    </row>
    <row r="32" spans="1:16" ht="15" customHeight="1" x14ac:dyDescent="0.25">
      <c r="A32" s="785" t="s">
        <v>2332</v>
      </c>
      <c r="B32" s="785"/>
      <c r="C32" s="785"/>
      <c r="D32" s="785"/>
      <c r="E32" s="785"/>
      <c r="F32" s="785"/>
      <c r="G32" s="785"/>
      <c r="H32" s="785"/>
      <c r="I32" s="785"/>
      <c r="J32" s="785"/>
      <c r="K32" s="785"/>
      <c r="L32" s="785"/>
      <c r="M32" s="785"/>
      <c r="N32" s="785"/>
      <c r="O32" s="785"/>
      <c r="P32" s="785"/>
    </row>
    <row r="33" spans="1:16" ht="15" customHeight="1" x14ac:dyDescent="0.25">
      <c r="A33" s="785" t="s">
        <v>2105</v>
      </c>
      <c r="B33" s="785"/>
      <c r="C33" s="785"/>
      <c r="D33" s="785"/>
      <c r="E33" s="785"/>
      <c r="F33" s="785"/>
      <c r="G33" s="785"/>
      <c r="H33" s="785"/>
      <c r="I33" s="785"/>
      <c r="J33" s="785"/>
      <c r="K33" s="785"/>
      <c r="L33" s="785"/>
      <c r="M33" s="785"/>
      <c r="N33" s="785"/>
      <c r="O33" s="785"/>
      <c r="P33" s="785"/>
    </row>
    <row r="34" spans="1:16" ht="135.94999999999999" customHeight="1" x14ac:dyDescent="0.25">
      <c r="A34" s="542" t="s">
        <v>42</v>
      </c>
      <c r="B34" s="781" t="s">
        <v>2104</v>
      </c>
      <c r="C34" s="782"/>
      <c r="D34" s="782"/>
      <c r="E34" s="782"/>
      <c r="F34" s="782" t="s">
        <v>2331</v>
      </c>
      <c r="G34" s="782"/>
      <c r="H34" s="623" t="s">
        <v>2306</v>
      </c>
      <c r="I34" s="623" t="s">
        <v>2330</v>
      </c>
      <c r="J34" s="782" t="s">
        <v>2329</v>
      </c>
      <c r="K34" s="782"/>
      <c r="L34" s="782"/>
      <c r="M34" s="783">
        <f>ROUND(2098 * 30 * 1.25, 2)</f>
        <v>78675</v>
      </c>
      <c r="N34" s="782"/>
      <c r="O34" s="782" t="s">
        <v>129</v>
      </c>
      <c r="P34" s="782"/>
    </row>
    <row r="35" spans="1:16" ht="15" customHeight="1" x14ac:dyDescent="0.25">
      <c r="A35" s="535"/>
      <c r="B35" s="774" t="s">
        <v>306</v>
      </c>
      <c r="C35" s="774"/>
      <c r="D35" s="774"/>
      <c r="E35" s="774"/>
      <c r="F35" s="774" t="s">
        <v>129</v>
      </c>
      <c r="G35" s="774"/>
      <c r="H35" s="535"/>
      <c r="I35" s="535"/>
      <c r="J35" s="774" t="s">
        <v>129</v>
      </c>
      <c r="K35" s="774"/>
      <c r="L35" s="774"/>
      <c r="M35" s="774"/>
      <c r="N35" s="774"/>
      <c r="O35" s="774"/>
      <c r="P35" s="774"/>
    </row>
    <row r="36" spans="1:16" ht="68.099999999999994" customHeight="1" x14ac:dyDescent="0.25">
      <c r="A36" s="536"/>
      <c r="B36" s="775" t="s">
        <v>370</v>
      </c>
      <c r="C36" s="775"/>
      <c r="D36" s="775"/>
      <c r="E36" s="775"/>
      <c r="F36" s="775" t="s">
        <v>371</v>
      </c>
      <c r="G36" s="775"/>
      <c r="H36" s="536"/>
      <c r="I36" s="536"/>
      <c r="J36" s="775" t="s">
        <v>129</v>
      </c>
      <c r="K36" s="775"/>
      <c r="L36" s="775"/>
      <c r="M36" s="775"/>
      <c r="N36" s="775"/>
      <c r="O36" s="775"/>
      <c r="P36" s="775"/>
    </row>
    <row r="37" spans="1:16" ht="135.94999999999999" customHeight="1" x14ac:dyDescent="0.25">
      <c r="A37" s="542" t="s">
        <v>158</v>
      </c>
      <c r="B37" s="781" t="s">
        <v>2103</v>
      </c>
      <c r="C37" s="782"/>
      <c r="D37" s="782"/>
      <c r="E37" s="782"/>
      <c r="F37" s="782" t="s">
        <v>2328</v>
      </c>
      <c r="G37" s="782"/>
      <c r="H37" s="623" t="s">
        <v>2306</v>
      </c>
      <c r="I37" s="623" t="s">
        <v>2325</v>
      </c>
      <c r="J37" s="782" t="s">
        <v>2327</v>
      </c>
      <c r="K37" s="782"/>
      <c r="L37" s="782"/>
      <c r="M37" s="783">
        <f>ROUND(2756 * 110 * 1.25, 2)</f>
        <v>378950</v>
      </c>
      <c r="N37" s="782"/>
      <c r="O37" s="782" t="s">
        <v>129</v>
      </c>
      <c r="P37" s="782"/>
    </row>
    <row r="38" spans="1:16" ht="15" customHeight="1" x14ac:dyDescent="0.25">
      <c r="A38" s="535"/>
      <c r="B38" s="774" t="s">
        <v>306</v>
      </c>
      <c r="C38" s="774"/>
      <c r="D38" s="774"/>
      <c r="E38" s="774"/>
      <c r="F38" s="774" t="s">
        <v>129</v>
      </c>
      <c r="G38" s="774"/>
      <c r="H38" s="535"/>
      <c r="I38" s="535"/>
      <c r="J38" s="774" t="s">
        <v>129</v>
      </c>
      <c r="K38" s="774"/>
      <c r="L38" s="774"/>
      <c r="M38" s="774"/>
      <c r="N38" s="774"/>
      <c r="O38" s="774"/>
      <c r="P38" s="774"/>
    </row>
    <row r="39" spans="1:16" ht="68.099999999999994" customHeight="1" x14ac:dyDescent="0.25">
      <c r="A39" s="536"/>
      <c r="B39" s="775" t="s">
        <v>370</v>
      </c>
      <c r="C39" s="775"/>
      <c r="D39" s="775"/>
      <c r="E39" s="775"/>
      <c r="F39" s="775" t="s">
        <v>371</v>
      </c>
      <c r="G39" s="775"/>
      <c r="H39" s="536"/>
      <c r="I39" s="536"/>
      <c r="J39" s="775" t="s">
        <v>129</v>
      </c>
      <c r="K39" s="775"/>
      <c r="L39" s="775"/>
      <c r="M39" s="775"/>
      <c r="N39" s="775"/>
      <c r="O39" s="775"/>
      <c r="P39" s="775"/>
    </row>
    <row r="40" spans="1:16" ht="135.94999999999999" customHeight="1" x14ac:dyDescent="0.25">
      <c r="A40" s="542" t="s">
        <v>173</v>
      </c>
      <c r="B40" s="781" t="s">
        <v>2102</v>
      </c>
      <c r="C40" s="782"/>
      <c r="D40" s="782"/>
      <c r="E40" s="782"/>
      <c r="F40" s="782" t="s">
        <v>2326</v>
      </c>
      <c r="G40" s="782"/>
      <c r="H40" s="623" t="s">
        <v>2306</v>
      </c>
      <c r="I40" s="623" t="s">
        <v>2325</v>
      </c>
      <c r="J40" s="782" t="s">
        <v>2324</v>
      </c>
      <c r="K40" s="782"/>
      <c r="L40" s="782"/>
      <c r="M40" s="783">
        <f>ROUND(2914 * 110 * 1.25, 2)</f>
        <v>400675</v>
      </c>
      <c r="N40" s="782"/>
      <c r="O40" s="782" t="s">
        <v>129</v>
      </c>
      <c r="P40" s="782"/>
    </row>
    <row r="41" spans="1:16" ht="15" customHeight="1" x14ac:dyDescent="0.25">
      <c r="A41" s="535"/>
      <c r="B41" s="774" t="s">
        <v>306</v>
      </c>
      <c r="C41" s="774"/>
      <c r="D41" s="774"/>
      <c r="E41" s="774"/>
      <c r="F41" s="774" t="s">
        <v>129</v>
      </c>
      <c r="G41" s="774"/>
      <c r="H41" s="535"/>
      <c r="I41" s="535"/>
      <c r="J41" s="774" t="s">
        <v>129</v>
      </c>
      <c r="K41" s="774"/>
      <c r="L41" s="774"/>
      <c r="M41" s="774"/>
      <c r="N41" s="774"/>
      <c r="O41" s="774"/>
      <c r="P41" s="774"/>
    </row>
    <row r="42" spans="1:16" ht="68.099999999999994" customHeight="1" x14ac:dyDescent="0.25">
      <c r="A42" s="536"/>
      <c r="B42" s="775" t="s">
        <v>370</v>
      </c>
      <c r="C42" s="775"/>
      <c r="D42" s="775"/>
      <c r="E42" s="775"/>
      <c r="F42" s="775" t="s">
        <v>371</v>
      </c>
      <c r="G42" s="775"/>
      <c r="H42" s="536"/>
      <c r="I42" s="536"/>
      <c r="J42" s="775" t="s">
        <v>129</v>
      </c>
      <c r="K42" s="775"/>
      <c r="L42" s="775"/>
      <c r="M42" s="775"/>
      <c r="N42" s="775"/>
      <c r="O42" s="775"/>
      <c r="P42" s="775"/>
    </row>
    <row r="43" spans="1:16" ht="15" customHeight="1" x14ac:dyDescent="0.25">
      <c r="A43" s="785" t="s">
        <v>2101</v>
      </c>
      <c r="B43" s="785"/>
      <c r="C43" s="785"/>
      <c r="D43" s="785"/>
      <c r="E43" s="785"/>
      <c r="F43" s="785"/>
      <c r="G43" s="785"/>
      <c r="H43" s="785"/>
      <c r="I43" s="785"/>
      <c r="J43" s="785"/>
      <c r="K43" s="785"/>
      <c r="L43" s="785"/>
      <c r="M43" s="785"/>
      <c r="N43" s="785"/>
      <c r="O43" s="785"/>
      <c r="P43" s="785"/>
    </row>
    <row r="44" spans="1:16" ht="108.75" customHeight="1" x14ac:dyDescent="0.25">
      <c r="A44" s="542" t="s">
        <v>174</v>
      </c>
      <c r="B44" s="781" t="s">
        <v>375</v>
      </c>
      <c r="C44" s="782"/>
      <c r="D44" s="782"/>
      <c r="E44" s="782"/>
      <c r="F44" s="782" t="s">
        <v>2323</v>
      </c>
      <c r="G44" s="782"/>
      <c r="H44" s="623" t="s">
        <v>2322</v>
      </c>
      <c r="I44" s="623" t="s">
        <v>2321</v>
      </c>
      <c r="J44" s="782" t="s">
        <v>2320</v>
      </c>
      <c r="K44" s="782"/>
      <c r="L44" s="782"/>
      <c r="M44" s="783">
        <f>ROUND(983 * 99 * 1.25, 2)</f>
        <v>121646.25</v>
      </c>
      <c r="N44" s="782"/>
      <c r="O44" s="782" t="s">
        <v>129</v>
      </c>
      <c r="P44" s="782"/>
    </row>
    <row r="45" spans="1:16" ht="15" customHeight="1" x14ac:dyDescent="0.25">
      <c r="A45" s="535"/>
      <c r="B45" s="774" t="s">
        <v>306</v>
      </c>
      <c r="C45" s="774"/>
      <c r="D45" s="774"/>
      <c r="E45" s="774"/>
      <c r="F45" s="774" t="s">
        <v>129</v>
      </c>
      <c r="G45" s="774"/>
      <c r="H45" s="535"/>
      <c r="I45" s="535"/>
      <c r="J45" s="774" t="s">
        <v>129</v>
      </c>
      <c r="K45" s="774"/>
      <c r="L45" s="774"/>
      <c r="M45" s="774"/>
      <c r="N45" s="774"/>
      <c r="O45" s="774"/>
      <c r="P45" s="774"/>
    </row>
    <row r="46" spans="1:16" ht="68.099999999999994" customHeight="1" x14ac:dyDescent="0.25">
      <c r="A46" s="536"/>
      <c r="B46" s="775" t="s">
        <v>370</v>
      </c>
      <c r="C46" s="775"/>
      <c r="D46" s="775"/>
      <c r="E46" s="775"/>
      <c r="F46" s="775" t="s">
        <v>371</v>
      </c>
      <c r="G46" s="775"/>
      <c r="H46" s="536"/>
      <c r="I46" s="536"/>
      <c r="J46" s="775" t="s">
        <v>129</v>
      </c>
      <c r="K46" s="775"/>
      <c r="L46" s="775"/>
      <c r="M46" s="775"/>
      <c r="N46" s="775"/>
      <c r="O46" s="775"/>
      <c r="P46" s="775"/>
    </row>
    <row r="47" spans="1:16" ht="68.099999999999994" customHeight="1" x14ac:dyDescent="0.25">
      <c r="A47" s="542" t="s">
        <v>175</v>
      </c>
      <c r="B47" s="781" t="s">
        <v>376</v>
      </c>
      <c r="C47" s="782"/>
      <c r="D47" s="782"/>
      <c r="E47" s="782"/>
      <c r="F47" s="782" t="s">
        <v>2100</v>
      </c>
      <c r="G47" s="782"/>
      <c r="H47" s="623" t="s">
        <v>2306</v>
      </c>
      <c r="I47" s="623" t="s">
        <v>2319</v>
      </c>
      <c r="J47" s="782" t="s">
        <v>2099</v>
      </c>
      <c r="K47" s="782"/>
      <c r="L47" s="782"/>
      <c r="M47" s="783">
        <f>ROUND(1536 * 520 * 1.25, 2)</f>
        <v>998400</v>
      </c>
      <c r="N47" s="782"/>
      <c r="O47" s="782" t="s">
        <v>129</v>
      </c>
      <c r="P47" s="782"/>
    </row>
    <row r="48" spans="1:16" ht="15" customHeight="1" x14ac:dyDescent="0.25">
      <c r="A48" s="535"/>
      <c r="B48" s="774" t="s">
        <v>306</v>
      </c>
      <c r="C48" s="774"/>
      <c r="D48" s="774"/>
      <c r="E48" s="774"/>
      <c r="F48" s="774" t="s">
        <v>129</v>
      </c>
      <c r="G48" s="774"/>
      <c r="H48" s="535"/>
      <c r="I48" s="535"/>
      <c r="J48" s="774" t="s">
        <v>129</v>
      </c>
      <c r="K48" s="774"/>
      <c r="L48" s="774"/>
      <c r="M48" s="774"/>
      <c r="N48" s="774"/>
      <c r="O48" s="774"/>
      <c r="P48" s="774"/>
    </row>
    <row r="49" spans="1:16" ht="68.099999999999994" customHeight="1" x14ac:dyDescent="0.25">
      <c r="A49" s="536"/>
      <c r="B49" s="775" t="s">
        <v>370</v>
      </c>
      <c r="C49" s="775"/>
      <c r="D49" s="775"/>
      <c r="E49" s="775"/>
      <c r="F49" s="775" t="s">
        <v>371</v>
      </c>
      <c r="G49" s="775"/>
      <c r="H49" s="536"/>
      <c r="I49" s="536"/>
      <c r="J49" s="775" t="s">
        <v>129</v>
      </c>
      <c r="K49" s="775"/>
      <c r="L49" s="775"/>
      <c r="M49" s="775"/>
      <c r="N49" s="775"/>
      <c r="O49" s="775"/>
      <c r="P49" s="775"/>
    </row>
    <row r="50" spans="1:16" ht="81.599999999999994" customHeight="1" x14ac:dyDescent="0.25">
      <c r="A50" s="542" t="s">
        <v>20</v>
      </c>
      <c r="B50" s="781" t="s">
        <v>2318</v>
      </c>
      <c r="C50" s="782"/>
      <c r="D50" s="782"/>
      <c r="E50" s="782"/>
      <c r="F50" s="782" t="s">
        <v>2317</v>
      </c>
      <c r="G50" s="782"/>
      <c r="H50" s="623" t="s">
        <v>2306</v>
      </c>
      <c r="I50" s="623" t="s">
        <v>2305</v>
      </c>
      <c r="J50" s="782" t="s">
        <v>2316</v>
      </c>
      <c r="K50" s="782"/>
      <c r="L50" s="782"/>
      <c r="M50" s="783">
        <f>ROUND(3872 * 150 * 1.25, 2)</f>
        <v>726000</v>
      </c>
      <c r="N50" s="782"/>
      <c r="O50" s="782" t="s">
        <v>129</v>
      </c>
      <c r="P50" s="782"/>
    </row>
    <row r="51" spans="1:16" x14ac:dyDescent="0.25">
      <c r="A51" s="535"/>
      <c r="B51" s="774" t="s">
        <v>306</v>
      </c>
      <c r="C51" s="774"/>
      <c r="D51" s="774"/>
      <c r="E51" s="774"/>
      <c r="F51" s="774" t="s">
        <v>129</v>
      </c>
      <c r="G51" s="774"/>
      <c r="H51" s="535"/>
      <c r="I51" s="535"/>
      <c r="J51" s="774" t="s">
        <v>129</v>
      </c>
      <c r="K51" s="774"/>
      <c r="L51" s="774"/>
      <c r="M51" s="774"/>
      <c r="N51" s="774"/>
      <c r="O51" s="774"/>
      <c r="P51" s="774"/>
    </row>
    <row r="52" spans="1:16" ht="68.099999999999994" customHeight="1" x14ac:dyDescent="0.25">
      <c r="A52" s="536"/>
      <c r="B52" s="775" t="s">
        <v>370</v>
      </c>
      <c r="C52" s="775"/>
      <c r="D52" s="775"/>
      <c r="E52" s="775"/>
      <c r="F52" s="775" t="s">
        <v>371</v>
      </c>
      <c r="G52" s="775"/>
      <c r="H52" s="536"/>
      <c r="I52" s="536"/>
      <c r="J52" s="775" t="s">
        <v>129</v>
      </c>
      <c r="K52" s="775"/>
      <c r="L52" s="775"/>
      <c r="M52" s="775"/>
      <c r="N52" s="775"/>
      <c r="O52" s="775"/>
      <c r="P52" s="775"/>
    </row>
    <row r="53" spans="1:16" ht="95.25" customHeight="1" x14ac:dyDescent="0.25">
      <c r="A53" s="542" t="s">
        <v>21</v>
      </c>
      <c r="B53" s="781" t="s">
        <v>423</v>
      </c>
      <c r="C53" s="782"/>
      <c r="D53" s="782"/>
      <c r="E53" s="782"/>
      <c r="F53" s="782" t="s">
        <v>634</v>
      </c>
      <c r="G53" s="782"/>
      <c r="H53" s="623" t="s">
        <v>2303</v>
      </c>
      <c r="I53" s="623" t="s">
        <v>5</v>
      </c>
      <c r="J53" s="782" t="s">
        <v>424</v>
      </c>
      <c r="K53" s="782"/>
      <c r="L53" s="782"/>
      <c r="M53" s="783">
        <f>ROUND(41785 * 1 * 1.25, 2)</f>
        <v>52231.25</v>
      </c>
      <c r="N53" s="782"/>
      <c r="O53" s="782" t="s">
        <v>129</v>
      </c>
      <c r="P53" s="782"/>
    </row>
    <row r="54" spans="1:16" x14ac:dyDescent="0.25">
      <c r="A54" s="535"/>
      <c r="B54" s="774" t="s">
        <v>306</v>
      </c>
      <c r="C54" s="774"/>
      <c r="D54" s="774"/>
      <c r="E54" s="774"/>
      <c r="F54" s="774" t="s">
        <v>129</v>
      </c>
      <c r="G54" s="774"/>
      <c r="H54" s="535"/>
      <c r="I54" s="535"/>
      <c r="J54" s="774" t="s">
        <v>129</v>
      </c>
      <c r="K54" s="774"/>
      <c r="L54" s="774"/>
      <c r="M54" s="774"/>
      <c r="N54" s="774"/>
      <c r="O54" s="774"/>
      <c r="P54" s="774"/>
    </row>
    <row r="55" spans="1:16" ht="68.099999999999994" customHeight="1" x14ac:dyDescent="0.25">
      <c r="A55" s="536"/>
      <c r="B55" s="775" t="s">
        <v>370</v>
      </c>
      <c r="C55" s="775"/>
      <c r="D55" s="775"/>
      <c r="E55" s="775"/>
      <c r="F55" s="775" t="s">
        <v>371</v>
      </c>
      <c r="G55" s="775"/>
      <c r="H55" s="536"/>
      <c r="I55" s="536"/>
      <c r="J55" s="775" t="s">
        <v>129</v>
      </c>
      <c r="K55" s="775"/>
      <c r="L55" s="775"/>
      <c r="M55" s="775"/>
      <c r="N55" s="775"/>
      <c r="O55" s="775"/>
      <c r="P55" s="775"/>
    </row>
    <row r="56" spans="1:16" ht="68.099999999999994" customHeight="1" x14ac:dyDescent="0.25">
      <c r="A56" s="542" t="s">
        <v>176</v>
      </c>
      <c r="B56" s="781" t="s">
        <v>425</v>
      </c>
      <c r="C56" s="782"/>
      <c r="D56" s="782"/>
      <c r="E56" s="782"/>
      <c r="F56" s="782" t="s">
        <v>635</v>
      </c>
      <c r="G56" s="782"/>
      <c r="H56" s="623" t="s">
        <v>2315</v>
      </c>
      <c r="I56" s="623" t="s">
        <v>2299</v>
      </c>
      <c r="J56" s="782" t="s">
        <v>426</v>
      </c>
      <c r="K56" s="782"/>
      <c r="L56" s="782"/>
      <c r="M56" s="783">
        <f>ROUND(5134 * 12 * 1.25, 2)</f>
        <v>77010</v>
      </c>
      <c r="N56" s="782"/>
      <c r="O56" s="782" t="s">
        <v>129</v>
      </c>
      <c r="P56" s="782"/>
    </row>
    <row r="57" spans="1:16" x14ac:dyDescent="0.25">
      <c r="A57" s="535"/>
      <c r="B57" s="774" t="s">
        <v>306</v>
      </c>
      <c r="C57" s="774"/>
      <c r="D57" s="774"/>
      <c r="E57" s="774"/>
      <c r="F57" s="774" t="s">
        <v>129</v>
      </c>
      <c r="G57" s="774"/>
      <c r="H57" s="535"/>
      <c r="I57" s="535"/>
      <c r="J57" s="774" t="s">
        <v>129</v>
      </c>
      <c r="K57" s="774"/>
      <c r="L57" s="774"/>
      <c r="M57" s="774"/>
      <c r="N57" s="774"/>
      <c r="O57" s="774"/>
      <c r="P57" s="774"/>
    </row>
    <row r="58" spans="1:16" ht="68.099999999999994" customHeight="1" x14ac:dyDescent="0.25">
      <c r="A58" s="536"/>
      <c r="B58" s="775" t="s">
        <v>370</v>
      </c>
      <c r="C58" s="775"/>
      <c r="D58" s="775"/>
      <c r="E58" s="775"/>
      <c r="F58" s="775" t="s">
        <v>371</v>
      </c>
      <c r="G58" s="775"/>
      <c r="H58" s="536"/>
      <c r="I58" s="536"/>
      <c r="J58" s="775" t="s">
        <v>129</v>
      </c>
      <c r="K58" s="775"/>
      <c r="L58" s="775"/>
      <c r="M58" s="775"/>
      <c r="N58" s="775"/>
      <c r="O58" s="775"/>
      <c r="P58" s="775"/>
    </row>
    <row r="59" spans="1:16" x14ac:dyDescent="0.25">
      <c r="A59" s="537"/>
      <c r="B59" s="780" t="s">
        <v>377</v>
      </c>
      <c r="C59" s="780"/>
      <c r="D59" s="780"/>
      <c r="E59" s="780"/>
      <c r="F59" s="780"/>
      <c r="G59" s="780"/>
      <c r="H59" s="537"/>
      <c r="I59" s="537"/>
      <c r="J59" s="780" t="s">
        <v>129</v>
      </c>
      <c r="K59" s="780"/>
      <c r="L59" s="780"/>
      <c r="M59" s="786">
        <f>ROUND(SUM($M$19:$M$56),2)</f>
        <v>5883627.5</v>
      </c>
      <c r="N59" s="780"/>
      <c r="O59" s="780"/>
      <c r="P59" s="780"/>
    </row>
    <row r="60" spans="1:16" x14ac:dyDescent="0.25">
      <c r="A60" s="537"/>
      <c r="B60" s="780" t="s">
        <v>378</v>
      </c>
      <c r="C60" s="780"/>
      <c r="D60" s="780"/>
      <c r="E60" s="780"/>
      <c r="F60" s="780"/>
      <c r="G60" s="780"/>
      <c r="H60" s="537"/>
      <c r="I60" s="537"/>
      <c r="J60" s="780" t="s">
        <v>129</v>
      </c>
      <c r="K60" s="780"/>
      <c r="L60" s="780"/>
      <c r="M60" s="786">
        <f>ROUND(($M$59),2)</f>
        <v>5883627.5</v>
      </c>
      <c r="N60" s="780"/>
      <c r="O60" s="780"/>
      <c r="P60" s="780"/>
    </row>
    <row r="61" spans="1:16" ht="27.2" customHeight="1" x14ac:dyDescent="0.25">
      <c r="A61" s="537"/>
      <c r="B61" s="780" t="s">
        <v>379</v>
      </c>
      <c r="C61" s="780"/>
      <c r="D61" s="780"/>
      <c r="E61" s="780"/>
      <c r="F61" s="780"/>
      <c r="G61" s="780"/>
      <c r="H61" s="537"/>
      <c r="I61" s="537"/>
      <c r="J61" s="780"/>
      <c r="K61" s="780"/>
      <c r="L61" s="780"/>
      <c r="M61" s="780"/>
      <c r="N61" s="780"/>
      <c r="O61" s="780"/>
      <c r="P61" s="780"/>
    </row>
    <row r="62" spans="1:16" ht="81.599999999999994" customHeight="1" x14ac:dyDescent="0.25">
      <c r="A62" s="542" t="s">
        <v>9</v>
      </c>
      <c r="B62" s="781" t="s">
        <v>380</v>
      </c>
      <c r="C62" s="782"/>
      <c r="D62" s="782"/>
      <c r="E62" s="782"/>
      <c r="F62" s="782" t="s">
        <v>2098</v>
      </c>
      <c r="G62" s="782"/>
      <c r="H62" s="623" t="s">
        <v>2314</v>
      </c>
      <c r="I62" s="623" t="s">
        <v>2301</v>
      </c>
      <c r="J62" s="782" t="s">
        <v>2097</v>
      </c>
      <c r="K62" s="782"/>
      <c r="L62" s="782"/>
      <c r="M62" s="783">
        <f>ROUND(459 * 60 * 1.25, 2)</f>
        <v>34425</v>
      </c>
      <c r="N62" s="782"/>
      <c r="O62" s="782" t="s">
        <v>638</v>
      </c>
      <c r="P62" s="782"/>
    </row>
    <row r="63" spans="1:16" x14ac:dyDescent="0.25">
      <c r="A63" s="535"/>
      <c r="B63" s="774" t="s">
        <v>306</v>
      </c>
      <c r="C63" s="774"/>
      <c r="D63" s="774"/>
      <c r="E63" s="774"/>
      <c r="F63" s="774" t="s">
        <v>129</v>
      </c>
      <c r="G63" s="774"/>
      <c r="H63" s="535"/>
      <c r="I63" s="535"/>
      <c r="J63" s="774" t="s">
        <v>129</v>
      </c>
      <c r="K63" s="774"/>
      <c r="L63" s="774"/>
      <c r="M63" s="774"/>
      <c r="N63" s="774"/>
      <c r="O63" s="774"/>
      <c r="P63" s="774"/>
    </row>
    <row r="64" spans="1:16" ht="68.099999999999994" customHeight="1" x14ac:dyDescent="0.25">
      <c r="A64" s="536"/>
      <c r="B64" s="775" t="s">
        <v>370</v>
      </c>
      <c r="C64" s="775"/>
      <c r="D64" s="775"/>
      <c r="E64" s="775"/>
      <c r="F64" s="775" t="s">
        <v>371</v>
      </c>
      <c r="G64" s="775"/>
      <c r="H64" s="536"/>
      <c r="I64" s="536"/>
      <c r="J64" s="775" t="s">
        <v>129</v>
      </c>
      <c r="K64" s="775"/>
      <c r="L64" s="775"/>
      <c r="M64" s="775"/>
      <c r="N64" s="775"/>
      <c r="O64" s="775"/>
      <c r="P64" s="775"/>
    </row>
    <row r="65" spans="1:16" ht="81.599999999999994" customHeight="1" x14ac:dyDescent="0.25">
      <c r="A65" s="542" t="s">
        <v>10</v>
      </c>
      <c r="B65" s="781" t="s">
        <v>380</v>
      </c>
      <c r="C65" s="782"/>
      <c r="D65" s="782"/>
      <c r="E65" s="782"/>
      <c r="F65" s="782" t="s">
        <v>636</v>
      </c>
      <c r="G65" s="782"/>
      <c r="H65" s="623" t="s">
        <v>2314</v>
      </c>
      <c r="I65" s="623" t="s">
        <v>2300</v>
      </c>
      <c r="J65" s="782" t="s">
        <v>637</v>
      </c>
      <c r="K65" s="782"/>
      <c r="L65" s="782"/>
      <c r="M65" s="783">
        <f>ROUND(459 * 40 * 1.25, 2)</f>
        <v>22950</v>
      </c>
      <c r="N65" s="782"/>
      <c r="O65" s="782" t="s">
        <v>639</v>
      </c>
      <c r="P65" s="782"/>
    </row>
    <row r="66" spans="1:16" x14ac:dyDescent="0.25">
      <c r="A66" s="535"/>
      <c r="B66" s="774" t="s">
        <v>306</v>
      </c>
      <c r="C66" s="774"/>
      <c r="D66" s="774"/>
      <c r="E66" s="774"/>
      <c r="F66" s="774" t="s">
        <v>129</v>
      </c>
      <c r="G66" s="774"/>
      <c r="H66" s="535"/>
      <c r="I66" s="535"/>
      <c r="J66" s="774" t="s">
        <v>129</v>
      </c>
      <c r="K66" s="774"/>
      <c r="L66" s="774"/>
      <c r="M66" s="774"/>
      <c r="N66" s="774"/>
      <c r="O66" s="774"/>
      <c r="P66" s="774"/>
    </row>
    <row r="67" spans="1:16" ht="68.099999999999994" customHeight="1" x14ac:dyDescent="0.25">
      <c r="A67" s="536"/>
      <c r="B67" s="775" t="s">
        <v>370</v>
      </c>
      <c r="C67" s="775"/>
      <c r="D67" s="775"/>
      <c r="E67" s="775"/>
      <c r="F67" s="775" t="s">
        <v>371</v>
      </c>
      <c r="G67" s="775"/>
      <c r="H67" s="536"/>
      <c r="I67" s="536"/>
      <c r="J67" s="775" t="s">
        <v>129</v>
      </c>
      <c r="K67" s="775"/>
      <c r="L67" s="775"/>
      <c r="M67" s="775"/>
      <c r="N67" s="775"/>
      <c r="O67" s="775"/>
      <c r="P67" s="775"/>
    </row>
    <row r="68" spans="1:16" ht="81.599999999999994" customHeight="1" x14ac:dyDescent="0.25">
      <c r="A68" s="542" t="s">
        <v>11</v>
      </c>
      <c r="B68" s="781" t="s">
        <v>381</v>
      </c>
      <c r="C68" s="782"/>
      <c r="D68" s="782"/>
      <c r="E68" s="782"/>
      <c r="F68" s="782" t="s">
        <v>2096</v>
      </c>
      <c r="G68" s="782"/>
      <c r="H68" s="623" t="s">
        <v>2314</v>
      </c>
      <c r="I68" s="623" t="s">
        <v>2301</v>
      </c>
      <c r="J68" s="782" t="s">
        <v>2095</v>
      </c>
      <c r="K68" s="782"/>
      <c r="L68" s="782"/>
      <c r="M68" s="783">
        <f>ROUND(335 * 60 * 1.25, 2)</f>
        <v>25125</v>
      </c>
      <c r="N68" s="782"/>
      <c r="O68" s="782" t="s">
        <v>638</v>
      </c>
      <c r="P68" s="782"/>
    </row>
    <row r="69" spans="1:16" x14ac:dyDescent="0.25">
      <c r="A69" s="535"/>
      <c r="B69" s="774" t="s">
        <v>306</v>
      </c>
      <c r="C69" s="774"/>
      <c r="D69" s="774"/>
      <c r="E69" s="774"/>
      <c r="F69" s="774" t="s">
        <v>129</v>
      </c>
      <c r="G69" s="774"/>
      <c r="H69" s="535"/>
      <c r="I69" s="535"/>
      <c r="J69" s="774" t="s">
        <v>129</v>
      </c>
      <c r="K69" s="774"/>
      <c r="L69" s="774"/>
      <c r="M69" s="774"/>
      <c r="N69" s="774"/>
      <c r="O69" s="774"/>
      <c r="P69" s="774"/>
    </row>
    <row r="70" spans="1:16" ht="68.099999999999994" customHeight="1" x14ac:dyDescent="0.25">
      <c r="A70" s="536"/>
      <c r="B70" s="775" t="s">
        <v>370</v>
      </c>
      <c r="C70" s="775"/>
      <c r="D70" s="775"/>
      <c r="E70" s="775"/>
      <c r="F70" s="775" t="s">
        <v>371</v>
      </c>
      <c r="G70" s="775"/>
      <c r="H70" s="536"/>
      <c r="I70" s="536"/>
      <c r="J70" s="775" t="s">
        <v>129</v>
      </c>
      <c r="K70" s="775"/>
      <c r="L70" s="775"/>
      <c r="M70" s="775"/>
      <c r="N70" s="775"/>
      <c r="O70" s="775"/>
      <c r="P70" s="775"/>
    </row>
    <row r="71" spans="1:16" ht="81.599999999999994" customHeight="1" x14ac:dyDescent="0.25">
      <c r="A71" s="542" t="s">
        <v>159</v>
      </c>
      <c r="B71" s="781" t="s">
        <v>381</v>
      </c>
      <c r="C71" s="782"/>
      <c r="D71" s="782"/>
      <c r="E71" s="782"/>
      <c r="F71" s="782" t="s">
        <v>640</v>
      </c>
      <c r="G71" s="782"/>
      <c r="H71" s="623" t="s">
        <v>2314</v>
      </c>
      <c r="I71" s="623" t="s">
        <v>2300</v>
      </c>
      <c r="J71" s="782" t="s">
        <v>641</v>
      </c>
      <c r="K71" s="782"/>
      <c r="L71" s="782"/>
      <c r="M71" s="783">
        <f>ROUND(335 * 40 * 1.25, 2)</f>
        <v>16750</v>
      </c>
      <c r="N71" s="782"/>
      <c r="O71" s="782" t="s">
        <v>639</v>
      </c>
      <c r="P71" s="782"/>
    </row>
    <row r="72" spans="1:16" x14ac:dyDescent="0.25">
      <c r="A72" s="535"/>
      <c r="B72" s="774" t="s">
        <v>306</v>
      </c>
      <c r="C72" s="774"/>
      <c r="D72" s="774"/>
      <c r="E72" s="774"/>
      <c r="F72" s="774" t="s">
        <v>129</v>
      </c>
      <c r="G72" s="774"/>
      <c r="H72" s="535"/>
      <c r="I72" s="535"/>
      <c r="J72" s="774" t="s">
        <v>129</v>
      </c>
      <c r="K72" s="774"/>
      <c r="L72" s="774"/>
      <c r="M72" s="774"/>
      <c r="N72" s="774"/>
      <c r="O72" s="774"/>
      <c r="P72" s="774"/>
    </row>
    <row r="73" spans="1:16" ht="68.099999999999994" customHeight="1" x14ac:dyDescent="0.25">
      <c r="A73" s="536"/>
      <c r="B73" s="775" t="s">
        <v>370</v>
      </c>
      <c r="C73" s="775"/>
      <c r="D73" s="775"/>
      <c r="E73" s="775"/>
      <c r="F73" s="775" t="s">
        <v>371</v>
      </c>
      <c r="G73" s="775"/>
      <c r="H73" s="536"/>
      <c r="I73" s="536"/>
      <c r="J73" s="775" t="s">
        <v>129</v>
      </c>
      <c r="K73" s="775"/>
      <c r="L73" s="775"/>
      <c r="M73" s="775"/>
      <c r="N73" s="775"/>
      <c r="O73" s="775"/>
      <c r="P73" s="775"/>
    </row>
    <row r="74" spans="1:16" ht="81.599999999999994" customHeight="1" x14ac:dyDescent="0.25">
      <c r="A74" s="542" t="s">
        <v>160</v>
      </c>
      <c r="B74" s="781" t="s">
        <v>382</v>
      </c>
      <c r="C74" s="782"/>
      <c r="D74" s="782"/>
      <c r="E74" s="782"/>
      <c r="F74" s="782" t="s">
        <v>2094</v>
      </c>
      <c r="G74" s="782"/>
      <c r="H74" s="623" t="s">
        <v>2314</v>
      </c>
      <c r="I74" s="623" t="s">
        <v>2301</v>
      </c>
      <c r="J74" s="782" t="s">
        <v>2093</v>
      </c>
      <c r="K74" s="782"/>
      <c r="L74" s="782"/>
      <c r="M74" s="783">
        <f>ROUND(141 * 60 * 1.25, 2)</f>
        <v>10575</v>
      </c>
      <c r="N74" s="782"/>
      <c r="O74" s="782" t="s">
        <v>638</v>
      </c>
      <c r="P74" s="782"/>
    </row>
    <row r="75" spans="1:16" x14ac:dyDescent="0.25">
      <c r="A75" s="535"/>
      <c r="B75" s="774" t="s">
        <v>306</v>
      </c>
      <c r="C75" s="774"/>
      <c r="D75" s="774"/>
      <c r="E75" s="774"/>
      <c r="F75" s="774" t="s">
        <v>129</v>
      </c>
      <c r="G75" s="774"/>
      <c r="H75" s="535"/>
      <c r="I75" s="535"/>
      <c r="J75" s="774" t="s">
        <v>129</v>
      </c>
      <c r="K75" s="774"/>
      <c r="L75" s="774"/>
      <c r="M75" s="774"/>
      <c r="N75" s="774"/>
      <c r="O75" s="774"/>
      <c r="P75" s="774"/>
    </row>
    <row r="76" spans="1:16" ht="68.099999999999994" customHeight="1" x14ac:dyDescent="0.25">
      <c r="A76" s="536"/>
      <c r="B76" s="775" t="s">
        <v>370</v>
      </c>
      <c r="C76" s="775"/>
      <c r="D76" s="775"/>
      <c r="E76" s="775"/>
      <c r="F76" s="775" t="s">
        <v>371</v>
      </c>
      <c r="G76" s="775"/>
      <c r="H76" s="536"/>
      <c r="I76" s="536"/>
      <c r="J76" s="775" t="s">
        <v>129</v>
      </c>
      <c r="K76" s="775"/>
      <c r="L76" s="775"/>
      <c r="M76" s="775"/>
      <c r="N76" s="775"/>
      <c r="O76" s="775"/>
      <c r="P76" s="775"/>
    </row>
    <row r="77" spans="1:16" ht="81.599999999999994" customHeight="1" x14ac:dyDescent="0.25">
      <c r="A77" s="542" t="s">
        <v>161</v>
      </c>
      <c r="B77" s="781" t="s">
        <v>382</v>
      </c>
      <c r="C77" s="782"/>
      <c r="D77" s="782"/>
      <c r="E77" s="782"/>
      <c r="F77" s="782" t="s">
        <v>642</v>
      </c>
      <c r="G77" s="782"/>
      <c r="H77" s="623" t="s">
        <v>2314</v>
      </c>
      <c r="I77" s="623" t="s">
        <v>2300</v>
      </c>
      <c r="J77" s="782" t="s">
        <v>643</v>
      </c>
      <c r="K77" s="782"/>
      <c r="L77" s="782"/>
      <c r="M77" s="783">
        <f>ROUND(141 * 40 * 1.25, 2)</f>
        <v>7050</v>
      </c>
      <c r="N77" s="782"/>
      <c r="O77" s="782" t="s">
        <v>639</v>
      </c>
      <c r="P77" s="782"/>
    </row>
    <row r="78" spans="1:16" x14ac:dyDescent="0.25">
      <c r="A78" s="535"/>
      <c r="B78" s="774" t="s">
        <v>306</v>
      </c>
      <c r="C78" s="774"/>
      <c r="D78" s="774"/>
      <c r="E78" s="774"/>
      <c r="F78" s="774" t="s">
        <v>129</v>
      </c>
      <c r="G78" s="774"/>
      <c r="H78" s="535"/>
      <c r="I78" s="535"/>
      <c r="J78" s="774" t="s">
        <v>129</v>
      </c>
      <c r="K78" s="774"/>
      <c r="L78" s="774"/>
      <c r="M78" s="774"/>
      <c r="N78" s="774"/>
      <c r="O78" s="774"/>
      <c r="P78" s="774"/>
    </row>
    <row r="79" spans="1:16" ht="68.099999999999994" customHeight="1" x14ac:dyDescent="0.25">
      <c r="A79" s="536"/>
      <c r="B79" s="775" t="s">
        <v>370</v>
      </c>
      <c r="C79" s="775"/>
      <c r="D79" s="775"/>
      <c r="E79" s="775"/>
      <c r="F79" s="775" t="s">
        <v>371</v>
      </c>
      <c r="G79" s="775"/>
      <c r="H79" s="536"/>
      <c r="I79" s="536"/>
      <c r="J79" s="775" t="s">
        <v>129</v>
      </c>
      <c r="K79" s="775"/>
      <c r="L79" s="775"/>
      <c r="M79" s="775"/>
      <c r="N79" s="775"/>
      <c r="O79" s="775"/>
      <c r="P79" s="775"/>
    </row>
    <row r="80" spans="1:16" ht="95.25" customHeight="1" x14ac:dyDescent="0.25">
      <c r="A80" s="542" t="s">
        <v>179</v>
      </c>
      <c r="B80" s="781" t="s">
        <v>383</v>
      </c>
      <c r="C80" s="782"/>
      <c r="D80" s="782"/>
      <c r="E80" s="782"/>
      <c r="F80" s="782" t="s">
        <v>2092</v>
      </c>
      <c r="G80" s="782"/>
      <c r="H80" s="623" t="s">
        <v>2312</v>
      </c>
      <c r="I80" s="623" t="s">
        <v>2301</v>
      </c>
      <c r="J80" s="782" t="s">
        <v>2091</v>
      </c>
      <c r="K80" s="782"/>
      <c r="L80" s="782"/>
      <c r="M80" s="783">
        <f>ROUND(529 * 60 * 1.25, 2)</f>
        <v>39675</v>
      </c>
      <c r="N80" s="782"/>
      <c r="O80" s="782" t="s">
        <v>129</v>
      </c>
      <c r="P80" s="782"/>
    </row>
    <row r="81" spans="1:16" x14ac:dyDescent="0.25">
      <c r="A81" s="535"/>
      <c r="B81" s="774" t="s">
        <v>306</v>
      </c>
      <c r="C81" s="774"/>
      <c r="D81" s="774"/>
      <c r="E81" s="774"/>
      <c r="F81" s="774" t="s">
        <v>129</v>
      </c>
      <c r="G81" s="774"/>
      <c r="H81" s="535"/>
      <c r="I81" s="535"/>
      <c r="J81" s="774" t="s">
        <v>129</v>
      </c>
      <c r="K81" s="774"/>
      <c r="L81" s="774"/>
      <c r="M81" s="774"/>
      <c r="N81" s="774"/>
      <c r="O81" s="774"/>
      <c r="P81" s="774"/>
    </row>
    <row r="82" spans="1:16" ht="68.099999999999994" customHeight="1" x14ac:dyDescent="0.25">
      <c r="A82" s="536"/>
      <c r="B82" s="775" t="s">
        <v>370</v>
      </c>
      <c r="C82" s="775"/>
      <c r="D82" s="775"/>
      <c r="E82" s="775"/>
      <c r="F82" s="775" t="s">
        <v>371</v>
      </c>
      <c r="G82" s="775"/>
      <c r="H82" s="536"/>
      <c r="I82" s="536"/>
      <c r="J82" s="775" t="s">
        <v>129</v>
      </c>
      <c r="K82" s="775"/>
      <c r="L82" s="775"/>
      <c r="M82" s="775"/>
      <c r="N82" s="775"/>
      <c r="O82" s="775"/>
      <c r="P82" s="775"/>
    </row>
    <row r="83" spans="1:16" ht="122.45" customHeight="1" x14ac:dyDescent="0.25">
      <c r="A83" s="542" t="s">
        <v>180</v>
      </c>
      <c r="B83" s="781" t="s">
        <v>384</v>
      </c>
      <c r="C83" s="782"/>
      <c r="D83" s="782"/>
      <c r="E83" s="782"/>
      <c r="F83" s="782" t="s">
        <v>2090</v>
      </c>
      <c r="G83" s="782"/>
      <c r="H83" s="623" t="s">
        <v>2312</v>
      </c>
      <c r="I83" s="623" t="s">
        <v>2301</v>
      </c>
      <c r="J83" s="782" t="s">
        <v>2089</v>
      </c>
      <c r="K83" s="782"/>
      <c r="L83" s="782"/>
      <c r="M83" s="783">
        <f>ROUND(229 * 60 * 1.25, 2)</f>
        <v>17175</v>
      </c>
      <c r="N83" s="782"/>
      <c r="O83" s="782" t="s">
        <v>638</v>
      </c>
      <c r="P83" s="782"/>
    </row>
    <row r="84" spans="1:16" x14ac:dyDescent="0.25">
      <c r="A84" s="535"/>
      <c r="B84" s="774" t="s">
        <v>306</v>
      </c>
      <c r="C84" s="774"/>
      <c r="D84" s="774"/>
      <c r="E84" s="774"/>
      <c r="F84" s="774" t="s">
        <v>129</v>
      </c>
      <c r="G84" s="774"/>
      <c r="H84" s="535"/>
      <c r="I84" s="535"/>
      <c r="J84" s="774" t="s">
        <v>129</v>
      </c>
      <c r="K84" s="774"/>
      <c r="L84" s="774"/>
      <c r="M84" s="774"/>
      <c r="N84" s="774"/>
      <c r="O84" s="774"/>
      <c r="P84" s="774"/>
    </row>
    <row r="85" spans="1:16" ht="68.099999999999994" customHeight="1" x14ac:dyDescent="0.25">
      <c r="A85" s="536"/>
      <c r="B85" s="775" t="s">
        <v>370</v>
      </c>
      <c r="C85" s="775"/>
      <c r="D85" s="775"/>
      <c r="E85" s="775"/>
      <c r="F85" s="775" t="s">
        <v>371</v>
      </c>
      <c r="G85" s="775"/>
      <c r="H85" s="536"/>
      <c r="I85" s="536"/>
      <c r="J85" s="775" t="s">
        <v>129</v>
      </c>
      <c r="K85" s="775"/>
      <c r="L85" s="775"/>
      <c r="M85" s="775"/>
      <c r="N85" s="775"/>
      <c r="O85" s="775"/>
      <c r="P85" s="775"/>
    </row>
    <row r="86" spans="1:16" ht="122.45" customHeight="1" x14ac:dyDescent="0.25">
      <c r="A86" s="542" t="s">
        <v>181</v>
      </c>
      <c r="B86" s="781" t="s">
        <v>384</v>
      </c>
      <c r="C86" s="782"/>
      <c r="D86" s="782"/>
      <c r="E86" s="782"/>
      <c r="F86" s="782" t="s">
        <v>2088</v>
      </c>
      <c r="G86" s="782"/>
      <c r="H86" s="623" t="s">
        <v>2312</v>
      </c>
      <c r="I86" s="623" t="s">
        <v>2300</v>
      </c>
      <c r="J86" s="782" t="s">
        <v>2087</v>
      </c>
      <c r="K86" s="782"/>
      <c r="L86" s="782"/>
      <c r="M86" s="783">
        <f>ROUND(229 * 40 * 1.25, 2)</f>
        <v>11450</v>
      </c>
      <c r="N86" s="782"/>
      <c r="O86" s="782" t="s">
        <v>639</v>
      </c>
      <c r="P86" s="782"/>
    </row>
    <row r="87" spans="1:16" x14ac:dyDescent="0.25">
      <c r="A87" s="535"/>
      <c r="B87" s="774" t="s">
        <v>306</v>
      </c>
      <c r="C87" s="774"/>
      <c r="D87" s="774"/>
      <c r="E87" s="774"/>
      <c r="F87" s="774" t="s">
        <v>129</v>
      </c>
      <c r="G87" s="774"/>
      <c r="H87" s="535"/>
      <c r="I87" s="535"/>
      <c r="J87" s="774" t="s">
        <v>129</v>
      </c>
      <c r="K87" s="774"/>
      <c r="L87" s="774"/>
      <c r="M87" s="774"/>
      <c r="N87" s="774"/>
      <c r="O87" s="774"/>
      <c r="P87" s="774"/>
    </row>
    <row r="88" spans="1:16" ht="68.099999999999994" customHeight="1" x14ac:dyDescent="0.25">
      <c r="A88" s="536"/>
      <c r="B88" s="775" t="s">
        <v>370</v>
      </c>
      <c r="C88" s="775"/>
      <c r="D88" s="775"/>
      <c r="E88" s="775"/>
      <c r="F88" s="775" t="s">
        <v>371</v>
      </c>
      <c r="G88" s="775"/>
      <c r="H88" s="536"/>
      <c r="I88" s="536"/>
      <c r="J88" s="775" t="s">
        <v>129</v>
      </c>
      <c r="K88" s="775"/>
      <c r="L88" s="775"/>
      <c r="M88" s="775"/>
      <c r="N88" s="775"/>
      <c r="O88" s="775"/>
      <c r="P88" s="775"/>
    </row>
    <row r="89" spans="1:16" ht="122.45" customHeight="1" x14ac:dyDescent="0.25">
      <c r="A89" s="542" t="s">
        <v>182</v>
      </c>
      <c r="B89" s="781" t="s">
        <v>385</v>
      </c>
      <c r="C89" s="782"/>
      <c r="D89" s="782"/>
      <c r="E89" s="782"/>
      <c r="F89" s="782" t="s">
        <v>2086</v>
      </c>
      <c r="G89" s="782"/>
      <c r="H89" s="623" t="s">
        <v>2312</v>
      </c>
      <c r="I89" s="623" t="s">
        <v>2301</v>
      </c>
      <c r="J89" s="782" t="s">
        <v>2085</v>
      </c>
      <c r="K89" s="782"/>
      <c r="L89" s="782"/>
      <c r="M89" s="783">
        <f>ROUND(600 * 60 * 1.25, 2)</f>
        <v>45000</v>
      </c>
      <c r="N89" s="782"/>
      <c r="O89" s="782" t="s">
        <v>638</v>
      </c>
      <c r="P89" s="782"/>
    </row>
    <row r="90" spans="1:16" x14ac:dyDescent="0.25">
      <c r="A90" s="535"/>
      <c r="B90" s="774" t="s">
        <v>306</v>
      </c>
      <c r="C90" s="774"/>
      <c r="D90" s="774"/>
      <c r="E90" s="774"/>
      <c r="F90" s="774" t="s">
        <v>129</v>
      </c>
      <c r="G90" s="774"/>
      <c r="H90" s="535"/>
      <c r="I90" s="535"/>
      <c r="J90" s="774" t="s">
        <v>129</v>
      </c>
      <c r="K90" s="774"/>
      <c r="L90" s="774"/>
      <c r="M90" s="774"/>
      <c r="N90" s="774"/>
      <c r="O90" s="774"/>
      <c r="P90" s="774"/>
    </row>
    <row r="91" spans="1:16" ht="68.099999999999994" customHeight="1" x14ac:dyDescent="0.25">
      <c r="A91" s="536"/>
      <c r="B91" s="775" t="s">
        <v>370</v>
      </c>
      <c r="C91" s="775"/>
      <c r="D91" s="775"/>
      <c r="E91" s="775"/>
      <c r="F91" s="775" t="s">
        <v>371</v>
      </c>
      <c r="G91" s="775"/>
      <c r="H91" s="536"/>
      <c r="I91" s="536"/>
      <c r="J91" s="775" t="s">
        <v>129</v>
      </c>
      <c r="K91" s="775"/>
      <c r="L91" s="775"/>
      <c r="M91" s="775"/>
      <c r="N91" s="775"/>
      <c r="O91" s="775"/>
      <c r="P91" s="775"/>
    </row>
    <row r="92" spans="1:16" ht="122.45" customHeight="1" x14ac:dyDescent="0.25">
      <c r="A92" s="542" t="s">
        <v>184</v>
      </c>
      <c r="B92" s="781" t="s">
        <v>385</v>
      </c>
      <c r="C92" s="782"/>
      <c r="D92" s="782"/>
      <c r="E92" s="782"/>
      <c r="F92" s="782" t="s">
        <v>644</v>
      </c>
      <c r="G92" s="782"/>
      <c r="H92" s="623" t="s">
        <v>2312</v>
      </c>
      <c r="I92" s="623" t="s">
        <v>2300</v>
      </c>
      <c r="J92" s="782" t="s">
        <v>645</v>
      </c>
      <c r="K92" s="782"/>
      <c r="L92" s="782"/>
      <c r="M92" s="783">
        <f>ROUND(600 * 40 * 1.25, 2)</f>
        <v>30000</v>
      </c>
      <c r="N92" s="782"/>
      <c r="O92" s="782" t="s">
        <v>639</v>
      </c>
      <c r="P92" s="782"/>
    </row>
    <row r="93" spans="1:16" x14ac:dyDescent="0.25">
      <c r="A93" s="535"/>
      <c r="B93" s="774" t="s">
        <v>306</v>
      </c>
      <c r="C93" s="774"/>
      <c r="D93" s="774"/>
      <c r="E93" s="774"/>
      <c r="F93" s="774" t="s">
        <v>129</v>
      </c>
      <c r="G93" s="774"/>
      <c r="H93" s="535"/>
      <c r="I93" s="535"/>
      <c r="J93" s="774" t="s">
        <v>129</v>
      </c>
      <c r="K93" s="774"/>
      <c r="L93" s="774"/>
      <c r="M93" s="774"/>
      <c r="N93" s="774"/>
      <c r="O93" s="774"/>
      <c r="P93" s="774"/>
    </row>
    <row r="94" spans="1:16" ht="68.099999999999994" customHeight="1" x14ac:dyDescent="0.25">
      <c r="A94" s="536"/>
      <c r="B94" s="775" t="s">
        <v>370</v>
      </c>
      <c r="C94" s="775"/>
      <c r="D94" s="775"/>
      <c r="E94" s="775"/>
      <c r="F94" s="775" t="s">
        <v>371</v>
      </c>
      <c r="G94" s="775"/>
      <c r="H94" s="536"/>
      <c r="I94" s="536"/>
      <c r="J94" s="775" t="s">
        <v>129</v>
      </c>
      <c r="K94" s="775"/>
      <c r="L94" s="775"/>
      <c r="M94" s="775"/>
      <c r="N94" s="775"/>
      <c r="O94" s="775"/>
      <c r="P94" s="775"/>
    </row>
    <row r="95" spans="1:16" ht="231.2" customHeight="1" x14ac:dyDescent="0.25">
      <c r="A95" s="542" t="s">
        <v>185</v>
      </c>
      <c r="B95" s="781" t="s">
        <v>386</v>
      </c>
      <c r="C95" s="782"/>
      <c r="D95" s="782"/>
      <c r="E95" s="782"/>
      <c r="F95" s="782" t="s">
        <v>2084</v>
      </c>
      <c r="G95" s="782"/>
      <c r="H95" s="623" t="s">
        <v>2312</v>
      </c>
      <c r="I95" s="623" t="s">
        <v>2301</v>
      </c>
      <c r="J95" s="782" t="s">
        <v>2078</v>
      </c>
      <c r="K95" s="782"/>
      <c r="L95" s="782"/>
      <c r="M95" s="783">
        <f>ROUND(1676 * 60 * 1.25, 2)</f>
        <v>125700</v>
      </c>
      <c r="N95" s="782"/>
      <c r="O95" s="782" t="s">
        <v>638</v>
      </c>
      <c r="P95" s="782"/>
    </row>
    <row r="96" spans="1:16" x14ac:dyDescent="0.25">
      <c r="A96" s="535"/>
      <c r="B96" s="774" t="s">
        <v>306</v>
      </c>
      <c r="C96" s="774"/>
      <c r="D96" s="774"/>
      <c r="E96" s="774"/>
      <c r="F96" s="774" t="s">
        <v>129</v>
      </c>
      <c r="G96" s="774"/>
      <c r="H96" s="535"/>
      <c r="I96" s="535"/>
      <c r="J96" s="774" t="s">
        <v>129</v>
      </c>
      <c r="K96" s="774"/>
      <c r="L96" s="774"/>
      <c r="M96" s="774"/>
      <c r="N96" s="774"/>
      <c r="O96" s="774"/>
      <c r="P96" s="774"/>
    </row>
    <row r="97" spans="1:16" ht="68.099999999999994" customHeight="1" x14ac:dyDescent="0.25">
      <c r="A97" s="536"/>
      <c r="B97" s="775" t="s">
        <v>370</v>
      </c>
      <c r="C97" s="775"/>
      <c r="D97" s="775"/>
      <c r="E97" s="775"/>
      <c r="F97" s="775" t="s">
        <v>371</v>
      </c>
      <c r="G97" s="775"/>
      <c r="H97" s="536"/>
      <c r="I97" s="536"/>
      <c r="J97" s="775" t="s">
        <v>129</v>
      </c>
      <c r="K97" s="775"/>
      <c r="L97" s="775"/>
      <c r="M97" s="775"/>
      <c r="N97" s="775"/>
      <c r="O97" s="775"/>
      <c r="P97" s="775"/>
    </row>
    <row r="98" spans="1:16" ht="258.39999999999998" customHeight="1" x14ac:dyDescent="0.25">
      <c r="A98" s="542" t="s">
        <v>186</v>
      </c>
      <c r="B98" s="781" t="s">
        <v>387</v>
      </c>
      <c r="C98" s="782"/>
      <c r="D98" s="782"/>
      <c r="E98" s="782"/>
      <c r="F98" s="782" t="s">
        <v>2083</v>
      </c>
      <c r="G98" s="782"/>
      <c r="H98" s="623" t="s">
        <v>2312</v>
      </c>
      <c r="I98" s="623" t="s">
        <v>2300</v>
      </c>
      <c r="J98" s="782" t="s">
        <v>2082</v>
      </c>
      <c r="K98" s="782"/>
      <c r="L98" s="782"/>
      <c r="M98" s="783">
        <f>ROUND(1835 * 40 * 1.25, 2)</f>
        <v>91750</v>
      </c>
      <c r="N98" s="782"/>
      <c r="O98" s="782" t="s">
        <v>639</v>
      </c>
      <c r="P98" s="782"/>
    </row>
    <row r="99" spans="1:16" x14ac:dyDescent="0.25">
      <c r="A99" s="535"/>
      <c r="B99" s="774" t="s">
        <v>306</v>
      </c>
      <c r="C99" s="774"/>
      <c r="D99" s="774"/>
      <c r="E99" s="774"/>
      <c r="F99" s="774" t="s">
        <v>129</v>
      </c>
      <c r="G99" s="774"/>
      <c r="H99" s="535"/>
      <c r="I99" s="535"/>
      <c r="J99" s="774" t="s">
        <v>129</v>
      </c>
      <c r="K99" s="774"/>
      <c r="L99" s="774"/>
      <c r="M99" s="774"/>
      <c r="N99" s="774"/>
      <c r="O99" s="774"/>
      <c r="P99" s="774"/>
    </row>
    <row r="100" spans="1:16" ht="68.099999999999994" customHeight="1" x14ac:dyDescent="0.25">
      <c r="A100" s="536"/>
      <c r="B100" s="775" t="s">
        <v>370</v>
      </c>
      <c r="C100" s="775"/>
      <c r="D100" s="775"/>
      <c r="E100" s="775"/>
      <c r="F100" s="775" t="s">
        <v>371</v>
      </c>
      <c r="G100" s="775"/>
      <c r="H100" s="536"/>
      <c r="I100" s="536"/>
      <c r="J100" s="775" t="s">
        <v>129</v>
      </c>
      <c r="K100" s="775"/>
      <c r="L100" s="775"/>
      <c r="M100" s="775"/>
      <c r="N100" s="775"/>
      <c r="O100" s="775"/>
      <c r="P100" s="775"/>
    </row>
    <row r="101" spans="1:16" ht="95.25" customHeight="1" x14ac:dyDescent="0.25">
      <c r="A101" s="542" t="s">
        <v>18</v>
      </c>
      <c r="B101" s="781" t="s">
        <v>427</v>
      </c>
      <c r="C101" s="782"/>
      <c r="D101" s="782"/>
      <c r="E101" s="782"/>
      <c r="F101" s="782" t="s">
        <v>646</v>
      </c>
      <c r="G101" s="782"/>
      <c r="H101" s="623" t="s">
        <v>2312</v>
      </c>
      <c r="I101" s="623" t="s">
        <v>2313</v>
      </c>
      <c r="J101" s="782" t="s">
        <v>428</v>
      </c>
      <c r="K101" s="782"/>
      <c r="L101" s="782"/>
      <c r="M101" s="783">
        <f>ROUND(723 * 10 * 1.25, 2)</f>
        <v>9037.5</v>
      </c>
      <c r="N101" s="782"/>
      <c r="O101" s="782" t="s">
        <v>129</v>
      </c>
      <c r="P101" s="782"/>
    </row>
    <row r="102" spans="1:16" x14ac:dyDescent="0.25">
      <c r="A102" s="535"/>
      <c r="B102" s="774" t="s">
        <v>306</v>
      </c>
      <c r="C102" s="774"/>
      <c r="D102" s="774"/>
      <c r="E102" s="774"/>
      <c r="F102" s="774" t="s">
        <v>129</v>
      </c>
      <c r="G102" s="774"/>
      <c r="H102" s="535"/>
      <c r="I102" s="535"/>
      <c r="J102" s="774" t="s">
        <v>129</v>
      </c>
      <c r="K102" s="774"/>
      <c r="L102" s="774"/>
      <c r="M102" s="774"/>
      <c r="N102" s="774"/>
      <c r="O102" s="774"/>
      <c r="P102" s="774"/>
    </row>
    <row r="103" spans="1:16" ht="68.099999999999994" customHeight="1" x14ac:dyDescent="0.25">
      <c r="A103" s="536"/>
      <c r="B103" s="775" t="s">
        <v>370</v>
      </c>
      <c r="C103" s="775"/>
      <c r="D103" s="775"/>
      <c r="E103" s="775"/>
      <c r="F103" s="775" t="s">
        <v>371</v>
      </c>
      <c r="G103" s="775"/>
      <c r="H103" s="536"/>
      <c r="I103" s="536"/>
      <c r="J103" s="775" t="s">
        <v>129</v>
      </c>
      <c r="K103" s="775"/>
      <c r="L103" s="775"/>
      <c r="M103" s="775"/>
      <c r="N103" s="775"/>
      <c r="O103" s="775"/>
      <c r="P103" s="775"/>
    </row>
    <row r="104" spans="1:16" ht="163.15" customHeight="1" x14ac:dyDescent="0.25">
      <c r="A104" s="542" t="s">
        <v>19</v>
      </c>
      <c r="B104" s="781" t="s">
        <v>388</v>
      </c>
      <c r="C104" s="782"/>
      <c r="D104" s="782"/>
      <c r="E104" s="782"/>
      <c r="F104" s="782" t="s">
        <v>647</v>
      </c>
      <c r="G104" s="782"/>
      <c r="H104" s="623" t="s">
        <v>2312</v>
      </c>
      <c r="I104" s="623" t="s">
        <v>2299</v>
      </c>
      <c r="J104" s="782" t="s">
        <v>389</v>
      </c>
      <c r="K104" s="782"/>
      <c r="L104" s="782"/>
      <c r="M104" s="783">
        <f>ROUND(7357 * 12 * 1.25, 2)</f>
        <v>110355</v>
      </c>
      <c r="N104" s="782"/>
      <c r="O104" s="782" t="s">
        <v>129</v>
      </c>
      <c r="P104" s="782"/>
    </row>
    <row r="105" spans="1:16" x14ac:dyDescent="0.25">
      <c r="A105" s="535"/>
      <c r="B105" s="774" t="s">
        <v>306</v>
      </c>
      <c r="C105" s="774"/>
      <c r="D105" s="774"/>
      <c r="E105" s="774"/>
      <c r="F105" s="774" t="s">
        <v>129</v>
      </c>
      <c r="G105" s="774"/>
      <c r="H105" s="535"/>
      <c r="I105" s="535"/>
      <c r="J105" s="774" t="s">
        <v>129</v>
      </c>
      <c r="K105" s="774"/>
      <c r="L105" s="774"/>
      <c r="M105" s="774"/>
      <c r="N105" s="774"/>
      <c r="O105" s="774"/>
      <c r="P105" s="774"/>
    </row>
    <row r="106" spans="1:16" ht="68.099999999999994" customHeight="1" x14ac:dyDescent="0.25">
      <c r="A106" s="536"/>
      <c r="B106" s="775" t="s">
        <v>370</v>
      </c>
      <c r="C106" s="775"/>
      <c r="D106" s="775"/>
      <c r="E106" s="775"/>
      <c r="F106" s="775" t="s">
        <v>371</v>
      </c>
      <c r="G106" s="775"/>
      <c r="H106" s="536"/>
      <c r="I106" s="536"/>
      <c r="J106" s="775" t="s">
        <v>129</v>
      </c>
      <c r="K106" s="775"/>
      <c r="L106" s="775"/>
      <c r="M106" s="775"/>
      <c r="N106" s="775"/>
      <c r="O106" s="775"/>
      <c r="P106" s="775"/>
    </row>
    <row r="107" spans="1:16" ht="163.15" customHeight="1" x14ac:dyDescent="0.25">
      <c r="A107" s="542" t="s">
        <v>200</v>
      </c>
      <c r="B107" s="781" t="s">
        <v>390</v>
      </c>
      <c r="C107" s="782"/>
      <c r="D107" s="782"/>
      <c r="E107" s="782"/>
      <c r="F107" s="782" t="s">
        <v>648</v>
      </c>
      <c r="G107" s="782"/>
      <c r="H107" s="623" t="s">
        <v>2312</v>
      </c>
      <c r="I107" s="623" t="s">
        <v>15</v>
      </c>
      <c r="J107" s="782" t="s">
        <v>391</v>
      </c>
      <c r="K107" s="782"/>
      <c r="L107" s="782"/>
      <c r="M107" s="783">
        <f>ROUND(7901 * 6 * 1.25, 2)</f>
        <v>59257.5</v>
      </c>
      <c r="N107" s="782"/>
      <c r="O107" s="782" t="s">
        <v>129</v>
      </c>
      <c r="P107" s="782"/>
    </row>
    <row r="108" spans="1:16" x14ac:dyDescent="0.25">
      <c r="A108" s="535"/>
      <c r="B108" s="774" t="s">
        <v>306</v>
      </c>
      <c r="C108" s="774"/>
      <c r="D108" s="774"/>
      <c r="E108" s="774"/>
      <c r="F108" s="774" t="s">
        <v>129</v>
      </c>
      <c r="G108" s="774"/>
      <c r="H108" s="535"/>
      <c r="I108" s="535"/>
      <c r="J108" s="774" t="s">
        <v>129</v>
      </c>
      <c r="K108" s="774"/>
      <c r="L108" s="774"/>
      <c r="M108" s="774"/>
      <c r="N108" s="774"/>
      <c r="O108" s="774"/>
      <c r="P108" s="774"/>
    </row>
    <row r="109" spans="1:16" ht="68.099999999999994" customHeight="1" x14ac:dyDescent="0.25">
      <c r="A109" s="536"/>
      <c r="B109" s="775" t="s">
        <v>370</v>
      </c>
      <c r="C109" s="775"/>
      <c r="D109" s="775"/>
      <c r="E109" s="775"/>
      <c r="F109" s="775" t="s">
        <v>371</v>
      </c>
      <c r="G109" s="775"/>
      <c r="H109" s="536"/>
      <c r="I109" s="536"/>
      <c r="J109" s="775" t="s">
        <v>129</v>
      </c>
      <c r="K109" s="775"/>
      <c r="L109" s="775"/>
      <c r="M109" s="775"/>
      <c r="N109" s="775"/>
      <c r="O109" s="775"/>
      <c r="P109" s="775"/>
    </row>
    <row r="110" spans="1:16" ht="149.65" customHeight="1" x14ac:dyDescent="0.25">
      <c r="A110" s="542" t="s">
        <v>201</v>
      </c>
      <c r="B110" s="781" t="s">
        <v>392</v>
      </c>
      <c r="C110" s="782"/>
      <c r="D110" s="782"/>
      <c r="E110" s="782"/>
      <c r="F110" s="782" t="s">
        <v>2081</v>
      </c>
      <c r="G110" s="782"/>
      <c r="H110" s="623" t="s">
        <v>2312</v>
      </c>
      <c r="I110" s="623" t="s">
        <v>2299</v>
      </c>
      <c r="J110" s="782" t="s">
        <v>2080</v>
      </c>
      <c r="K110" s="782"/>
      <c r="L110" s="782"/>
      <c r="M110" s="783">
        <f>ROUND(9091 * 12 * 1.25, 2)</f>
        <v>136365</v>
      </c>
      <c r="N110" s="782"/>
      <c r="O110" s="782" t="s">
        <v>129</v>
      </c>
      <c r="P110" s="782"/>
    </row>
    <row r="111" spans="1:16" x14ac:dyDescent="0.25">
      <c r="A111" s="535"/>
      <c r="B111" s="774" t="s">
        <v>306</v>
      </c>
      <c r="C111" s="774"/>
      <c r="D111" s="774"/>
      <c r="E111" s="774"/>
      <c r="F111" s="774" t="s">
        <v>129</v>
      </c>
      <c r="G111" s="774"/>
      <c r="H111" s="535"/>
      <c r="I111" s="535"/>
      <c r="J111" s="774" t="s">
        <v>129</v>
      </c>
      <c r="K111" s="774"/>
      <c r="L111" s="774"/>
      <c r="M111" s="774"/>
      <c r="N111" s="774"/>
      <c r="O111" s="774"/>
      <c r="P111" s="774"/>
    </row>
    <row r="112" spans="1:16" ht="68.099999999999994" customHeight="1" x14ac:dyDescent="0.25">
      <c r="A112" s="536"/>
      <c r="B112" s="775" t="s">
        <v>370</v>
      </c>
      <c r="C112" s="775"/>
      <c r="D112" s="775"/>
      <c r="E112" s="775"/>
      <c r="F112" s="775" t="s">
        <v>371</v>
      </c>
      <c r="G112" s="775"/>
      <c r="H112" s="536"/>
      <c r="I112" s="536"/>
      <c r="J112" s="775" t="s">
        <v>129</v>
      </c>
      <c r="K112" s="775"/>
      <c r="L112" s="775"/>
      <c r="M112" s="775"/>
      <c r="N112" s="775"/>
      <c r="O112" s="775"/>
      <c r="P112" s="775"/>
    </row>
    <row r="113" spans="1:16" ht="176.85" customHeight="1" x14ac:dyDescent="0.25">
      <c r="A113" s="542" t="s">
        <v>202</v>
      </c>
      <c r="B113" s="781" t="s">
        <v>393</v>
      </c>
      <c r="C113" s="782"/>
      <c r="D113" s="782"/>
      <c r="E113" s="782"/>
      <c r="F113" s="782" t="s">
        <v>649</v>
      </c>
      <c r="G113" s="782"/>
      <c r="H113" s="623" t="s">
        <v>2312</v>
      </c>
      <c r="I113" s="623" t="s">
        <v>2299</v>
      </c>
      <c r="J113" s="782" t="s">
        <v>394</v>
      </c>
      <c r="K113" s="782"/>
      <c r="L113" s="782"/>
      <c r="M113" s="783">
        <f>ROUND(9172 * 12 * 1.25, 2)</f>
        <v>137580</v>
      </c>
      <c r="N113" s="782"/>
      <c r="O113" s="782" t="s">
        <v>129</v>
      </c>
      <c r="P113" s="782"/>
    </row>
    <row r="114" spans="1:16" x14ac:dyDescent="0.25">
      <c r="A114" s="535"/>
      <c r="B114" s="774" t="s">
        <v>306</v>
      </c>
      <c r="C114" s="774"/>
      <c r="D114" s="774"/>
      <c r="E114" s="774"/>
      <c r="F114" s="774" t="s">
        <v>129</v>
      </c>
      <c r="G114" s="774"/>
      <c r="H114" s="535"/>
      <c r="I114" s="535"/>
      <c r="J114" s="774" t="s">
        <v>129</v>
      </c>
      <c r="K114" s="774"/>
      <c r="L114" s="774"/>
      <c r="M114" s="774"/>
      <c r="N114" s="774"/>
      <c r="O114" s="774"/>
      <c r="P114" s="774"/>
    </row>
    <row r="115" spans="1:16" ht="68.099999999999994" customHeight="1" x14ac:dyDescent="0.25">
      <c r="A115" s="536"/>
      <c r="B115" s="775" t="s">
        <v>370</v>
      </c>
      <c r="C115" s="775"/>
      <c r="D115" s="775"/>
      <c r="E115" s="775"/>
      <c r="F115" s="775" t="s">
        <v>371</v>
      </c>
      <c r="G115" s="775"/>
      <c r="H115" s="536"/>
      <c r="I115" s="536"/>
      <c r="J115" s="775" t="s">
        <v>129</v>
      </c>
      <c r="K115" s="775"/>
      <c r="L115" s="775"/>
      <c r="M115" s="775"/>
      <c r="N115" s="775"/>
      <c r="O115" s="775"/>
      <c r="P115" s="775"/>
    </row>
    <row r="116" spans="1:16" ht="163.15" customHeight="1" x14ac:dyDescent="0.25">
      <c r="A116" s="542" t="s">
        <v>204</v>
      </c>
      <c r="B116" s="781" t="s">
        <v>395</v>
      </c>
      <c r="C116" s="782"/>
      <c r="D116" s="782"/>
      <c r="E116" s="782"/>
      <c r="F116" s="782" t="s">
        <v>2079</v>
      </c>
      <c r="G116" s="782"/>
      <c r="H116" s="623" t="s">
        <v>2312</v>
      </c>
      <c r="I116" s="623" t="s">
        <v>2301</v>
      </c>
      <c r="J116" s="782" t="s">
        <v>2078</v>
      </c>
      <c r="K116" s="782"/>
      <c r="L116" s="782"/>
      <c r="M116" s="783">
        <f>ROUND(1676 * 60 * 1.25, 2)</f>
        <v>125700</v>
      </c>
      <c r="N116" s="782"/>
      <c r="O116" s="782" t="s">
        <v>129</v>
      </c>
      <c r="P116" s="782"/>
    </row>
    <row r="117" spans="1:16" x14ac:dyDescent="0.25">
      <c r="A117" s="535"/>
      <c r="B117" s="774" t="s">
        <v>306</v>
      </c>
      <c r="C117" s="774"/>
      <c r="D117" s="774"/>
      <c r="E117" s="774"/>
      <c r="F117" s="774" t="s">
        <v>129</v>
      </c>
      <c r="G117" s="774"/>
      <c r="H117" s="535"/>
      <c r="I117" s="535"/>
      <c r="J117" s="774" t="s">
        <v>129</v>
      </c>
      <c r="K117" s="774"/>
      <c r="L117" s="774"/>
      <c r="M117" s="774"/>
      <c r="N117" s="774"/>
      <c r="O117" s="774"/>
      <c r="P117" s="774"/>
    </row>
    <row r="118" spans="1:16" ht="68.099999999999994" customHeight="1" x14ac:dyDescent="0.25">
      <c r="A118" s="536"/>
      <c r="B118" s="775" t="s">
        <v>370</v>
      </c>
      <c r="C118" s="775"/>
      <c r="D118" s="775"/>
      <c r="E118" s="775"/>
      <c r="F118" s="775" t="s">
        <v>371</v>
      </c>
      <c r="G118" s="775"/>
      <c r="H118" s="536"/>
      <c r="I118" s="536"/>
      <c r="J118" s="775" t="s">
        <v>129</v>
      </c>
      <c r="K118" s="775"/>
      <c r="L118" s="775"/>
      <c r="M118" s="775"/>
      <c r="N118" s="775"/>
      <c r="O118" s="775"/>
      <c r="P118" s="775"/>
    </row>
    <row r="119" spans="1:16" ht="149.65" customHeight="1" x14ac:dyDescent="0.25">
      <c r="A119" s="542" t="s">
        <v>205</v>
      </c>
      <c r="B119" s="781" t="s">
        <v>396</v>
      </c>
      <c r="C119" s="782"/>
      <c r="D119" s="782"/>
      <c r="E119" s="782"/>
      <c r="F119" s="782" t="s">
        <v>2077</v>
      </c>
      <c r="G119" s="782"/>
      <c r="H119" s="623" t="s">
        <v>2312</v>
      </c>
      <c r="I119" s="623" t="s">
        <v>2299</v>
      </c>
      <c r="J119" s="782" t="s">
        <v>2076</v>
      </c>
      <c r="K119" s="782"/>
      <c r="L119" s="782"/>
      <c r="M119" s="783">
        <f>ROUND(723 * 12 * 1.25, 2)</f>
        <v>10845</v>
      </c>
      <c r="N119" s="782"/>
      <c r="O119" s="782" t="s">
        <v>650</v>
      </c>
      <c r="P119" s="782"/>
    </row>
    <row r="120" spans="1:16" x14ac:dyDescent="0.25">
      <c r="A120" s="535"/>
      <c r="B120" s="774" t="s">
        <v>306</v>
      </c>
      <c r="C120" s="774"/>
      <c r="D120" s="774"/>
      <c r="E120" s="774"/>
      <c r="F120" s="774" t="s">
        <v>129</v>
      </c>
      <c r="G120" s="774"/>
      <c r="H120" s="535"/>
      <c r="I120" s="535"/>
      <c r="J120" s="774" t="s">
        <v>129</v>
      </c>
      <c r="K120" s="774"/>
      <c r="L120" s="774"/>
      <c r="M120" s="774"/>
      <c r="N120" s="774"/>
      <c r="O120" s="774"/>
      <c r="P120" s="774"/>
    </row>
    <row r="121" spans="1:16" ht="68.099999999999994" customHeight="1" x14ac:dyDescent="0.25">
      <c r="A121" s="536"/>
      <c r="B121" s="775" t="s">
        <v>370</v>
      </c>
      <c r="C121" s="775"/>
      <c r="D121" s="775"/>
      <c r="E121" s="775"/>
      <c r="F121" s="775" t="s">
        <v>371</v>
      </c>
      <c r="G121" s="775"/>
      <c r="H121" s="536"/>
      <c r="I121" s="536"/>
      <c r="J121" s="775" t="s">
        <v>129</v>
      </c>
      <c r="K121" s="775"/>
      <c r="L121" s="775"/>
      <c r="M121" s="775"/>
      <c r="N121" s="775"/>
      <c r="O121" s="775"/>
      <c r="P121" s="775"/>
    </row>
    <row r="122" spans="1:16" ht="149.65" customHeight="1" x14ac:dyDescent="0.25">
      <c r="A122" s="542" t="s">
        <v>206</v>
      </c>
      <c r="B122" s="781" t="s">
        <v>396</v>
      </c>
      <c r="C122" s="782"/>
      <c r="D122" s="782"/>
      <c r="E122" s="782"/>
      <c r="F122" s="782" t="s">
        <v>2077</v>
      </c>
      <c r="G122" s="782"/>
      <c r="H122" s="623" t="s">
        <v>2312</v>
      </c>
      <c r="I122" s="623" t="s">
        <v>2299</v>
      </c>
      <c r="J122" s="782" t="s">
        <v>2076</v>
      </c>
      <c r="K122" s="782"/>
      <c r="L122" s="782"/>
      <c r="M122" s="783">
        <f>ROUND(723 * 12 * 1.25, 2)</f>
        <v>10845</v>
      </c>
      <c r="N122" s="782"/>
      <c r="O122" s="782" t="s">
        <v>651</v>
      </c>
      <c r="P122" s="782"/>
    </row>
    <row r="123" spans="1:16" x14ac:dyDescent="0.25">
      <c r="A123" s="535"/>
      <c r="B123" s="774" t="s">
        <v>306</v>
      </c>
      <c r="C123" s="774"/>
      <c r="D123" s="774"/>
      <c r="E123" s="774"/>
      <c r="F123" s="774" t="s">
        <v>129</v>
      </c>
      <c r="G123" s="774"/>
      <c r="H123" s="535"/>
      <c r="I123" s="535"/>
      <c r="J123" s="774" t="s">
        <v>129</v>
      </c>
      <c r="K123" s="774"/>
      <c r="L123" s="774"/>
      <c r="M123" s="774"/>
      <c r="N123" s="774"/>
      <c r="O123" s="774"/>
      <c r="P123" s="774"/>
    </row>
    <row r="124" spans="1:16" ht="68.099999999999994" customHeight="1" x14ac:dyDescent="0.25">
      <c r="A124" s="536"/>
      <c r="B124" s="775" t="s">
        <v>370</v>
      </c>
      <c r="C124" s="775"/>
      <c r="D124" s="775"/>
      <c r="E124" s="775"/>
      <c r="F124" s="775" t="s">
        <v>371</v>
      </c>
      <c r="G124" s="775"/>
      <c r="H124" s="536"/>
      <c r="I124" s="536"/>
      <c r="J124" s="775" t="s">
        <v>129</v>
      </c>
      <c r="K124" s="775"/>
      <c r="L124" s="775"/>
      <c r="M124" s="775"/>
      <c r="N124" s="775"/>
      <c r="O124" s="775"/>
      <c r="P124" s="775"/>
    </row>
    <row r="125" spans="1:16" ht="95.25" customHeight="1" x14ac:dyDescent="0.25">
      <c r="A125" s="542" t="s">
        <v>208</v>
      </c>
      <c r="B125" s="781" t="s">
        <v>397</v>
      </c>
      <c r="C125" s="782"/>
      <c r="D125" s="782"/>
      <c r="E125" s="782"/>
      <c r="F125" s="782" t="s">
        <v>2075</v>
      </c>
      <c r="G125" s="782"/>
      <c r="H125" s="623" t="s">
        <v>2312</v>
      </c>
      <c r="I125" s="623" t="s">
        <v>2299</v>
      </c>
      <c r="J125" s="782" t="s">
        <v>2074</v>
      </c>
      <c r="K125" s="782"/>
      <c r="L125" s="782"/>
      <c r="M125" s="783">
        <f>ROUND(653 * 12 * 1.25, 2)</f>
        <v>9795</v>
      </c>
      <c r="N125" s="782"/>
      <c r="O125" s="782" t="s">
        <v>652</v>
      </c>
      <c r="P125" s="782"/>
    </row>
    <row r="126" spans="1:16" x14ac:dyDescent="0.25">
      <c r="A126" s="535"/>
      <c r="B126" s="774" t="s">
        <v>306</v>
      </c>
      <c r="C126" s="774"/>
      <c r="D126" s="774"/>
      <c r="E126" s="774"/>
      <c r="F126" s="774" t="s">
        <v>129</v>
      </c>
      <c r="G126" s="774"/>
      <c r="H126" s="535"/>
      <c r="I126" s="535"/>
      <c r="J126" s="774" t="s">
        <v>129</v>
      </c>
      <c r="K126" s="774"/>
      <c r="L126" s="774"/>
      <c r="M126" s="774"/>
      <c r="N126" s="774"/>
      <c r="O126" s="774"/>
      <c r="P126" s="774"/>
    </row>
    <row r="127" spans="1:16" ht="68.099999999999994" customHeight="1" x14ac:dyDescent="0.25">
      <c r="A127" s="536"/>
      <c r="B127" s="775" t="s">
        <v>370</v>
      </c>
      <c r="C127" s="775"/>
      <c r="D127" s="775"/>
      <c r="E127" s="775"/>
      <c r="F127" s="775" t="s">
        <v>371</v>
      </c>
      <c r="G127" s="775"/>
      <c r="H127" s="536"/>
      <c r="I127" s="536"/>
      <c r="J127" s="775" t="s">
        <v>129</v>
      </c>
      <c r="K127" s="775"/>
      <c r="L127" s="775"/>
      <c r="M127" s="775"/>
      <c r="N127" s="775"/>
      <c r="O127" s="775"/>
      <c r="P127" s="775"/>
    </row>
    <row r="128" spans="1:16" ht="95.25" customHeight="1" x14ac:dyDescent="0.25">
      <c r="A128" s="542" t="s">
        <v>210</v>
      </c>
      <c r="B128" s="781" t="s">
        <v>397</v>
      </c>
      <c r="C128" s="782"/>
      <c r="D128" s="782"/>
      <c r="E128" s="782"/>
      <c r="F128" s="782" t="s">
        <v>2075</v>
      </c>
      <c r="G128" s="782"/>
      <c r="H128" s="623" t="s">
        <v>2312</v>
      </c>
      <c r="I128" s="623" t="s">
        <v>2299</v>
      </c>
      <c r="J128" s="782" t="s">
        <v>2074</v>
      </c>
      <c r="K128" s="782"/>
      <c r="L128" s="782"/>
      <c r="M128" s="783">
        <f>ROUND(653 * 12 * 1.25, 2)</f>
        <v>9795</v>
      </c>
      <c r="N128" s="782"/>
      <c r="O128" s="782" t="s">
        <v>653</v>
      </c>
      <c r="P128" s="782"/>
    </row>
    <row r="129" spans="1:16" x14ac:dyDescent="0.25">
      <c r="A129" s="535"/>
      <c r="B129" s="774" t="s">
        <v>306</v>
      </c>
      <c r="C129" s="774"/>
      <c r="D129" s="774"/>
      <c r="E129" s="774"/>
      <c r="F129" s="774" t="s">
        <v>129</v>
      </c>
      <c r="G129" s="774"/>
      <c r="H129" s="535"/>
      <c r="I129" s="535"/>
      <c r="J129" s="774" t="s">
        <v>129</v>
      </c>
      <c r="K129" s="774"/>
      <c r="L129" s="774"/>
      <c r="M129" s="774"/>
      <c r="N129" s="774"/>
      <c r="O129" s="774"/>
      <c r="P129" s="774"/>
    </row>
    <row r="130" spans="1:16" ht="68.099999999999994" customHeight="1" x14ac:dyDescent="0.25">
      <c r="A130" s="536"/>
      <c r="B130" s="775" t="s">
        <v>370</v>
      </c>
      <c r="C130" s="775"/>
      <c r="D130" s="775"/>
      <c r="E130" s="775"/>
      <c r="F130" s="775" t="s">
        <v>371</v>
      </c>
      <c r="G130" s="775"/>
      <c r="H130" s="536"/>
      <c r="I130" s="536"/>
      <c r="J130" s="775" t="s">
        <v>129</v>
      </c>
      <c r="K130" s="775"/>
      <c r="L130" s="775"/>
      <c r="M130" s="775"/>
      <c r="N130" s="775"/>
      <c r="O130" s="775"/>
      <c r="P130" s="775"/>
    </row>
    <row r="131" spans="1:16" ht="81.599999999999994" customHeight="1" x14ac:dyDescent="0.25">
      <c r="A131" s="542" t="s">
        <v>211</v>
      </c>
      <c r="B131" s="781" t="s">
        <v>398</v>
      </c>
      <c r="C131" s="782"/>
      <c r="D131" s="782"/>
      <c r="E131" s="782"/>
      <c r="F131" s="782" t="s">
        <v>2073</v>
      </c>
      <c r="G131" s="782"/>
      <c r="H131" s="623" t="s">
        <v>2312</v>
      </c>
      <c r="I131" s="623" t="s">
        <v>2299</v>
      </c>
      <c r="J131" s="782" t="s">
        <v>2072</v>
      </c>
      <c r="K131" s="782"/>
      <c r="L131" s="782"/>
      <c r="M131" s="783">
        <f>ROUND(13780 * 12 * 1.25, 2)</f>
        <v>206700</v>
      </c>
      <c r="N131" s="782"/>
      <c r="O131" s="782" t="s">
        <v>129</v>
      </c>
      <c r="P131" s="782"/>
    </row>
    <row r="132" spans="1:16" x14ac:dyDescent="0.25">
      <c r="A132" s="535"/>
      <c r="B132" s="774" t="s">
        <v>306</v>
      </c>
      <c r="C132" s="774"/>
      <c r="D132" s="774"/>
      <c r="E132" s="774"/>
      <c r="F132" s="774" t="s">
        <v>129</v>
      </c>
      <c r="G132" s="774"/>
      <c r="H132" s="535"/>
      <c r="I132" s="535"/>
      <c r="J132" s="774" t="s">
        <v>129</v>
      </c>
      <c r="K132" s="774"/>
      <c r="L132" s="774"/>
      <c r="M132" s="774"/>
      <c r="N132" s="774"/>
      <c r="O132" s="774"/>
      <c r="P132" s="774"/>
    </row>
    <row r="133" spans="1:16" ht="68.099999999999994" customHeight="1" x14ac:dyDescent="0.25">
      <c r="A133" s="536"/>
      <c r="B133" s="775" t="s">
        <v>370</v>
      </c>
      <c r="C133" s="775"/>
      <c r="D133" s="775"/>
      <c r="E133" s="775"/>
      <c r="F133" s="775" t="s">
        <v>371</v>
      </c>
      <c r="G133" s="775"/>
      <c r="H133" s="536"/>
      <c r="I133" s="536"/>
      <c r="J133" s="775" t="s">
        <v>129</v>
      </c>
      <c r="K133" s="775"/>
      <c r="L133" s="775"/>
      <c r="M133" s="775"/>
      <c r="N133" s="775"/>
      <c r="O133" s="775"/>
      <c r="P133" s="775"/>
    </row>
    <row r="134" spans="1:16" ht="122.45" customHeight="1" x14ac:dyDescent="0.25">
      <c r="A134" s="542" t="s">
        <v>212</v>
      </c>
      <c r="B134" s="781" t="s">
        <v>429</v>
      </c>
      <c r="C134" s="782"/>
      <c r="D134" s="782"/>
      <c r="E134" s="782"/>
      <c r="F134" s="782" t="s">
        <v>2071</v>
      </c>
      <c r="G134" s="782"/>
      <c r="H134" s="623" t="s">
        <v>2312</v>
      </c>
      <c r="I134" s="623" t="s">
        <v>2299</v>
      </c>
      <c r="J134" s="782" t="s">
        <v>2070</v>
      </c>
      <c r="K134" s="782"/>
      <c r="L134" s="782"/>
      <c r="M134" s="783">
        <f>ROUND(21017 * 12 * 1.25, 2)</f>
        <v>315255</v>
      </c>
      <c r="N134" s="782"/>
      <c r="O134" s="782" t="s">
        <v>129</v>
      </c>
      <c r="P134" s="782"/>
    </row>
    <row r="135" spans="1:16" x14ac:dyDescent="0.25">
      <c r="A135" s="535"/>
      <c r="B135" s="774" t="s">
        <v>306</v>
      </c>
      <c r="C135" s="774"/>
      <c r="D135" s="774"/>
      <c r="E135" s="774"/>
      <c r="F135" s="774" t="s">
        <v>129</v>
      </c>
      <c r="G135" s="774"/>
      <c r="H135" s="535"/>
      <c r="I135" s="535"/>
      <c r="J135" s="774" t="s">
        <v>129</v>
      </c>
      <c r="K135" s="774"/>
      <c r="L135" s="774"/>
      <c r="M135" s="774"/>
      <c r="N135" s="774"/>
      <c r="O135" s="774"/>
      <c r="P135" s="774"/>
    </row>
    <row r="136" spans="1:16" ht="68.099999999999994" customHeight="1" x14ac:dyDescent="0.25">
      <c r="A136" s="536"/>
      <c r="B136" s="775" t="s">
        <v>370</v>
      </c>
      <c r="C136" s="775"/>
      <c r="D136" s="775"/>
      <c r="E136" s="775"/>
      <c r="F136" s="775" t="s">
        <v>371</v>
      </c>
      <c r="G136" s="775"/>
      <c r="H136" s="536"/>
      <c r="I136" s="536"/>
      <c r="J136" s="775" t="s">
        <v>129</v>
      </c>
      <c r="K136" s="775"/>
      <c r="L136" s="775"/>
      <c r="M136" s="775"/>
      <c r="N136" s="775"/>
      <c r="O136" s="775"/>
      <c r="P136" s="775"/>
    </row>
    <row r="137" spans="1:16" ht="135.94999999999999" customHeight="1" x14ac:dyDescent="0.25">
      <c r="A137" s="542" t="s">
        <v>213</v>
      </c>
      <c r="B137" s="781" t="s">
        <v>430</v>
      </c>
      <c r="C137" s="782"/>
      <c r="D137" s="782"/>
      <c r="E137" s="782"/>
      <c r="F137" s="782" t="s">
        <v>2069</v>
      </c>
      <c r="G137" s="782"/>
      <c r="H137" s="623" t="s">
        <v>2312</v>
      </c>
      <c r="I137" s="623" t="s">
        <v>2299</v>
      </c>
      <c r="J137" s="782" t="s">
        <v>2068</v>
      </c>
      <c r="K137" s="782"/>
      <c r="L137" s="782"/>
      <c r="M137" s="783">
        <f>ROUND(17937 * 12 * 1.25, 2)</f>
        <v>269055</v>
      </c>
      <c r="N137" s="782"/>
      <c r="O137" s="782" t="s">
        <v>129</v>
      </c>
      <c r="P137" s="782"/>
    </row>
    <row r="138" spans="1:16" x14ac:dyDescent="0.25">
      <c r="A138" s="535"/>
      <c r="B138" s="774" t="s">
        <v>306</v>
      </c>
      <c r="C138" s="774"/>
      <c r="D138" s="774"/>
      <c r="E138" s="774"/>
      <c r="F138" s="774" t="s">
        <v>129</v>
      </c>
      <c r="G138" s="774"/>
      <c r="H138" s="535"/>
      <c r="I138" s="535"/>
      <c r="J138" s="774" t="s">
        <v>129</v>
      </c>
      <c r="K138" s="774"/>
      <c r="L138" s="774"/>
      <c r="M138" s="774"/>
      <c r="N138" s="774"/>
      <c r="O138" s="774"/>
      <c r="P138" s="774"/>
    </row>
    <row r="139" spans="1:16" ht="68.099999999999994" customHeight="1" x14ac:dyDescent="0.25">
      <c r="A139" s="536"/>
      <c r="B139" s="775" t="s">
        <v>370</v>
      </c>
      <c r="C139" s="775"/>
      <c r="D139" s="775"/>
      <c r="E139" s="775"/>
      <c r="F139" s="775" t="s">
        <v>371</v>
      </c>
      <c r="G139" s="775"/>
      <c r="H139" s="536"/>
      <c r="I139" s="536"/>
      <c r="J139" s="775" t="s">
        <v>129</v>
      </c>
      <c r="K139" s="775"/>
      <c r="L139" s="775"/>
      <c r="M139" s="775"/>
      <c r="N139" s="775"/>
      <c r="O139" s="775"/>
      <c r="P139" s="775"/>
    </row>
    <row r="140" spans="1:16" ht="135.94999999999999" customHeight="1" x14ac:dyDescent="0.25">
      <c r="A140" s="542" t="s">
        <v>215</v>
      </c>
      <c r="B140" s="781" t="s">
        <v>431</v>
      </c>
      <c r="C140" s="782"/>
      <c r="D140" s="782"/>
      <c r="E140" s="782"/>
      <c r="F140" s="782" t="s">
        <v>2067</v>
      </c>
      <c r="G140" s="782"/>
      <c r="H140" s="623" t="s">
        <v>2312</v>
      </c>
      <c r="I140" s="623" t="s">
        <v>2299</v>
      </c>
      <c r="J140" s="782" t="s">
        <v>2066</v>
      </c>
      <c r="K140" s="782"/>
      <c r="L140" s="782"/>
      <c r="M140" s="783">
        <f>ROUND(24417 * 12 * 1.25, 2)</f>
        <v>366255</v>
      </c>
      <c r="N140" s="782"/>
      <c r="O140" s="782" t="s">
        <v>129</v>
      </c>
      <c r="P140" s="782"/>
    </row>
    <row r="141" spans="1:16" x14ac:dyDescent="0.25">
      <c r="A141" s="535"/>
      <c r="B141" s="774" t="s">
        <v>306</v>
      </c>
      <c r="C141" s="774"/>
      <c r="D141" s="774"/>
      <c r="E141" s="774"/>
      <c r="F141" s="774" t="s">
        <v>129</v>
      </c>
      <c r="G141" s="774"/>
      <c r="H141" s="535"/>
      <c r="I141" s="535"/>
      <c r="J141" s="774" t="s">
        <v>129</v>
      </c>
      <c r="K141" s="774"/>
      <c r="L141" s="774"/>
      <c r="M141" s="774"/>
      <c r="N141" s="774"/>
      <c r="O141" s="774"/>
      <c r="P141" s="774"/>
    </row>
    <row r="142" spans="1:16" ht="68.099999999999994" customHeight="1" x14ac:dyDescent="0.25">
      <c r="A142" s="536"/>
      <c r="B142" s="775" t="s">
        <v>370</v>
      </c>
      <c r="C142" s="775"/>
      <c r="D142" s="775"/>
      <c r="E142" s="775"/>
      <c r="F142" s="775" t="s">
        <v>371</v>
      </c>
      <c r="G142" s="775"/>
      <c r="H142" s="536"/>
      <c r="I142" s="536"/>
      <c r="J142" s="775" t="s">
        <v>129</v>
      </c>
      <c r="K142" s="775"/>
      <c r="L142" s="775"/>
      <c r="M142" s="775"/>
      <c r="N142" s="775"/>
      <c r="O142" s="775"/>
      <c r="P142" s="775"/>
    </row>
    <row r="143" spans="1:16" ht="95.25" customHeight="1" x14ac:dyDescent="0.25">
      <c r="A143" s="542" t="s">
        <v>217</v>
      </c>
      <c r="B143" s="781" t="s">
        <v>399</v>
      </c>
      <c r="C143" s="782"/>
      <c r="D143" s="782"/>
      <c r="E143" s="782"/>
      <c r="F143" s="782" t="s">
        <v>2065</v>
      </c>
      <c r="G143" s="782"/>
      <c r="H143" s="623" t="s">
        <v>2312</v>
      </c>
      <c r="I143" s="623" t="s">
        <v>2299</v>
      </c>
      <c r="J143" s="782" t="s">
        <v>2064</v>
      </c>
      <c r="K143" s="782"/>
      <c r="L143" s="782"/>
      <c r="M143" s="783">
        <f>ROUND(4593 * 12 * 1.25, 2)</f>
        <v>68895</v>
      </c>
      <c r="N143" s="782"/>
      <c r="O143" s="782" t="s">
        <v>129</v>
      </c>
      <c r="P143" s="782"/>
    </row>
    <row r="144" spans="1:16" x14ac:dyDescent="0.25">
      <c r="A144" s="535"/>
      <c r="B144" s="774" t="s">
        <v>306</v>
      </c>
      <c r="C144" s="774"/>
      <c r="D144" s="774"/>
      <c r="E144" s="774"/>
      <c r="F144" s="774" t="s">
        <v>129</v>
      </c>
      <c r="G144" s="774"/>
      <c r="H144" s="535"/>
      <c r="I144" s="535"/>
      <c r="J144" s="774" t="s">
        <v>129</v>
      </c>
      <c r="K144" s="774"/>
      <c r="L144" s="774"/>
      <c r="M144" s="774"/>
      <c r="N144" s="774"/>
      <c r="O144" s="774"/>
      <c r="P144" s="774"/>
    </row>
    <row r="145" spans="1:16" ht="68.099999999999994" customHeight="1" x14ac:dyDescent="0.25">
      <c r="A145" s="536"/>
      <c r="B145" s="775" t="s">
        <v>370</v>
      </c>
      <c r="C145" s="775"/>
      <c r="D145" s="775"/>
      <c r="E145" s="775"/>
      <c r="F145" s="775" t="s">
        <v>371</v>
      </c>
      <c r="G145" s="775"/>
      <c r="H145" s="536"/>
      <c r="I145" s="536"/>
      <c r="J145" s="775" t="s">
        <v>129</v>
      </c>
      <c r="K145" s="775"/>
      <c r="L145" s="775"/>
      <c r="M145" s="775"/>
      <c r="N145" s="775"/>
      <c r="O145" s="775"/>
      <c r="P145" s="775"/>
    </row>
    <row r="146" spans="1:16" ht="135.94999999999999" customHeight="1" x14ac:dyDescent="0.25">
      <c r="A146" s="542" t="s">
        <v>218</v>
      </c>
      <c r="B146" s="781" t="s">
        <v>432</v>
      </c>
      <c r="C146" s="782"/>
      <c r="D146" s="782"/>
      <c r="E146" s="782"/>
      <c r="F146" s="782" t="s">
        <v>2063</v>
      </c>
      <c r="G146" s="782"/>
      <c r="H146" s="623" t="s">
        <v>2312</v>
      </c>
      <c r="I146" s="623" t="s">
        <v>2299</v>
      </c>
      <c r="J146" s="782" t="s">
        <v>2062</v>
      </c>
      <c r="K146" s="782"/>
      <c r="L146" s="782"/>
      <c r="M146" s="783">
        <f>ROUND(7006 * 12 * 1.25, 2)</f>
        <v>105090</v>
      </c>
      <c r="N146" s="782"/>
      <c r="O146" s="782" t="s">
        <v>129</v>
      </c>
      <c r="P146" s="782"/>
    </row>
    <row r="147" spans="1:16" x14ac:dyDescent="0.25">
      <c r="A147" s="535"/>
      <c r="B147" s="774" t="s">
        <v>306</v>
      </c>
      <c r="C147" s="774"/>
      <c r="D147" s="774"/>
      <c r="E147" s="774"/>
      <c r="F147" s="774" t="s">
        <v>129</v>
      </c>
      <c r="G147" s="774"/>
      <c r="H147" s="535"/>
      <c r="I147" s="535"/>
      <c r="J147" s="774" t="s">
        <v>129</v>
      </c>
      <c r="K147" s="774"/>
      <c r="L147" s="774"/>
      <c r="M147" s="774"/>
      <c r="N147" s="774"/>
      <c r="O147" s="774"/>
      <c r="P147" s="774"/>
    </row>
    <row r="148" spans="1:16" ht="68.099999999999994" customHeight="1" x14ac:dyDescent="0.25">
      <c r="A148" s="536"/>
      <c r="B148" s="775" t="s">
        <v>370</v>
      </c>
      <c r="C148" s="775"/>
      <c r="D148" s="775"/>
      <c r="E148" s="775"/>
      <c r="F148" s="775" t="s">
        <v>371</v>
      </c>
      <c r="G148" s="775"/>
      <c r="H148" s="536"/>
      <c r="I148" s="536"/>
      <c r="J148" s="775" t="s">
        <v>129</v>
      </c>
      <c r="K148" s="775"/>
      <c r="L148" s="775"/>
      <c r="M148" s="775"/>
      <c r="N148" s="775"/>
      <c r="O148" s="775"/>
      <c r="P148" s="775"/>
    </row>
    <row r="149" spans="1:16" ht="135.94999999999999" customHeight="1" x14ac:dyDescent="0.25">
      <c r="A149" s="542" t="s">
        <v>219</v>
      </c>
      <c r="B149" s="781" t="s">
        <v>433</v>
      </c>
      <c r="C149" s="782"/>
      <c r="D149" s="782"/>
      <c r="E149" s="782"/>
      <c r="F149" s="782" t="s">
        <v>2061</v>
      </c>
      <c r="G149" s="782"/>
      <c r="H149" s="623" t="s">
        <v>2312</v>
      </c>
      <c r="I149" s="623" t="s">
        <v>2299</v>
      </c>
      <c r="J149" s="782" t="s">
        <v>2060</v>
      </c>
      <c r="K149" s="782"/>
      <c r="L149" s="782"/>
      <c r="M149" s="783">
        <f>ROUND(5979 * 12 * 1.25, 2)</f>
        <v>89685</v>
      </c>
      <c r="N149" s="782"/>
      <c r="O149" s="782" t="s">
        <v>129</v>
      </c>
      <c r="P149" s="782"/>
    </row>
    <row r="150" spans="1:16" x14ac:dyDescent="0.25">
      <c r="A150" s="535"/>
      <c r="B150" s="774" t="s">
        <v>306</v>
      </c>
      <c r="C150" s="774"/>
      <c r="D150" s="774"/>
      <c r="E150" s="774"/>
      <c r="F150" s="774" t="s">
        <v>129</v>
      </c>
      <c r="G150" s="774"/>
      <c r="H150" s="535"/>
      <c r="I150" s="535"/>
      <c r="J150" s="774" t="s">
        <v>129</v>
      </c>
      <c r="K150" s="774"/>
      <c r="L150" s="774"/>
      <c r="M150" s="774"/>
      <c r="N150" s="774"/>
      <c r="O150" s="774"/>
      <c r="P150" s="774"/>
    </row>
    <row r="151" spans="1:16" ht="68.099999999999994" customHeight="1" x14ac:dyDescent="0.25">
      <c r="A151" s="536"/>
      <c r="B151" s="775" t="s">
        <v>370</v>
      </c>
      <c r="C151" s="775"/>
      <c r="D151" s="775"/>
      <c r="E151" s="775"/>
      <c r="F151" s="775" t="s">
        <v>371</v>
      </c>
      <c r="G151" s="775"/>
      <c r="H151" s="536"/>
      <c r="I151" s="536"/>
      <c r="J151" s="775" t="s">
        <v>129</v>
      </c>
      <c r="K151" s="775"/>
      <c r="L151" s="775"/>
      <c r="M151" s="775"/>
      <c r="N151" s="775"/>
      <c r="O151" s="775"/>
      <c r="P151" s="775"/>
    </row>
    <row r="152" spans="1:16" ht="135.94999999999999" customHeight="1" x14ac:dyDescent="0.25">
      <c r="A152" s="542" t="s">
        <v>220</v>
      </c>
      <c r="B152" s="781" t="s">
        <v>434</v>
      </c>
      <c r="C152" s="782"/>
      <c r="D152" s="782"/>
      <c r="E152" s="782"/>
      <c r="F152" s="782" t="s">
        <v>2059</v>
      </c>
      <c r="G152" s="782"/>
      <c r="H152" s="623" t="s">
        <v>2312</v>
      </c>
      <c r="I152" s="623" t="s">
        <v>2299</v>
      </c>
      <c r="J152" s="782" t="s">
        <v>2058</v>
      </c>
      <c r="K152" s="782"/>
      <c r="L152" s="782"/>
      <c r="M152" s="783">
        <f>ROUND(8139 * 12 * 1.25, 2)</f>
        <v>122085</v>
      </c>
      <c r="N152" s="782"/>
      <c r="O152" s="782" t="s">
        <v>129</v>
      </c>
      <c r="P152" s="782"/>
    </row>
    <row r="153" spans="1:16" x14ac:dyDescent="0.25">
      <c r="A153" s="535"/>
      <c r="B153" s="774" t="s">
        <v>306</v>
      </c>
      <c r="C153" s="774"/>
      <c r="D153" s="774"/>
      <c r="E153" s="774"/>
      <c r="F153" s="774" t="s">
        <v>129</v>
      </c>
      <c r="G153" s="774"/>
      <c r="H153" s="535"/>
      <c r="I153" s="535"/>
      <c r="J153" s="774" t="s">
        <v>129</v>
      </c>
      <c r="K153" s="774"/>
      <c r="L153" s="774"/>
      <c r="M153" s="774"/>
      <c r="N153" s="774"/>
      <c r="O153" s="774"/>
      <c r="P153" s="774"/>
    </row>
    <row r="154" spans="1:16" ht="68.099999999999994" customHeight="1" x14ac:dyDescent="0.25">
      <c r="A154" s="536"/>
      <c r="B154" s="775" t="s">
        <v>370</v>
      </c>
      <c r="C154" s="775"/>
      <c r="D154" s="775"/>
      <c r="E154" s="775"/>
      <c r="F154" s="775" t="s">
        <v>371</v>
      </c>
      <c r="G154" s="775"/>
      <c r="H154" s="536"/>
      <c r="I154" s="536"/>
      <c r="J154" s="775" t="s">
        <v>129</v>
      </c>
      <c r="K154" s="775"/>
      <c r="L154" s="775"/>
      <c r="M154" s="775"/>
      <c r="N154" s="775"/>
      <c r="O154" s="775"/>
      <c r="P154" s="775"/>
    </row>
    <row r="155" spans="1:16" ht="135.94999999999999" customHeight="1" x14ac:dyDescent="0.25">
      <c r="A155" s="542" t="s">
        <v>221</v>
      </c>
      <c r="B155" s="781" t="s">
        <v>400</v>
      </c>
      <c r="C155" s="782"/>
      <c r="D155" s="782"/>
      <c r="E155" s="782"/>
      <c r="F155" s="782" t="s">
        <v>2057</v>
      </c>
      <c r="G155" s="782"/>
      <c r="H155" s="623" t="s">
        <v>2312</v>
      </c>
      <c r="I155" s="623" t="s">
        <v>2299</v>
      </c>
      <c r="J155" s="782" t="s">
        <v>2056</v>
      </c>
      <c r="K155" s="782"/>
      <c r="L155" s="782"/>
      <c r="M155" s="783">
        <f>ROUND(370 * 12 * 1.25, 2)</f>
        <v>5550</v>
      </c>
      <c r="N155" s="782"/>
      <c r="O155" s="782" t="s">
        <v>129</v>
      </c>
      <c r="P155" s="782"/>
    </row>
    <row r="156" spans="1:16" x14ac:dyDescent="0.25">
      <c r="A156" s="535"/>
      <c r="B156" s="774" t="s">
        <v>306</v>
      </c>
      <c r="C156" s="774"/>
      <c r="D156" s="774"/>
      <c r="E156" s="774"/>
      <c r="F156" s="774" t="s">
        <v>129</v>
      </c>
      <c r="G156" s="774"/>
      <c r="H156" s="535"/>
      <c r="I156" s="535"/>
      <c r="J156" s="774" t="s">
        <v>129</v>
      </c>
      <c r="K156" s="774"/>
      <c r="L156" s="774"/>
      <c r="M156" s="774"/>
      <c r="N156" s="774"/>
      <c r="O156" s="774"/>
      <c r="P156" s="774"/>
    </row>
    <row r="157" spans="1:16" ht="68.099999999999994" customHeight="1" x14ac:dyDescent="0.25">
      <c r="A157" s="536"/>
      <c r="B157" s="775" t="s">
        <v>370</v>
      </c>
      <c r="C157" s="775"/>
      <c r="D157" s="775"/>
      <c r="E157" s="775"/>
      <c r="F157" s="775" t="s">
        <v>371</v>
      </c>
      <c r="G157" s="775"/>
      <c r="H157" s="536"/>
      <c r="I157" s="536"/>
      <c r="J157" s="775" t="s">
        <v>129</v>
      </c>
      <c r="K157" s="775"/>
      <c r="L157" s="775"/>
      <c r="M157" s="775"/>
      <c r="N157" s="775"/>
      <c r="O157" s="775"/>
      <c r="P157" s="775"/>
    </row>
    <row r="158" spans="1:16" ht="81.599999999999994" customHeight="1" x14ac:dyDescent="0.25">
      <c r="A158" s="542" t="s">
        <v>222</v>
      </c>
      <c r="B158" s="781" t="s">
        <v>435</v>
      </c>
      <c r="C158" s="782"/>
      <c r="D158" s="782"/>
      <c r="E158" s="782"/>
      <c r="F158" s="782" t="s">
        <v>654</v>
      </c>
      <c r="G158" s="782"/>
      <c r="H158" s="623" t="s">
        <v>2312</v>
      </c>
      <c r="I158" s="623" t="s">
        <v>2299</v>
      </c>
      <c r="J158" s="782" t="s">
        <v>436</v>
      </c>
      <c r="K158" s="782"/>
      <c r="L158" s="782"/>
      <c r="M158" s="783">
        <f>ROUND(9786 * 12 * 1.25, 2)</f>
        <v>146790</v>
      </c>
      <c r="N158" s="782"/>
      <c r="O158" s="782" t="s">
        <v>129</v>
      </c>
      <c r="P158" s="782"/>
    </row>
    <row r="159" spans="1:16" x14ac:dyDescent="0.25">
      <c r="A159" s="535"/>
      <c r="B159" s="774" t="s">
        <v>306</v>
      </c>
      <c r="C159" s="774"/>
      <c r="D159" s="774"/>
      <c r="E159" s="774"/>
      <c r="F159" s="774" t="s">
        <v>129</v>
      </c>
      <c r="G159" s="774"/>
      <c r="H159" s="535"/>
      <c r="I159" s="535"/>
      <c r="J159" s="774" t="s">
        <v>129</v>
      </c>
      <c r="K159" s="774"/>
      <c r="L159" s="774"/>
      <c r="M159" s="774"/>
      <c r="N159" s="774"/>
      <c r="O159" s="774"/>
      <c r="P159" s="774"/>
    </row>
    <row r="160" spans="1:16" ht="68.099999999999994" customHeight="1" x14ac:dyDescent="0.25">
      <c r="A160" s="536"/>
      <c r="B160" s="775" t="s">
        <v>370</v>
      </c>
      <c r="C160" s="775"/>
      <c r="D160" s="775"/>
      <c r="E160" s="775"/>
      <c r="F160" s="775" t="s">
        <v>371</v>
      </c>
      <c r="G160" s="775"/>
      <c r="H160" s="536"/>
      <c r="I160" s="536"/>
      <c r="J160" s="775" t="s">
        <v>129</v>
      </c>
      <c r="K160" s="775"/>
      <c r="L160" s="775"/>
      <c r="M160" s="775"/>
      <c r="N160" s="775"/>
      <c r="O160" s="775"/>
      <c r="P160" s="775"/>
    </row>
    <row r="161" spans="1:16" ht="81.599999999999994" customHeight="1" x14ac:dyDescent="0.25">
      <c r="A161" s="542" t="s">
        <v>223</v>
      </c>
      <c r="B161" s="781" t="s">
        <v>401</v>
      </c>
      <c r="C161" s="782"/>
      <c r="D161" s="782"/>
      <c r="E161" s="782"/>
      <c r="F161" s="782" t="s">
        <v>655</v>
      </c>
      <c r="G161" s="782"/>
      <c r="H161" s="623" t="s">
        <v>2312</v>
      </c>
      <c r="I161" s="623" t="s">
        <v>2299</v>
      </c>
      <c r="J161" s="782" t="s">
        <v>402</v>
      </c>
      <c r="K161" s="782"/>
      <c r="L161" s="782"/>
      <c r="M161" s="783">
        <f>ROUND(2726 * 12 * 1.25, 2)</f>
        <v>40890</v>
      </c>
      <c r="N161" s="782"/>
      <c r="O161" s="782" t="s">
        <v>129</v>
      </c>
      <c r="P161" s="782"/>
    </row>
    <row r="162" spans="1:16" x14ac:dyDescent="0.25">
      <c r="A162" s="535"/>
      <c r="B162" s="774" t="s">
        <v>306</v>
      </c>
      <c r="C162" s="774"/>
      <c r="D162" s="774"/>
      <c r="E162" s="774"/>
      <c r="F162" s="774" t="s">
        <v>129</v>
      </c>
      <c r="G162" s="774"/>
      <c r="H162" s="535"/>
      <c r="I162" s="535"/>
      <c r="J162" s="774" t="s">
        <v>129</v>
      </c>
      <c r="K162" s="774"/>
      <c r="L162" s="774"/>
      <c r="M162" s="774"/>
      <c r="N162" s="774"/>
      <c r="O162" s="774"/>
      <c r="P162" s="774"/>
    </row>
    <row r="163" spans="1:16" ht="68.099999999999994" customHeight="1" x14ac:dyDescent="0.25">
      <c r="A163" s="536"/>
      <c r="B163" s="775" t="s">
        <v>370</v>
      </c>
      <c r="C163" s="775"/>
      <c r="D163" s="775"/>
      <c r="E163" s="775"/>
      <c r="F163" s="775" t="s">
        <v>371</v>
      </c>
      <c r="G163" s="775"/>
      <c r="H163" s="536"/>
      <c r="I163" s="536"/>
      <c r="J163" s="775" t="s">
        <v>129</v>
      </c>
      <c r="K163" s="775"/>
      <c r="L163" s="775"/>
      <c r="M163" s="775"/>
      <c r="N163" s="775"/>
      <c r="O163" s="775"/>
      <c r="P163" s="775"/>
    </row>
    <row r="164" spans="1:16" ht="81.599999999999994" customHeight="1" x14ac:dyDescent="0.25">
      <c r="A164" s="542" t="s">
        <v>437</v>
      </c>
      <c r="B164" s="781" t="s">
        <v>438</v>
      </c>
      <c r="C164" s="782"/>
      <c r="D164" s="782"/>
      <c r="E164" s="782"/>
      <c r="F164" s="782" t="s">
        <v>656</v>
      </c>
      <c r="G164" s="782"/>
      <c r="H164" s="623" t="s">
        <v>2312</v>
      </c>
      <c r="I164" s="623" t="s">
        <v>138</v>
      </c>
      <c r="J164" s="782" t="s">
        <v>439</v>
      </c>
      <c r="K164" s="782"/>
      <c r="L164" s="782"/>
      <c r="M164" s="783">
        <f>ROUND(11731 * 3 * 1.25, 2)</f>
        <v>43991.25</v>
      </c>
      <c r="N164" s="782"/>
      <c r="O164" s="782" t="s">
        <v>129</v>
      </c>
      <c r="P164" s="782"/>
    </row>
    <row r="165" spans="1:16" x14ac:dyDescent="0.25">
      <c r="A165" s="535"/>
      <c r="B165" s="774" t="s">
        <v>306</v>
      </c>
      <c r="C165" s="774"/>
      <c r="D165" s="774"/>
      <c r="E165" s="774"/>
      <c r="F165" s="774" t="s">
        <v>129</v>
      </c>
      <c r="G165" s="774"/>
      <c r="H165" s="535"/>
      <c r="I165" s="535"/>
      <c r="J165" s="774" t="s">
        <v>129</v>
      </c>
      <c r="K165" s="774"/>
      <c r="L165" s="774"/>
      <c r="M165" s="774"/>
      <c r="N165" s="774"/>
      <c r="O165" s="774"/>
      <c r="P165" s="774"/>
    </row>
    <row r="166" spans="1:16" ht="68.099999999999994" customHeight="1" x14ac:dyDescent="0.25">
      <c r="A166" s="536"/>
      <c r="B166" s="775" t="s">
        <v>370</v>
      </c>
      <c r="C166" s="775"/>
      <c r="D166" s="775"/>
      <c r="E166" s="775"/>
      <c r="F166" s="775" t="s">
        <v>371</v>
      </c>
      <c r="G166" s="775"/>
      <c r="H166" s="536"/>
      <c r="I166" s="536"/>
      <c r="J166" s="775" t="s">
        <v>129</v>
      </c>
      <c r="K166" s="775"/>
      <c r="L166" s="775"/>
      <c r="M166" s="775"/>
      <c r="N166" s="775"/>
      <c r="O166" s="775"/>
      <c r="P166" s="775"/>
    </row>
    <row r="167" spans="1:16" x14ac:dyDescent="0.25">
      <c r="A167" s="537"/>
      <c r="B167" s="780" t="s">
        <v>403</v>
      </c>
      <c r="C167" s="780"/>
      <c r="D167" s="780"/>
      <c r="E167" s="780"/>
      <c r="F167" s="780"/>
      <c r="G167" s="780"/>
      <c r="H167" s="537"/>
      <c r="I167" s="537"/>
      <c r="J167" s="780" t="s">
        <v>129</v>
      </c>
      <c r="K167" s="780"/>
      <c r="L167" s="780"/>
      <c r="M167" s="786">
        <f>ROUND(SUM($M$62:$M$164),2)</f>
        <v>2877441.25</v>
      </c>
      <c r="N167" s="780"/>
      <c r="O167" s="780"/>
      <c r="P167" s="780"/>
    </row>
    <row r="168" spans="1:16" x14ac:dyDescent="0.25">
      <c r="A168" s="537"/>
      <c r="B168" s="780" t="s">
        <v>404</v>
      </c>
      <c r="C168" s="780"/>
      <c r="D168" s="780"/>
      <c r="E168" s="780"/>
      <c r="F168" s="780"/>
      <c r="G168" s="780"/>
      <c r="H168" s="537"/>
      <c r="I168" s="537"/>
      <c r="J168" s="780" t="s">
        <v>129</v>
      </c>
      <c r="K168" s="780"/>
      <c r="L168" s="780"/>
      <c r="M168" s="786">
        <f>ROUND(($M$167),2)</f>
        <v>2877441.25</v>
      </c>
      <c r="N168" s="780"/>
      <c r="O168" s="780"/>
      <c r="P168" s="780"/>
    </row>
    <row r="169" spans="1:16" ht="27.2" customHeight="1" x14ac:dyDescent="0.25">
      <c r="A169" s="537"/>
      <c r="B169" s="780" t="s">
        <v>405</v>
      </c>
      <c r="C169" s="780"/>
      <c r="D169" s="780"/>
      <c r="E169" s="780"/>
      <c r="F169" s="780"/>
      <c r="G169" s="780"/>
      <c r="H169" s="537"/>
      <c r="I169" s="537"/>
      <c r="J169" s="780"/>
      <c r="K169" s="780"/>
      <c r="L169" s="780"/>
      <c r="M169" s="780"/>
      <c r="N169" s="780"/>
      <c r="O169" s="780"/>
      <c r="P169" s="780"/>
    </row>
    <row r="170" spans="1:16" ht="122.45" customHeight="1" x14ac:dyDescent="0.25">
      <c r="A170" s="542" t="s">
        <v>17</v>
      </c>
      <c r="B170" s="781" t="s">
        <v>406</v>
      </c>
      <c r="C170" s="782"/>
      <c r="D170" s="782"/>
      <c r="E170" s="782"/>
      <c r="F170" s="782" t="s">
        <v>2311</v>
      </c>
      <c r="G170" s="782"/>
      <c r="H170" s="623" t="s">
        <v>2306</v>
      </c>
      <c r="I170" s="623" t="s">
        <v>2310</v>
      </c>
      <c r="J170" s="782" t="s">
        <v>2309</v>
      </c>
      <c r="K170" s="782"/>
      <c r="L170" s="782"/>
      <c r="M170" s="783">
        <f>ROUND(434 * 993 * 1.25, 2)</f>
        <v>538702.5</v>
      </c>
      <c r="N170" s="782"/>
      <c r="O170" s="782" t="s">
        <v>129</v>
      </c>
      <c r="P170" s="782"/>
    </row>
    <row r="171" spans="1:16" x14ac:dyDescent="0.25">
      <c r="A171" s="535"/>
      <c r="B171" s="774" t="s">
        <v>306</v>
      </c>
      <c r="C171" s="774"/>
      <c r="D171" s="774"/>
      <c r="E171" s="774"/>
      <c r="F171" s="774" t="s">
        <v>129</v>
      </c>
      <c r="G171" s="774"/>
      <c r="H171" s="535"/>
      <c r="I171" s="535"/>
      <c r="J171" s="774" t="s">
        <v>129</v>
      </c>
      <c r="K171" s="774"/>
      <c r="L171" s="774"/>
      <c r="M171" s="774"/>
      <c r="N171" s="774"/>
      <c r="O171" s="774"/>
      <c r="P171" s="774"/>
    </row>
    <row r="172" spans="1:16" ht="68.099999999999994" customHeight="1" x14ac:dyDescent="0.25">
      <c r="A172" s="536"/>
      <c r="B172" s="775" t="s">
        <v>370</v>
      </c>
      <c r="C172" s="775"/>
      <c r="D172" s="775"/>
      <c r="E172" s="775"/>
      <c r="F172" s="775" t="s">
        <v>371</v>
      </c>
      <c r="G172" s="775"/>
      <c r="H172" s="536"/>
      <c r="I172" s="536"/>
      <c r="J172" s="775" t="s">
        <v>129</v>
      </c>
      <c r="K172" s="775"/>
      <c r="L172" s="775"/>
      <c r="M172" s="775"/>
      <c r="N172" s="775"/>
      <c r="O172" s="775"/>
      <c r="P172" s="775"/>
    </row>
    <row r="173" spans="1:16" ht="135.94999999999999" customHeight="1" x14ac:dyDescent="0.25">
      <c r="A173" s="542" t="s">
        <v>93</v>
      </c>
      <c r="B173" s="781" t="s">
        <v>406</v>
      </c>
      <c r="C173" s="782"/>
      <c r="D173" s="782"/>
      <c r="E173" s="782"/>
      <c r="F173" s="782" t="s">
        <v>2055</v>
      </c>
      <c r="G173" s="782"/>
      <c r="H173" s="623" t="s">
        <v>2306</v>
      </c>
      <c r="I173" s="623" t="s">
        <v>2308</v>
      </c>
      <c r="J173" s="782" t="s">
        <v>2054</v>
      </c>
      <c r="K173" s="782"/>
      <c r="L173" s="782"/>
      <c r="M173" s="783">
        <f>ROUND(434 * 50 * 1.25, 2)</f>
        <v>27125</v>
      </c>
      <c r="N173" s="782"/>
      <c r="O173" s="782" t="s">
        <v>2053</v>
      </c>
      <c r="P173" s="782"/>
    </row>
    <row r="174" spans="1:16" x14ac:dyDescent="0.25">
      <c r="A174" s="535"/>
      <c r="B174" s="774" t="s">
        <v>306</v>
      </c>
      <c r="C174" s="774"/>
      <c r="D174" s="774"/>
      <c r="E174" s="774"/>
      <c r="F174" s="774" t="s">
        <v>129</v>
      </c>
      <c r="G174" s="774"/>
      <c r="H174" s="535"/>
      <c r="I174" s="535"/>
      <c r="J174" s="774" t="s">
        <v>129</v>
      </c>
      <c r="K174" s="774"/>
      <c r="L174" s="774"/>
      <c r="M174" s="774"/>
      <c r="N174" s="774"/>
      <c r="O174" s="774"/>
      <c r="P174" s="774"/>
    </row>
    <row r="175" spans="1:16" ht="68.099999999999994" customHeight="1" x14ac:dyDescent="0.25">
      <c r="A175" s="536"/>
      <c r="B175" s="775" t="s">
        <v>370</v>
      </c>
      <c r="C175" s="775"/>
      <c r="D175" s="775"/>
      <c r="E175" s="775"/>
      <c r="F175" s="775" t="s">
        <v>371</v>
      </c>
      <c r="G175" s="775"/>
      <c r="H175" s="536"/>
      <c r="I175" s="536"/>
      <c r="J175" s="775" t="s">
        <v>129</v>
      </c>
      <c r="K175" s="775"/>
      <c r="L175" s="775"/>
      <c r="M175" s="775"/>
      <c r="N175" s="775"/>
      <c r="O175" s="775"/>
      <c r="P175" s="775"/>
    </row>
    <row r="176" spans="1:16" ht="81.599999999999994" customHeight="1" x14ac:dyDescent="0.25">
      <c r="A176" s="542" t="s">
        <v>94</v>
      </c>
      <c r="B176" s="781" t="s">
        <v>440</v>
      </c>
      <c r="C176" s="782"/>
      <c r="D176" s="782"/>
      <c r="E176" s="782"/>
      <c r="F176" s="782" t="s">
        <v>2307</v>
      </c>
      <c r="G176" s="782"/>
      <c r="H176" s="623" t="s">
        <v>2306</v>
      </c>
      <c r="I176" s="623" t="s">
        <v>2305</v>
      </c>
      <c r="J176" s="782" t="s">
        <v>2304</v>
      </c>
      <c r="K176" s="782"/>
      <c r="L176" s="782"/>
      <c r="M176" s="783">
        <f>ROUND(173 * 150 * 1.25, 2)</f>
        <v>32437.5</v>
      </c>
      <c r="N176" s="782"/>
      <c r="O176" s="782" t="s">
        <v>129</v>
      </c>
      <c r="P176" s="782"/>
    </row>
    <row r="177" spans="1:16" x14ac:dyDescent="0.25">
      <c r="A177" s="535"/>
      <c r="B177" s="774" t="s">
        <v>306</v>
      </c>
      <c r="C177" s="774"/>
      <c r="D177" s="774"/>
      <c r="E177" s="774"/>
      <c r="F177" s="774" t="s">
        <v>129</v>
      </c>
      <c r="G177" s="774"/>
      <c r="H177" s="535"/>
      <c r="I177" s="535"/>
      <c r="J177" s="774" t="s">
        <v>129</v>
      </c>
      <c r="K177" s="774"/>
      <c r="L177" s="774"/>
      <c r="M177" s="774"/>
      <c r="N177" s="774"/>
      <c r="O177" s="774"/>
      <c r="P177" s="774"/>
    </row>
    <row r="178" spans="1:16" ht="68.099999999999994" customHeight="1" x14ac:dyDescent="0.25">
      <c r="A178" s="536"/>
      <c r="B178" s="775" t="s">
        <v>370</v>
      </c>
      <c r="C178" s="775"/>
      <c r="D178" s="775"/>
      <c r="E178" s="775"/>
      <c r="F178" s="775" t="s">
        <v>371</v>
      </c>
      <c r="G178" s="775"/>
      <c r="H178" s="536"/>
      <c r="I178" s="536"/>
      <c r="J178" s="775" t="s">
        <v>129</v>
      </c>
      <c r="K178" s="775"/>
      <c r="L178" s="775"/>
      <c r="M178" s="775"/>
      <c r="N178" s="775"/>
      <c r="O178" s="775"/>
      <c r="P178" s="775"/>
    </row>
    <row r="179" spans="1:16" ht="81.599999999999994" customHeight="1" x14ac:dyDescent="0.25">
      <c r="A179" s="542" t="s">
        <v>95</v>
      </c>
      <c r="B179" s="781" t="s">
        <v>441</v>
      </c>
      <c r="C179" s="782"/>
      <c r="D179" s="782"/>
      <c r="E179" s="782"/>
      <c r="F179" s="782" t="s">
        <v>657</v>
      </c>
      <c r="G179" s="782"/>
      <c r="H179" s="623" t="s">
        <v>2303</v>
      </c>
      <c r="I179" s="623" t="s">
        <v>5</v>
      </c>
      <c r="J179" s="782" t="s">
        <v>442</v>
      </c>
      <c r="K179" s="782"/>
      <c r="L179" s="782"/>
      <c r="M179" s="783">
        <f>ROUND(16696 * 1 * 1.25, 2)</f>
        <v>20870</v>
      </c>
      <c r="N179" s="782"/>
      <c r="O179" s="782" t="s">
        <v>129</v>
      </c>
      <c r="P179" s="782"/>
    </row>
    <row r="180" spans="1:16" x14ac:dyDescent="0.25">
      <c r="A180" s="535"/>
      <c r="B180" s="774" t="s">
        <v>306</v>
      </c>
      <c r="C180" s="774"/>
      <c r="D180" s="774"/>
      <c r="E180" s="774"/>
      <c r="F180" s="774" t="s">
        <v>129</v>
      </c>
      <c r="G180" s="774"/>
      <c r="H180" s="535"/>
      <c r="I180" s="535"/>
      <c r="J180" s="774" t="s">
        <v>129</v>
      </c>
      <c r="K180" s="774"/>
      <c r="L180" s="774"/>
      <c r="M180" s="774"/>
      <c r="N180" s="774"/>
      <c r="O180" s="774"/>
      <c r="P180" s="774"/>
    </row>
    <row r="181" spans="1:16" ht="68.099999999999994" customHeight="1" x14ac:dyDescent="0.25">
      <c r="A181" s="536"/>
      <c r="B181" s="775" t="s">
        <v>370</v>
      </c>
      <c r="C181" s="775"/>
      <c r="D181" s="775"/>
      <c r="E181" s="775"/>
      <c r="F181" s="775" t="s">
        <v>371</v>
      </c>
      <c r="G181" s="775"/>
      <c r="H181" s="536"/>
      <c r="I181" s="536"/>
      <c r="J181" s="775" t="s">
        <v>129</v>
      </c>
      <c r="K181" s="775"/>
      <c r="L181" s="775"/>
      <c r="M181" s="775"/>
      <c r="N181" s="775"/>
      <c r="O181" s="775"/>
      <c r="P181" s="775"/>
    </row>
    <row r="182" spans="1:16" x14ac:dyDescent="0.25">
      <c r="A182" s="785" t="s">
        <v>2302</v>
      </c>
      <c r="B182" s="785"/>
      <c r="C182" s="785"/>
      <c r="D182" s="785"/>
      <c r="E182" s="785"/>
      <c r="F182" s="785"/>
      <c r="G182" s="785"/>
      <c r="H182" s="785"/>
      <c r="I182" s="785"/>
      <c r="J182" s="785"/>
      <c r="K182" s="785"/>
      <c r="L182" s="785"/>
      <c r="M182" s="785"/>
      <c r="N182" s="785"/>
      <c r="O182" s="785"/>
      <c r="P182" s="785"/>
    </row>
    <row r="183" spans="1:16" ht="68.099999999999994" customHeight="1" x14ac:dyDescent="0.25">
      <c r="A183" s="542" t="s">
        <v>162</v>
      </c>
      <c r="B183" s="781" t="s">
        <v>407</v>
      </c>
      <c r="C183" s="782"/>
      <c r="D183" s="782"/>
      <c r="E183" s="782"/>
      <c r="F183" s="782" t="s">
        <v>2052</v>
      </c>
      <c r="G183" s="782"/>
      <c r="H183" s="623" t="s">
        <v>2298</v>
      </c>
      <c r="I183" s="623" t="s">
        <v>2301</v>
      </c>
      <c r="J183" s="782" t="s">
        <v>2051</v>
      </c>
      <c r="K183" s="782"/>
      <c r="L183" s="782"/>
      <c r="M183" s="783">
        <f>ROUND(381 * 60 * 1.25, 2)</f>
        <v>28575</v>
      </c>
      <c r="N183" s="782"/>
      <c r="O183" s="782" t="s">
        <v>129</v>
      </c>
      <c r="P183" s="782"/>
    </row>
    <row r="184" spans="1:16" x14ac:dyDescent="0.25">
      <c r="A184" s="535"/>
      <c r="B184" s="774" t="s">
        <v>306</v>
      </c>
      <c r="C184" s="774"/>
      <c r="D184" s="774"/>
      <c r="E184" s="774"/>
      <c r="F184" s="774" t="s">
        <v>129</v>
      </c>
      <c r="G184" s="774"/>
      <c r="H184" s="535"/>
      <c r="I184" s="535"/>
      <c r="J184" s="774" t="s">
        <v>129</v>
      </c>
      <c r="K184" s="774"/>
      <c r="L184" s="774"/>
      <c r="M184" s="774"/>
      <c r="N184" s="774"/>
      <c r="O184" s="774"/>
      <c r="P184" s="774"/>
    </row>
    <row r="185" spans="1:16" ht="68.099999999999994" customHeight="1" x14ac:dyDescent="0.25">
      <c r="A185" s="536"/>
      <c r="B185" s="775" t="s">
        <v>370</v>
      </c>
      <c r="C185" s="775"/>
      <c r="D185" s="775"/>
      <c r="E185" s="775"/>
      <c r="F185" s="775" t="s">
        <v>371</v>
      </c>
      <c r="G185" s="775"/>
      <c r="H185" s="536"/>
      <c r="I185" s="536"/>
      <c r="J185" s="775" t="s">
        <v>129</v>
      </c>
      <c r="K185" s="775"/>
      <c r="L185" s="775"/>
      <c r="M185" s="775"/>
      <c r="N185" s="775"/>
      <c r="O185" s="775"/>
      <c r="P185" s="775"/>
    </row>
    <row r="186" spans="1:16" ht="108.75" customHeight="1" x14ac:dyDescent="0.25">
      <c r="A186" s="542" t="s">
        <v>163</v>
      </c>
      <c r="B186" s="781" t="s">
        <v>408</v>
      </c>
      <c r="C186" s="782"/>
      <c r="D186" s="782"/>
      <c r="E186" s="782"/>
      <c r="F186" s="782" t="s">
        <v>2050</v>
      </c>
      <c r="G186" s="782"/>
      <c r="H186" s="623" t="s">
        <v>2298</v>
      </c>
      <c r="I186" s="623" t="s">
        <v>2301</v>
      </c>
      <c r="J186" s="782" t="s">
        <v>2049</v>
      </c>
      <c r="K186" s="782"/>
      <c r="L186" s="782"/>
      <c r="M186" s="783">
        <f>ROUND(730 * 60 * 1.25, 2)</f>
        <v>54750</v>
      </c>
      <c r="N186" s="782"/>
      <c r="O186" s="782" t="s">
        <v>129</v>
      </c>
      <c r="P186" s="782"/>
    </row>
    <row r="187" spans="1:16" x14ac:dyDescent="0.25">
      <c r="A187" s="535"/>
      <c r="B187" s="774" t="s">
        <v>306</v>
      </c>
      <c r="C187" s="774"/>
      <c r="D187" s="774"/>
      <c r="E187" s="774"/>
      <c r="F187" s="774" t="s">
        <v>129</v>
      </c>
      <c r="G187" s="774"/>
      <c r="H187" s="535"/>
      <c r="I187" s="535"/>
      <c r="J187" s="774" t="s">
        <v>129</v>
      </c>
      <c r="K187" s="774"/>
      <c r="L187" s="774"/>
      <c r="M187" s="774"/>
      <c r="N187" s="774"/>
      <c r="O187" s="774"/>
      <c r="P187" s="774"/>
    </row>
    <row r="188" spans="1:16" ht="68.099999999999994" customHeight="1" x14ac:dyDescent="0.25">
      <c r="A188" s="536"/>
      <c r="B188" s="775" t="s">
        <v>370</v>
      </c>
      <c r="C188" s="775"/>
      <c r="D188" s="775"/>
      <c r="E188" s="775"/>
      <c r="F188" s="775" t="s">
        <v>371</v>
      </c>
      <c r="G188" s="775"/>
      <c r="H188" s="536"/>
      <c r="I188" s="536"/>
      <c r="J188" s="775" t="s">
        <v>129</v>
      </c>
      <c r="K188" s="775"/>
      <c r="L188" s="775"/>
      <c r="M188" s="775"/>
      <c r="N188" s="775"/>
      <c r="O188" s="775"/>
      <c r="P188" s="775"/>
    </row>
    <row r="189" spans="1:16" ht="68.099999999999994" customHeight="1" x14ac:dyDescent="0.25">
      <c r="A189" s="542" t="s">
        <v>443</v>
      </c>
      <c r="B189" s="781" t="s">
        <v>409</v>
      </c>
      <c r="C189" s="782"/>
      <c r="D189" s="782"/>
      <c r="E189" s="782"/>
      <c r="F189" s="782" t="s">
        <v>2048</v>
      </c>
      <c r="G189" s="782"/>
      <c r="H189" s="623" t="s">
        <v>2298</v>
      </c>
      <c r="I189" s="623" t="s">
        <v>2300</v>
      </c>
      <c r="J189" s="782" t="s">
        <v>2047</v>
      </c>
      <c r="K189" s="782"/>
      <c r="L189" s="782"/>
      <c r="M189" s="783">
        <f>ROUND(320 * 40 * 1.25, 2)</f>
        <v>16000</v>
      </c>
      <c r="N189" s="782"/>
      <c r="O189" s="782" t="s">
        <v>129</v>
      </c>
      <c r="P189" s="782"/>
    </row>
    <row r="190" spans="1:16" x14ac:dyDescent="0.25">
      <c r="A190" s="535"/>
      <c r="B190" s="774" t="s">
        <v>306</v>
      </c>
      <c r="C190" s="774"/>
      <c r="D190" s="774"/>
      <c r="E190" s="774"/>
      <c r="F190" s="774" t="s">
        <v>129</v>
      </c>
      <c r="G190" s="774"/>
      <c r="H190" s="535"/>
      <c r="I190" s="535"/>
      <c r="J190" s="774" t="s">
        <v>129</v>
      </c>
      <c r="K190" s="774"/>
      <c r="L190" s="774"/>
      <c r="M190" s="774"/>
      <c r="N190" s="774"/>
      <c r="O190" s="774"/>
      <c r="P190" s="774"/>
    </row>
    <row r="191" spans="1:16" ht="68.099999999999994" customHeight="1" x14ac:dyDescent="0.25">
      <c r="A191" s="536"/>
      <c r="B191" s="775" t="s">
        <v>370</v>
      </c>
      <c r="C191" s="775"/>
      <c r="D191" s="775"/>
      <c r="E191" s="775"/>
      <c r="F191" s="775" t="s">
        <v>371</v>
      </c>
      <c r="G191" s="775"/>
      <c r="H191" s="536"/>
      <c r="I191" s="536"/>
      <c r="J191" s="775" t="s">
        <v>129</v>
      </c>
      <c r="K191" s="775"/>
      <c r="L191" s="775"/>
      <c r="M191" s="775"/>
      <c r="N191" s="775"/>
      <c r="O191" s="775"/>
      <c r="P191" s="775"/>
    </row>
    <row r="192" spans="1:16" ht="108.75" customHeight="1" x14ac:dyDescent="0.25">
      <c r="A192" s="542" t="s">
        <v>444</v>
      </c>
      <c r="B192" s="781" t="s">
        <v>410</v>
      </c>
      <c r="C192" s="782"/>
      <c r="D192" s="782"/>
      <c r="E192" s="782"/>
      <c r="F192" s="782" t="s">
        <v>2046</v>
      </c>
      <c r="G192" s="782"/>
      <c r="H192" s="623" t="s">
        <v>2298</v>
      </c>
      <c r="I192" s="623" t="s">
        <v>2299</v>
      </c>
      <c r="J192" s="782" t="s">
        <v>2045</v>
      </c>
      <c r="K192" s="782"/>
      <c r="L192" s="782"/>
      <c r="M192" s="783">
        <f>ROUND(693 * 12 * 1.25, 2)</f>
        <v>10395</v>
      </c>
      <c r="N192" s="782"/>
      <c r="O192" s="782" t="s">
        <v>129</v>
      </c>
      <c r="P192" s="782"/>
    </row>
    <row r="193" spans="1:16" x14ac:dyDescent="0.25">
      <c r="A193" s="535"/>
      <c r="B193" s="774" t="s">
        <v>306</v>
      </c>
      <c r="C193" s="774"/>
      <c r="D193" s="774"/>
      <c r="E193" s="774"/>
      <c r="F193" s="774" t="s">
        <v>129</v>
      </c>
      <c r="G193" s="774"/>
      <c r="H193" s="535"/>
      <c r="I193" s="535"/>
      <c r="J193" s="774" t="s">
        <v>129</v>
      </c>
      <c r="K193" s="774"/>
      <c r="L193" s="774"/>
      <c r="M193" s="774"/>
      <c r="N193" s="774"/>
      <c r="O193" s="774"/>
      <c r="P193" s="774"/>
    </row>
    <row r="194" spans="1:16" ht="68.099999999999994" customHeight="1" x14ac:dyDescent="0.25">
      <c r="A194" s="536"/>
      <c r="B194" s="775" t="s">
        <v>370</v>
      </c>
      <c r="C194" s="775"/>
      <c r="D194" s="775"/>
      <c r="E194" s="775"/>
      <c r="F194" s="775" t="s">
        <v>371</v>
      </c>
      <c r="G194" s="775"/>
      <c r="H194" s="536"/>
      <c r="I194" s="536"/>
      <c r="J194" s="775" t="s">
        <v>129</v>
      </c>
      <c r="K194" s="775"/>
      <c r="L194" s="775"/>
      <c r="M194" s="775"/>
      <c r="N194" s="775"/>
      <c r="O194" s="775"/>
      <c r="P194" s="775"/>
    </row>
    <row r="195" spans="1:16" ht="122.45" customHeight="1" x14ac:dyDescent="0.25">
      <c r="A195" s="542" t="s">
        <v>445</v>
      </c>
      <c r="B195" s="781" t="s">
        <v>411</v>
      </c>
      <c r="C195" s="782"/>
      <c r="D195" s="782"/>
      <c r="E195" s="782"/>
      <c r="F195" s="782" t="s">
        <v>658</v>
      </c>
      <c r="G195" s="782"/>
      <c r="H195" s="623" t="s">
        <v>2298</v>
      </c>
      <c r="I195" s="623" t="s">
        <v>2299</v>
      </c>
      <c r="J195" s="782" t="s">
        <v>412</v>
      </c>
      <c r="K195" s="782"/>
      <c r="L195" s="782"/>
      <c r="M195" s="783">
        <f>ROUND(352 * 12 * 1.25, 2)</f>
        <v>5280</v>
      </c>
      <c r="N195" s="782"/>
      <c r="O195" s="782" t="s">
        <v>129</v>
      </c>
      <c r="P195" s="782"/>
    </row>
    <row r="196" spans="1:16" x14ac:dyDescent="0.25">
      <c r="A196" s="535"/>
      <c r="B196" s="774" t="s">
        <v>306</v>
      </c>
      <c r="C196" s="774"/>
      <c r="D196" s="774"/>
      <c r="E196" s="774"/>
      <c r="F196" s="774" t="s">
        <v>129</v>
      </c>
      <c r="G196" s="774"/>
      <c r="H196" s="535"/>
      <c r="I196" s="535"/>
      <c r="J196" s="774" t="s">
        <v>129</v>
      </c>
      <c r="K196" s="774"/>
      <c r="L196" s="774"/>
      <c r="M196" s="774"/>
      <c r="N196" s="774"/>
      <c r="O196" s="774"/>
      <c r="P196" s="774"/>
    </row>
    <row r="197" spans="1:16" ht="68.099999999999994" customHeight="1" x14ac:dyDescent="0.25">
      <c r="A197" s="536"/>
      <c r="B197" s="775" t="s">
        <v>370</v>
      </c>
      <c r="C197" s="775"/>
      <c r="D197" s="775"/>
      <c r="E197" s="775"/>
      <c r="F197" s="775" t="s">
        <v>371</v>
      </c>
      <c r="G197" s="775"/>
      <c r="H197" s="536"/>
      <c r="I197" s="536"/>
      <c r="J197" s="775" t="s">
        <v>129</v>
      </c>
      <c r="K197" s="775"/>
      <c r="L197" s="775"/>
      <c r="M197" s="775"/>
      <c r="N197" s="775"/>
      <c r="O197" s="775"/>
      <c r="P197" s="775"/>
    </row>
    <row r="198" spans="1:16" ht="122.45" customHeight="1" x14ac:dyDescent="0.25">
      <c r="A198" s="542" t="s">
        <v>448</v>
      </c>
      <c r="B198" s="781" t="s">
        <v>411</v>
      </c>
      <c r="C198" s="782"/>
      <c r="D198" s="782"/>
      <c r="E198" s="782"/>
      <c r="F198" s="782" t="s">
        <v>658</v>
      </c>
      <c r="G198" s="782"/>
      <c r="H198" s="623" t="s">
        <v>2298</v>
      </c>
      <c r="I198" s="623" t="s">
        <v>2299</v>
      </c>
      <c r="J198" s="782" t="s">
        <v>412</v>
      </c>
      <c r="K198" s="782"/>
      <c r="L198" s="782"/>
      <c r="M198" s="783">
        <f>ROUND(352 * 12 * 1.25, 2)</f>
        <v>5280</v>
      </c>
      <c r="N198" s="782"/>
      <c r="O198" s="782" t="s">
        <v>129</v>
      </c>
      <c r="P198" s="782"/>
    </row>
    <row r="199" spans="1:16" x14ac:dyDescent="0.25">
      <c r="A199" s="535"/>
      <c r="B199" s="774" t="s">
        <v>306</v>
      </c>
      <c r="C199" s="774"/>
      <c r="D199" s="774"/>
      <c r="E199" s="774"/>
      <c r="F199" s="774" t="s">
        <v>129</v>
      </c>
      <c r="G199" s="774"/>
      <c r="H199" s="535"/>
      <c r="I199" s="535"/>
      <c r="J199" s="774" t="s">
        <v>129</v>
      </c>
      <c r="K199" s="774"/>
      <c r="L199" s="774"/>
      <c r="M199" s="774"/>
      <c r="N199" s="774"/>
      <c r="O199" s="774"/>
      <c r="P199" s="774"/>
    </row>
    <row r="200" spans="1:16" ht="68.099999999999994" customHeight="1" x14ac:dyDescent="0.25">
      <c r="A200" s="536"/>
      <c r="B200" s="775" t="s">
        <v>370</v>
      </c>
      <c r="C200" s="775"/>
      <c r="D200" s="775"/>
      <c r="E200" s="775"/>
      <c r="F200" s="775" t="s">
        <v>371</v>
      </c>
      <c r="G200" s="775"/>
      <c r="H200" s="536"/>
      <c r="I200" s="536"/>
      <c r="J200" s="775" t="s">
        <v>129</v>
      </c>
      <c r="K200" s="775"/>
      <c r="L200" s="775"/>
      <c r="M200" s="775"/>
      <c r="N200" s="775"/>
      <c r="O200" s="775"/>
      <c r="P200" s="775"/>
    </row>
    <row r="201" spans="1:16" ht="68.099999999999994" customHeight="1" x14ac:dyDescent="0.25">
      <c r="A201" s="542" t="s">
        <v>2044</v>
      </c>
      <c r="B201" s="781" t="s">
        <v>446</v>
      </c>
      <c r="C201" s="782"/>
      <c r="D201" s="782"/>
      <c r="E201" s="782"/>
      <c r="F201" s="782" t="s">
        <v>659</v>
      </c>
      <c r="G201" s="782"/>
      <c r="H201" s="623" t="s">
        <v>2298</v>
      </c>
      <c r="I201" s="623" t="s">
        <v>138</v>
      </c>
      <c r="J201" s="782" t="s">
        <v>447</v>
      </c>
      <c r="K201" s="782"/>
      <c r="L201" s="782"/>
      <c r="M201" s="783">
        <f>ROUND(385 * 3 * 1.25, 2)</f>
        <v>1443.75</v>
      </c>
      <c r="N201" s="782"/>
      <c r="O201" s="782" t="s">
        <v>129</v>
      </c>
      <c r="P201" s="782"/>
    </row>
    <row r="202" spans="1:16" x14ac:dyDescent="0.25">
      <c r="A202" s="535"/>
      <c r="B202" s="774" t="s">
        <v>306</v>
      </c>
      <c r="C202" s="774"/>
      <c r="D202" s="774"/>
      <c r="E202" s="774"/>
      <c r="F202" s="774" t="s">
        <v>129</v>
      </c>
      <c r="G202" s="774"/>
      <c r="H202" s="535"/>
      <c r="I202" s="535"/>
      <c r="J202" s="774" t="s">
        <v>129</v>
      </c>
      <c r="K202" s="774"/>
      <c r="L202" s="774"/>
      <c r="M202" s="774"/>
      <c r="N202" s="774"/>
      <c r="O202" s="774"/>
      <c r="P202" s="774"/>
    </row>
    <row r="203" spans="1:16" ht="68.099999999999994" customHeight="1" x14ac:dyDescent="0.25">
      <c r="A203" s="536"/>
      <c r="B203" s="775" t="s">
        <v>370</v>
      </c>
      <c r="C203" s="775"/>
      <c r="D203" s="775"/>
      <c r="E203" s="775"/>
      <c r="F203" s="775" t="s">
        <v>371</v>
      </c>
      <c r="G203" s="775"/>
      <c r="H203" s="536"/>
      <c r="I203" s="536"/>
      <c r="J203" s="775" t="s">
        <v>129</v>
      </c>
      <c r="K203" s="775"/>
      <c r="L203" s="775"/>
      <c r="M203" s="775"/>
      <c r="N203" s="775"/>
      <c r="O203" s="775"/>
      <c r="P203" s="775"/>
    </row>
    <row r="204" spans="1:16" x14ac:dyDescent="0.25">
      <c r="A204" s="537"/>
      <c r="B204" s="780" t="s">
        <v>413</v>
      </c>
      <c r="C204" s="780"/>
      <c r="D204" s="780"/>
      <c r="E204" s="780"/>
      <c r="F204" s="780"/>
      <c r="G204" s="780"/>
      <c r="H204" s="537"/>
      <c r="I204" s="537"/>
      <c r="J204" s="780" t="s">
        <v>129</v>
      </c>
      <c r="K204" s="780"/>
      <c r="L204" s="780"/>
      <c r="M204" s="786">
        <f>ROUND(SUM($M$170:$M$201),2)</f>
        <v>740858.75</v>
      </c>
      <c r="N204" s="780"/>
      <c r="O204" s="780"/>
      <c r="P204" s="780"/>
    </row>
    <row r="205" spans="1:16" x14ac:dyDescent="0.25">
      <c r="A205" s="537"/>
      <c r="B205" s="780" t="s">
        <v>414</v>
      </c>
      <c r="C205" s="780"/>
      <c r="D205" s="780"/>
      <c r="E205" s="780"/>
      <c r="F205" s="780"/>
      <c r="G205" s="780"/>
      <c r="H205" s="537"/>
      <c r="I205" s="537"/>
      <c r="J205" s="780" t="s">
        <v>129</v>
      </c>
      <c r="K205" s="780"/>
      <c r="L205" s="780"/>
      <c r="M205" s="786">
        <f>ROUND(($M$204),2)</f>
        <v>740858.75</v>
      </c>
      <c r="N205" s="780"/>
      <c r="O205" s="780"/>
      <c r="P205" s="780"/>
    </row>
    <row r="206" spans="1:16" ht="40.9" customHeight="1" x14ac:dyDescent="0.25">
      <c r="A206" s="537"/>
      <c r="B206" s="780" t="s">
        <v>415</v>
      </c>
      <c r="C206" s="780"/>
      <c r="D206" s="780"/>
      <c r="E206" s="780"/>
      <c r="F206" s="780"/>
      <c r="G206" s="780"/>
      <c r="H206" s="537"/>
      <c r="I206" s="537"/>
      <c r="J206" s="780"/>
      <c r="K206" s="780"/>
      <c r="L206" s="780"/>
      <c r="M206" s="780"/>
      <c r="N206" s="780"/>
      <c r="O206" s="780"/>
      <c r="P206" s="780"/>
    </row>
    <row r="207" spans="1:16" ht="135.94999999999999" customHeight="1" x14ac:dyDescent="0.25">
      <c r="A207" s="542" t="s">
        <v>14</v>
      </c>
      <c r="B207" s="781" t="s">
        <v>471</v>
      </c>
      <c r="C207" s="782"/>
      <c r="D207" s="782"/>
      <c r="E207" s="782"/>
      <c r="F207" s="782" t="s">
        <v>2297</v>
      </c>
      <c r="G207" s="782"/>
      <c r="H207" s="623" t="s">
        <v>129</v>
      </c>
      <c r="I207" s="623" t="s">
        <v>5</v>
      </c>
      <c r="J207" s="782" t="s">
        <v>2296</v>
      </c>
      <c r="K207" s="782"/>
      <c r="L207" s="782"/>
      <c r="M207" s="783">
        <f>ROUND((3.7 / 100 * 4706.902 * 1 * 1.25) * 1000, 2)</f>
        <v>217694.22</v>
      </c>
      <c r="N207" s="782"/>
      <c r="O207" s="782" t="s">
        <v>129</v>
      </c>
      <c r="P207" s="782"/>
    </row>
    <row r="208" spans="1:16" x14ac:dyDescent="0.25">
      <c r="A208" s="535"/>
      <c r="B208" s="774" t="s">
        <v>306</v>
      </c>
      <c r="C208" s="774"/>
      <c r="D208" s="774"/>
      <c r="E208" s="774"/>
      <c r="F208" s="774" t="s">
        <v>129</v>
      </c>
      <c r="G208" s="774"/>
      <c r="H208" s="535"/>
      <c r="I208" s="535"/>
      <c r="J208" s="774" t="s">
        <v>129</v>
      </c>
      <c r="K208" s="774"/>
      <c r="L208" s="774"/>
      <c r="M208" s="774"/>
      <c r="N208" s="774"/>
      <c r="O208" s="774"/>
      <c r="P208" s="774"/>
    </row>
    <row r="209" spans="1:16" ht="68.099999999999994" customHeight="1" x14ac:dyDescent="0.25">
      <c r="A209" s="536"/>
      <c r="B209" s="775" t="s">
        <v>370</v>
      </c>
      <c r="C209" s="775"/>
      <c r="D209" s="775"/>
      <c r="E209" s="775"/>
      <c r="F209" s="775" t="s">
        <v>371</v>
      </c>
      <c r="G209" s="775"/>
      <c r="H209" s="536"/>
      <c r="I209" s="536"/>
      <c r="J209" s="775" t="s">
        <v>129</v>
      </c>
      <c r="K209" s="775"/>
      <c r="L209" s="775"/>
      <c r="M209" s="775"/>
      <c r="N209" s="775"/>
      <c r="O209" s="775"/>
      <c r="P209" s="775"/>
    </row>
    <row r="210" spans="1:16" ht="190.35" customHeight="1" x14ac:dyDescent="0.25">
      <c r="A210" s="542" t="s">
        <v>96</v>
      </c>
      <c r="B210" s="781" t="s">
        <v>472</v>
      </c>
      <c r="C210" s="782"/>
      <c r="D210" s="782"/>
      <c r="E210" s="782"/>
      <c r="F210" s="782" t="s">
        <v>2295</v>
      </c>
      <c r="G210" s="782"/>
      <c r="H210" s="623" t="s">
        <v>129</v>
      </c>
      <c r="I210" s="623" t="s">
        <v>5</v>
      </c>
      <c r="J210" s="782" t="s">
        <v>2294</v>
      </c>
      <c r="K210" s="782"/>
      <c r="L210" s="782"/>
      <c r="M210" s="783">
        <f>ROUND((4706.902 * ((9.9 + (6.7 - 9.9) / (5000 - 1000) * (4706.902 - 1000)) / 100) * 1 * 1.25) * 1000, 2)</f>
        <v>407998.88</v>
      </c>
      <c r="N210" s="782"/>
      <c r="O210" s="782" t="s">
        <v>129</v>
      </c>
      <c r="P210" s="782"/>
    </row>
    <row r="211" spans="1:16" x14ac:dyDescent="0.25">
      <c r="A211" s="535"/>
      <c r="B211" s="774" t="s">
        <v>306</v>
      </c>
      <c r="C211" s="774"/>
      <c r="D211" s="774"/>
      <c r="E211" s="774"/>
      <c r="F211" s="774" t="s">
        <v>129</v>
      </c>
      <c r="G211" s="774"/>
      <c r="H211" s="535"/>
      <c r="I211" s="535"/>
      <c r="J211" s="774" t="s">
        <v>129</v>
      </c>
      <c r="K211" s="774"/>
      <c r="L211" s="774"/>
      <c r="M211" s="774"/>
      <c r="N211" s="774"/>
      <c r="O211" s="774"/>
      <c r="P211" s="774"/>
    </row>
    <row r="212" spans="1:16" ht="68.099999999999994" customHeight="1" x14ac:dyDescent="0.25">
      <c r="A212" s="536"/>
      <c r="B212" s="775" t="s">
        <v>370</v>
      </c>
      <c r="C212" s="775"/>
      <c r="D212" s="775"/>
      <c r="E212" s="775"/>
      <c r="F212" s="775" t="s">
        <v>371</v>
      </c>
      <c r="G212" s="775"/>
      <c r="H212" s="536"/>
      <c r="I212" s="536"/>
      <c r="J212" s="775" t="s">
        <v>129</v>
      </c>
      <c r="K212" s="775"/>
      <c r="L212" s="775"/>
      <c r="M212" s="775"/>
      <c r="N212" s="775"/>
      <c r="O212" s="775"/>
      <c r="P212" s="775"/>
    </row>
    <row r="213" spans="1:16" ht="149.65" customHeight="1" x14ac:dyDescent="0.25">
      <c r="A213" s="542" t="s">
        <v>188</v>
      </c>
      <c r="B213" s="781" t="s">
        <v>660</v>
      </c>
      <c r="C213" s="782"/>
      <c r="D213" s="782"/>
      <c r="E213" s="782"/>
      <c r="F213" s="782" t="s">
        <v>661</v>
      </c>
      <c r="G213" s="782"/>
      <c r="H213" s="623" t="s">
        <v>2293</v>
      </c>
      <c r="I213" s="623" t="s">
        <v>5</v>
      </c>
      <c r="J213" s="782" t="s">
        <v>662</v>
      </c>
      <c r="K213" s="782"/>
      <c r="L213" s="782"/>
      <c r="M213" s="783">
        <f>ROUND(143559 * 1 * 1.25 * 1.4, 2)</f>
        <v>251228.25</v>
      </c>
      <c r="N213" s="782"/>
      <c r="O213" s="782" t="s">
        <v>129</v>
      </c>
      <c r="P213" s="782"/>
    </row>
    <row r="214" spans="1:16" x14ac:dyDescent="0.25">
      <c r="A214" s="535"/>
      <c r="B214" s="774" t="s">
        <v>306</v>
      </c>
      <c r="C214" s="774"/>
      <c r="D214" s="774"/>
      <c r="E214" s="774"/>
      <c r="F214" s="774" t="s">
        <v>129</v>
      </c>
      <c r="G214" s="774"/>
      <c r="H214" s="535"/>
      <c r="I214" s="535"/>
      <c r="J214" s="774" t="s">
        <v>129</v>
      </c>
      <c r="K214" s="774"/>
      <c r="L214" s="774"/>
      <c r="M214" s="774"/>
      <c r="N214" s="774"/>
      <c r="O214" s="774"/>
      <c r="P214" s="774"/>
    </row>
    <row r="215" spans="1:16" ht="68.099999999999994" customHeight="1" x14ac:dyDescent="0.25">
      <c r="A215" s="536"/>
      <c r="B215" s="775" t="s">
        <v>370</v>
      </c>
      <c r="C215" s="775"/>
      <c r="D215" s="775"/>
      <c r="E215" s="775"/>
      <c r="F215" s="775" t="s">
        <v>371</v>
      </c>
      <c r="G215" s="775"/>
      <c r="H215" s="536"/>
      <c r="I215" s="536"/>
      <c r="J215" s="775" t="s">
        <v>129</v>
      </c>
      <c r="K215" s="775"/>
      <c r="L215" s="775"/>
      <c r="M215" s="775"/>
      <c r="N215" s="775"/>
      <c r="O215" s="775"/>
      <c r="P215" s="775"/>
    </row>
    <row r="216" spans="1:16" ht="122.45" customHeight="1" x14ac:dyDescent="0.25">
      <c r="A216" s="536"/>
      <c r="B216" s="775" t="s">
        <v>416</v>
      </c>
      <c r="C216" s="775"/>
      <c r="D216" s="775"/>
      <c r="E216" s="775"/>
      <c r="F216" s="775" t="s">
        <v>417</v>
      </c>
      <c r="G216" s="775"/>
      <c r="H216" s="536"/>
      <c r="I216" s="536"/>
      <c r="J216" s="775" t="s">
        <v>129</v>
      </c>
      <c r="K216" s="775"/>
      <c r="L216" s="775"/>
      <c r="M216" s="775"/>
      <c r="N216" s="775"/>
      <c r="O216" s="775"/>
      <c r="P216" s="775"/>
    </row>
    <row r="217" spans="1:16" ht="176.85" customHeight="1" x14ac:dyDescent="0.25">
      <c r="A217" s="542" t="s">
        <v>189</v>
      </c>
      <c r="B217" s="781" t="s">
        <v>418</v>
      </c>
      <c r="C217" s="782"/>
      <c r="D217" s="782"/>
      <c r="E217" s="782"/>
      <c r="F217" s="782" t="s">
        <v>2292</v>
      </c>
      <c r="G217" s="782"/>
      <c r="H217" s="623" t="s">
        <v>2291</v>
      </c>
      <c r="I217" s="623" t="s">
        <v>5</v>
      </c>
      <c r="J217" s="782" t="s">
        <v>2290</v>
      </c>
      <c r="K217" s="782"/>
      <c r="L217" s="782"/>
      <c r="M217" s="783">
        <v>862013.91</v>
      </c>
      <c r="N217" s="782"/>
      <c r="O217" s="782" t="s">
        <v>129</v>
      </c>
      <c r="P217" s="782"/>
    </row>
    <row r="218" spans="1:16" x14ac:dyDescent="0.25">
      <c r="A218" s="535"/>
      <c r="B218" s="774" t="s">
        <v>306</v>
      </c>
      <c r="C218" s="774"/>
      <c r="D218" s="774"/>
      <c r="E218" s="774"/>
      <c r="F218" s="774" t="s">
        <v>129</v>
      </c>
      <c r="G218" s="774"/>
      <c r="H218" s="535"/>
      <c r="I218" s="535"/>
      <c r="J218" s="774" t="s">
        <v>129</v>
      </c>
      <c r="K218" s="774"/>
      <c r="L218" s="774"/>
      <c r="M218" s="774"/>
      <c r="N218" s="774"/>
      <c r="O218" s="774"/>
      <c r="P218" s="774"/>
    </row>
    <row r="219" spans="1:16" ht="68.099999999999994" customHeight="1" x14ac:dyDescent="0.25">
      <c r="A219" s="536"/>
      <c r="B219" s="775" t="s">
        <v>370</v>
      </c>
      <c r="C219" s="775"/>
      <c r="D219" s="775"/>
      <c r="E219" s="775"/>
      <c r="F219" s="775" t="s">
        <v>371</v>
      </c>
      <c r="G219" s="775"/>
      <c r="H219" s="536"/>
      <c r="I219" s="536"/>
      <c r="J219" s="775" t="s">
        <v>129</v>
      </c>
      <c r="K219" s="775"/>
      <c r="L219" s="775"/>
      <c r="M219" s="775"/>
      <c r="N219" s="775"/>
      <c r="O219" s="775"/>
      <c r="P219" s="775"/>
    </row>
    <row r="220" spans="1:16" ht="27.2" customHeight="1" x14ac:dyDescent="0.25">
      <c r="A220" s="537"/>
      <c r="B220" s="780" t="s">
        <v>419</v>
      </c>
      <c r="C220" s="780"/>
      <c r="D220" s="780"/>
      <c r="E220" s="780"/>
      <c r="F220" s="780"/>
      <c r="G220" s="780"/>
      <c r="H220" s="537"/>
      <c r="I220" s="537"/>
      <c r="J220" s="780" t="s">
        <v>129</v>
      </c>
      <c r="K220" s="780"/>
      <c r="L220" s="780"/>
      <c r="M220" s="786">
        <f>ROUND(SUM($M$207:$M$217),2)</f>
        <v>1738935.26</v>
      </c>
      <c r="N220" s="780"/>
      <c r="O220" s="780"/>
      <c r="P220" s="780"/>
    </row>
    <row r="221" spans="1:16" ht="27.2" customHeight="1" x14ac:dyDescent="0.25">
      <c r="A221" s="537"/>
      <c r="B221" s="780" t="s">
        <v>420</v>
      </c>
      <c r="C221" s="780"/>
      <c r="D221" s="780"/>
      <c r="E221" s="780"/>
      <c r="F221" s="780"/>
      <c r="G221" s="780"/>
      <c r="H221" s="537"/>
      <c r="I221" s="537"/>
      <c r="J221" s="780" t="s">
        <v>129</v>
      </c>
      <c r="K221" s="780"/>
      <c r="L221" s="780"/>
      <c r="M221" s="786">
        <f>ROUND(($M$220),2)</f>
        <v>1738935.26</v>
      </c>
      <c r="N221" s="780"/>
      <c r="O221" s="780"/>
      <c r="P221" s="780"/>
    </row>
    <row r="222" spans="1:16" x14ac:dyDescent="0.25">
      <c r="A222" s="537" t="s">
        <v>13</v>
      </c>
      <c r="B222" s="780" t="s">
        <v>362</v>
      </c>
      <c r="C222" s="780"/>
      <c r="D222" s="780"/>
      <c r="E222" s="780"/>
      <c r="F222" s="780"/>
      <c r="G222" s="780"/>
      <c r="H222" s="537"/>
      <c r="I222" s="537"/>
      <c r="J222" s="780" t="s">
        <v>129</v>
      </c>
      <c r="K222" s="780"/>
      <c r="L222" s="780"/>
      <c r="M222" s="786">
        <f>ROUND($M$60+$M$168+$M$205+$M$221,2)</f>
        <v>11240862.76</v>
      </c>
      <c r="N222" s="780"/>
      <c r="O222" s="780"/>
      <c r="P222" s="780"/>
    </row>
    <row r="223" spans="1:16" x14ac:dyDescent="0.25">
      <c r="A223" s="537" t="s">
        <v>15</v>
      </c>
      <c r="B223" s="780" t="s">
        <v>363</v>
      </c>
      <c r="C223" s="780"/>
      <c r="D223" s="780"/>
      <c r="E223" s="780"/>
      <c r="F223" s="780"/>
      <c r="G223" s="780"/>
      <c r="H223" s="537"/>
      <c r="I223" s="537"/>
      <c r="J223" s="780" t="s">
        <v>129</v>
      </c>
      <c r="K223" s="780"/>
      <c r="L223" s="780"/>
      <c r="M223" s="786">
        <f>ROUND(($M$222),2)</f>
        <v>11240862.76</v>
      </c>
      <c r="N223" s="780"/>
      <c r="O223" s="780"/>
      <c r="P223" s="780"/>
    </row>
    <row r="225" spans="1:16" ht="30" customHeight="1" x14ac:dyDescent="0.25">
      <c r="A225" s="767" t="s">
        <v>364</v>
      </c>
      <c r="B225" s="767"/>
      <c r="C225" s="767"/>
      <c r="D225" s="767"/>
      <c r="E225" s="767"/>
      <c r="F225" s="768">
        <f>$M$223</f>
        <v>11240862.76</v>
      </c>
      <c r="G225" s="768"/>
      <c r="H225" s="768"/>
      <c r="I225" s="768"/>
      <c r="J225" s="768"/>
      <c r="K225" s="768"/>
      <c r="L225" s="768"/>
      <c r="M225" s="768"/>
      <c r="N225" s="768"/>
      <c r="O225" s="768"/>
      <c r="P225" s="768"/>
    </row>
    <row r="227" spans="1:16" x14ac:dyDescent="0.25">
      <c r="A227" s="767" t="s">
        <v>317</v>
      </c>
      <c r="B227" s="767"/>
      <c r="C227" s="767"/>
      <c r="D227" s="769"/>
      <c r="E227" s="769"/>
      <c r="F227" s="769"/>
      <c r="G227" s="769"/>
      <c r="H227" s="769"/>
      <c r="I227" s="769"/>
      <c r="J227" s="769"/>
      <c r="K227" s="769"/>
      <c r="L227" s="769"/>
      <c r="M227" s="769"/>
      <c r="N227" s="769"/>
      <c r="O227" s="769"/>
      <c r="P227" s="769"/>
    </row>
    <row r="228" spans="1:16" x14ac:dyDescent="0.25">
      <c r="D228" s="766" t="s">
        <v>421</v>
      </c>
      <c r="E228" s="766"/>
      <c r="F228" s="766"/>
      <c r="G228" s="766"/>
      <c r="H228" s="766"/>
      <c r="I228" s="766"/>
      <c r="J228" s="766"/>
      <c r="K228" s="766"/>
      <c r="L228" s="766"/>
      <c r="M228" s="766"/>
      <c r="N228" s="766"/>
      <c r="O228" s="766"/>
      <c r="P228" s="766"/>
    </row>
    <row r="230" spans="1:16" x14ac:dyDescent="0.25">
      <c r="A230" s="770" t="s">
        <v>318</v>
      </c>
      <c r="B230" s="770"/>
      <c r="C230" s="770"/>
      <c r="D230" s="769"/>
      <c r="E230" s="769"/>
      <c r="F230" s="769"/>
      <c r="G230" s="769"/>
      <c r="H230" s="769"/>
      <c r="I230" s="769"/>
      <c r="J230" s="769"/>
      <c r="K230" s="769"/>
      <c r="L230" s="769"/>
      <c r="M230" s="769"/>
      <c r="N230" s="769"/>
      <c r="O230" s="769"/>
      <c r="P230" s="769"/>
    </row>
    <row r="231" spans="1:16" x14ac:dyDescent="0.25">
      <c r="D231" s="766" t="s">
        <v>421</v>
      </c>
      <c r="E231" s="766"/>
      <c r="F231" s="766"/>
      <c r="G231" s="766"/>
      <c r="H231" s="766"/>
      <c r="I231" s="766"/>
      <c r="J231" s="766"/>
      <c r="K231" s="766"/>
      <c r="L231" s="766"/>
      <c r="M231" s="766"/>
      <c r="N231" s="766"/>
      <c r="O231" s="766"/>
      <c r="P231" s="766"/>
    </row>
  </sheetData>
  <mergeCells count="1038">
    <mergeCell ref="D231:P231"/>
    <mergeCell ref="B222:E222"/>
    <mergeCell ref="F222:G222"/>
    <mergeCell ref="J222:L222"/>
    <mergeCell ref="M222:N222"/>
    <mergeCell ref="O222:P222"/>
    <mergeCell ref="B223:E223"/>
    <mergeCell ref="F223:G223"/>
    <mergeCell ref="J223:L223"/>
    <mergeCell ref="M223:N223"/>
    <mergeCell ref="B221:E221"/>
    <mergeCell ref="F221:G221"/>
    <mergeCell ref="J221:L221"/>
    <mergeCell ref="M221:N221"/>
    <mergeCell ref="O221:P221"/>
    <mergeCell ref="M219:N219"/>
    <mergeCell ref="O219:P219"/>
    <mergeCell ref="B220:E220"/>
    <mergeCell ref="F220:G220"/>
    <mergeCell ref="J220:L220"/>
    <mergeCell ref="M220:N220"/>
    <mergeCell ref="O220:P220"/>
    <mergeCell ref="B217:E217"/>
    <mergeCell ref="F217:G217"/>
    <mergeCell ref="J217:L217"/>
    <mergeCell ref="M217:N217"/>
    <mergeCell ref="O217:P217"/>
    <mergeCell ref="A230:C230"/>
    <mergeCell ref="D230:P230"/>
    <mergeCell ref="B218:E218"/>
    <mergeCell ref="F218:G218"/>
    <mergeCell ref="J218:L218"/>
    <mergeCell ref="M218:N218"/>
    <mergeCell ref="O218:P218"/>
    <mergeCell ref="B219:E219"/>
    <mergeCell ref="F219:G219"/>
    <mergeCell ref="J219:L219"/>
    <mergeCell ref="O223:P223"/>
    <mergeCell ref="A225:E225"/>
    <mergeCell ref="F225:P225"/>
    <mergeCell ref="A227:C227"/>
    <mergeCell ref="D227:P227"/>
    <mergeCell ref="D228:P228"/>
    <mergeCell ref="B215:E215"/>
    <mergeCell ref="F215:G215"/>
    <mergeCell ref="J215:L215"/>
    <mergeCell ref="M215:N215"/>
    <mergeCell ref="O215:P215"/>
    <mergeCell ref="B216:E216"/>
    <mergeCell ref="F216:G216"/>
    <mergeCell ref="J216:L216"/>
    <mergeCell ref="M216:N216"/>
    <mergeCell ref="O216:P216"/>
    <mergeCell ref="B213:E213"/>
    <mergeCell ref="F213:G213"/>
    <mergeCell ref="J213:L213"/>
    <mergeCell ref="M213:N213"/>
    <mergeCell ref="O213:P213"/>
    <mergeCell ref="B214:E214"/>
    <mergeCell ref="F214:G214"/>
    <mergeCell ref="J214:L214"/>
    <mergeCell ref="M214:N214"/>
    <mergeCell ref="O214:P214"/>
    <mergeCell ref="B211:E211"/>
    <mergeCell ref="F211:G211"/>
    <mergeCell ref="J211:L211"/>
    <mergeCell ref="M211:N211"/>
    <mergeCell ref="O211:P211"/>
    <mergeCell ref="B212:E212"/>
    <mergeCell ref="F212:G212"/>
    <mergeCell ref="J212:L212"/>
    <mergeCell ref="M212:N212"/>
    <mergeCell ref="O212:P212"/>
    <mergeCell ref="B209:E209"/>
    <mergeCell ref="F209:G209"/>
    <mergeCell ref="J209:L209"/>
    <mergeCell ref="M209:N209"/>
    <mergeCell ref="O209:P209"/>
    <mergeCell ref="B210:E210"/>
    <mergeCell ref="F210:G210"/>
    <mergeCell ref="J210:L210"/>
    <mergeCell ref="M210:N210"/>
    <mergeCell ref="O210:P210"/>
    <mergeCell ref="B207:E207"/>
    <mergeCell ref="F207:G207"/>
    <mergeCell ref="J207:L207"/>
    <mergeCell ref="M207:N207"/>
    <mergeCell ref="O207:P207"/>
    <mergeCell ref="B208:E208"/>
    <mergeCell ref="F208:G208"/>
    <mergeCell ref="J208:L208"/>
    <mergeCell ref="M208:N208"/>
    <mergeCell ref="O208:P208"/>
    <mergeCell ref="B205:E205"/>
    <mergeCell ref="F205:G205"/>
    <mergeCell ref="J205:L205"/>
    <mergeCell ref="M205:N205"/>
    <mergeCell ref="O205:P205"/>
    <mergeCell ref="B206:E206"/>
    <mergeCell ref="F206:G206"/>
    <mergeCell ref="J206:L206"/>
    <mergeCell ref="M206:N206"/>
    <mergeCell ref="O206:P206"/>
    <mergeCell ref="B203:E203"/>
    <mergeCell ref="F203:G203"/>
    <mergeCell ref="J203:L203"/>
    <mergeCell ref="M203:N203"/>
    <mergeCell ref="O203:P203"/>
    <mergeCell ref="B204:E204"/>
    <mergeCell ref="F204:G204"/>
    <mergeCell ref="J204:L204"/>
    <mergeCell ref="M204:N204"/>
    <mergeCell ref="O204:P204"/>
    <mergeCell ref="B201:E201"/>
    <mergeCell ref="F201:G201"/>
    <mergeCell ref="J201:L201"/>
    <mergeCell ref="M201:N201"/>
    <mergeCell ref="O201:P201"/>
    <mergeCell ref="B202:E202"/>
    <mergeCell ref="F202:G202"/>
    <mergeCell ref="J202:L202"/>
    <mergeCell ref="M202:N202"/>
    <mergeCell ref="O202:P202"/>
    <mergeCell ref="B199:E199"/>
    <mergeCell ref="F199:G199"/>
    <mergeCell ref="J199:L199"/>
    <mergeCell ref="M199:N199"/>
    <mergeCell ref="O199:P199"/>
    <mergeCell ref="B200:E200"/>
    <mergeCell ref="F200:G200"/>
    <mergeCell ref="J200:L200"/>
    <mergeCell ref="M200:N200"/>
    <mergeCell ref="O200:P200"/>
    <mergeCell ref="J192:L192"/>
    <mergeCell ref="M192:N192"/>
    <mergeCell ref="O192:P192"/>
    <mergeCell ref="B197:E197"/>
    <mergeCell ref="F197:G197"/>
    <mergeCell ref="J197:L197"/>
    <mergeCell ref="M197:N197"/>
    <mergeCell ref="O197:P197"/>
    <mergeCell ref="J193:L193"/>
    <mergeCell ref="M193:N193"/>
    <mergeCell ref="O193:P193"/>
    <mergeCell ref="B198:E198"/>
    <mergeCell ref="F198:G198"/>
    <mergeCell ref="J198:L198"/>
    <mergeCell ref="M198:N198"/>
    <mergeCell ref="O198:P198"/>
    <mergeCell ref="B195:E195"/>
    <mergeCell ref="F195:G195"/>
    <mergeCell ref="J195:L195"/>
    <mergeCell ref="M195:N195"/>
    <mergeCell ref="O195:P195"/>
    <mergeCell ref="B196:E196"/>
    <mergeCell ref="F196:G196"/>
    <mergeCell ref="J196:L196"/>
    <mergeCell ref="M196:N196"/>
    <mergeCell ref="O196:P196"/>
    <mergeCell ref="B181:E181"/>
    <mergeCell ref="F181:G181"/>
    <mergeCell ref="J181:L181"/>
    <mergeCell ref="M181:N181"/>
    <mergeCell ref="O181:P181"/>
    <mergeCell ref="B187:E187"/>
    <mergeCell ref="F187:G187"/>
    <mergeCell ref="J187:L187"/>
    <mergeCell ref="M187:N187"/>
    <mergeCell ref="O187:P187"/>
    <mergeCell ref="B188:E188"/>
    <mergeCell ref="F188:G188"/>
    <mergeCell ref="J188:L188"/>
    <mergeCell ref="M188:N188"/>
    <mergeCell ref="O188:P188"/>
    <mergeCell ref="B193:E193"/>
    <mergeCell ref="F193:G193"/>
    <mergeCell ref="B194:E194"/>
    <mergeCell ref="F194:G194"/>
    <mergeCell ref="J194:L194"/>
    <mergeCell ref="M194:N194"/>
    <mergeCell ref="O194:P194"/>
    <mergeCell ref="B191:E191"/>
    <mergeCell ref="F191:G191"/>
    <mergeCell ref="J191:L191"/>
    <mergeCell ref="M191:N191"/>
    <mergeCell ref="O191:P191"/>
    <mergeCell ref="B192:E192"/>
    <mergeCell ref="F192:G192"/>
    <mergeCell ref="B184:E184"/>
    <mergeCell ref="F184:G184"/>
    <mergeCell ref="J184:L184"/>
    <mergeCell ref="M184:N184"/>
    <mergeCell ref="O184:P184"/>
    <mergeCell ref="B185:E185"/>
    <mergeCell ref="F185:G185"/>
    <mergeCell ref="J185:L185"/>
    <mergeCell ref="M185:N185"/>
    <mergeCell ref="O185:P185"/>
    <mergeCell ref="B190:E190"/>
    <mergeCell ref="F190:G190"/>
    <mergeCell ref="J190:L190"/>
    <mergeCell ref="M190:N190"/>
    <mergeCell ref="O190:P190"/>
    <mergeCell ref="A182:P182"/>
    <mergeCell ref="B183:E183"/>
    <mergeCell ref="F183:G183"/>
    <mergeCell ref="J183:L183"/>
    <mergeCell ref="M183:N183"/>
    <mergeCell ref="O183:P183"/>
    <mergeCell ref="B189:E189"/>
    <mergeCell ref="F189:G189"/>
    <mergeCell ref="J189:L189"/>
    <mergeCell ref="M189:N189"/>
    <mergeCell ref="O189:P189"/>
    <mergeCell ref="B179:E179"/>
    <mergeCell ref="F179:G179"/>
    <mergeCell ref="J179:L179"/>
    <mergeCell ref="M179:N179"/>
    <mergeCell ref="O179:P179"/>
    <mergeCell ref="B180:E180"/>
    <mergeCell ref="F180:G180"/>
    <mergeCell ref="J180:L180"/>
    <mergeCell ref="M180:N180"/>
    <mergeCell ref="O180:P180"/>
    <mergeCell ref="B186:E186"/>
    <mergeCell ref="F186:G186"/>
    <mergeCell ref="J186:L186"/>
    <mergeCell ref="M186:N186"/>
    <mergeCell ref="O186:P186"/>
    <mergeCell ref="B177:E177"/>
    <mergeCell ref="F177:G177"/>
    <mergeCell ref="J177:L177"/>
    <mergeCell ref="M177:N177"/>
    <mergeCell ref="O177:P177"/>
    <mergeCell ref="B178:E178"/>
    <mergeCell ref="F178:G178"/>
    <mergeCell ref="J178:L178"/>
    <mergeCell ref="M178:N178"/>
    <mergeCell ref="O178:P178"/>
    <mergeCell ref="B175:E175"/>
    <mergeCell ref="F175:G175"/>
    <mergeCell ref="J175:L175"/>
    <mergeCell ref="M175:N175"/>
    <mergeCell ref="O175:P175"/>
    <mergeCell ref="B176:E176"/>
    <mergeCell ref="F176:G176"/>
    <mergeCell ref="J176:L176"/>
    <mergeCell ref="M176:N176"/>
    <mergeCell ref="O176:P176"/>
    <mergeCell ref="B173:E173"/>
    <mergeCell ref="F173:G173"/>
    <mergeCell ref="J173:L173"/>
    <mergeCell ref="M173:N173"/>
    <mergeCell ref="O173:P173"/>
    <mergeCell ref="B174:E174"/>
    <mergeCell ref="F174:G174"/>
    <mergeCell ref="J174:L174"/>
    <mergeCell ref="M174:N174"/>
    <mergeCell ref="O174:P174"/>
    <mergeCell ref="B171:E171"/>
    <mergeCell ref="F171:G171"/>
    <mergeCell ref="J171:L171"/>
    <mergeCell ref="M171:N171"/>
    <mergeCell ref="O171:P171"/>
    <mergeCell ref="B172:E172"/>
    <mergeCell ref="F172:G172"/>
    <mergeCell ref="J172:L172"/>
    <mergeCell ref="M172:N172"/>
    <mergeCell ref="O172:P172"/>
    <mergeCell ref="B169:E169"/>
    <mergeCell ref="F169:G169"/>
    <mergeCell ref="J169:L169"/>
    <mergeCell ref="M169:N169"/>
    <mergeCell ref="O169:P169"/>
    <mergeCell ref="B170:E170"/>
    <mergeCell ref="F170:G170"/>
    <mergeCell ref="J170:L170"/>
    <mergeCell ref="M170:N170"/>
    <mergeCell ref="O170:P170"/>
    <mergeCell ref="B167:E167"/>
    <mergeCell ref="F167:G167"/>
    <mergeCell ref="J167:L167"/>
    <mergeCell ref="M167:N167"/>
    <mergeCell ref="O167:P167"/>
    <mergeCell ref="B168:E168"/>
    <mergeCell ref="F168:G168"/>
    <mergeCell ref="J168:L168"/>
    <mergeCell ref="M168:N168"/>
    <mergeCell ref="O168:P168"/>
    <mergeCell ref="B165:E165"/>
    <mergeCell ref="F165:G165"/>
    <mergeCell ref="J165:L165"/>
    <mergeCell ref="M165:N165"/>
    <mergeCell ref="O165:P165"/>
    <mergeCell ref="B166:E166"/>
    <mergeCell ref="F166:G166"/>
    <mergeCell ref="J166:L166"/>
    <mergeCell ref="M166:N166"/>
    <mergeCell ref="O166:P166"/>
    <mergeCell ref="B163:E163"/>
    <mergeCell ref="F163:G163"/>
    <mergeCell ref="J163:L163"/>
    <mergeCell ref="M163:N163"/>
    <mergeCell ref="O163:P163"/>
    <mergeCell ref="B164:E164"/>
    <mergeCell ref="F164:G164"/>
    <mergeCell ref="J164:L164"/>
    <mergeCell ref="M164:N164"/>
    <mergeCell ref="O164:P164"/>
    <mergeCell ref="B161:E161"/>
    <mergeCell ref="F161:G161"/>
    <mergeCell ref="J161:L161"/>
    <mergeCell ref="M161:N161"/>
    <mergeCell ref="O161:P161"/>
    <mergeCell ref="B162:E162"/>
    <mergeCell ref="F162:G162"/>
    <mergeCell ref="J162:L162"/>
    <mergeCell ref="M162:N162"/>
    <mergeCell ref="O162:P162"/>
    <mergeCell ref="B159:E159"/>
    <mergeCell ref="F159:G159"/>
    <mergeCell ref="J159:L159"/>
    <mergeCell ref="M159:N159"/>
    <mergeCell ref="O159:P159"/>
    <mergeCell ref="B160:E160"/>
    <mergeCell ref="F160:G160"/>
    <mergeCell ref="J160:L160"/>
    <mergeCell ref="M160:N160"/>
    <mergeCell ref="O160:P160"/>
    <mergeCell ref="B157:E157"/>
    <mergeCell ref="F157:G157"/>
    <mergeCell ref="J157:L157"/>
    <mergeCell ref="M157:N157"/>
    <mergeCell ref="O157:P157"/>
    <mergeCell ref="B158:E158"/>
    <mergeCell ref="F158:G158"/>
    <mergeCell ref="J158:L158"/>
    <mergeCell ref="M158:N158"/>
    <mergeCell ref="O158:P158"/>
    <mergeCell ref="B155:E155"/>
    <mergeCell ref="F155:G155"/>
    <mergeCell ref="J155:L155"/>
    <mergeCell ref="M155:N155"/>
    <mergeCell ref="O155:P155"/>
    <mergeCell ref="B156:E156"/>
    <mergeCell ref="F156:G156"/>
    <mergeCell ref="J156:L156"/>
    <mergeCell ref="M156:N156"/>
    <mergeCell ref="O156:P156"/>
    <mergeCell ref="B153:E153"/>
    <mergeCell ref="F153:G153"/>
    <mergeCell ref="J153:L153"/>
    <mergeCell ref="M153:N153"/>
    <mergeCell ref="O153:P153"/>
    <mergeCell ref="B154:E154"/>
    <mergeCell ref="F154:G154"/>
    <mergeCell ref="J154:L154"/>
    <mergeCell ref="M154:N154"/>
    <mergeCell ref="O154:P154"/>
    <mergeCell ref="B151:E151"/>
    <mergeCell ref="F151:G151"/>
    <mergeCell ref="J151:L151"/>
    <mergeCell ref="M151:N151"/>
    <mergeCell ref="O151:P151"/>
    <mergeCell ref="B152:E152"/>
    <mergeCell ref="F152:G152"/>
    <mergeCell ref="J152:L152"/>
    <mergeCell ref="M152:N152"/>
    <mergeCell ref="O152:P152"/>
    <mergeCell ref="B149:E149"/>
    <mergeCell ref="F149:G149"/>
    <mergeCell ref="J149:L149"/>
    <mergeCell ref="M149:N149"/>
    <mergeCell ref="O149:P149"/>
    <mergeCell ref="B150:E150"/>
    <mergeCell ref="F150:G150"/>
    <mergeCell ref="J150:L150"/>
    <mergeCell ref="M150:N150"/>
    <mergeCell ref="O150:P150"/>
    <mergeCell ref="B147:E147"/>
    <mergeCell ref="F147:G147"/>
    <mergeCell ref="J147:L147"/>
    <mergeCell ref="M147:N147"/>
    <mergeCell ref="O147:P147"/>
    <mergeCell ref="B148:E148"/>
    <mergeCell ref="F148:G148"/>
    <mergeCell ref="J148:L148"/>
    <mergeCell ref="M148:N148"/>
    <mergeCell ref="O148:P148"/>
    <mergeCell ref="B145:E145"/>
    <mergeCell ref="F145:G145"/>
    <mergeCell ref="J145:L145"/>
    <mergeCell ref="M145:N145"/>
    <mergeCell ref="O145:P145"/>
    <mergeCell ref="B146:E146"/>
    <mergeCell ref="F146:G146"/>
    <mergeCell ref="J146:L146"/>
    <mergeCell ref="M146:N146"/>
    <mergeCell ref="O146:P146"/>
    <mergeCell ref="B143:E143"/>
    <mergeCell ref="F143:G143"/>
    <mergeCell ref="J143:L143"/>
    <mergeCell ref="M143:N143"/>
    <mergeCell ref="O143:P143"/>
    <mergeCell ref="B144:E144"/>
    <mergeCell ref="F144:G144"/>
    <mergeCell ref="J144:L144"/>
    <mergeCell ref="M144:N144"/>
    <mergeCell ref="O144:P144"/>
    <mergeCell ref="B141:E141"/>
    <mergeCell ref="F141:G141"/>
    <mergeCell ref="J141:L141"/>
    <mergeCell ref="M141:N141"/>
    <mergeCell ref="O141:P141"/>
    <mergeCell ref="B142:E142"/>
    <mergeCell ref="F142:G142"/>
    <mergeCell ref="J142:L142"/>
    <mergeCell ref="M142:N142"/>
    <mergeCell ref="O142:P142"/>
    <mergeCell ref="B139:E139"/>
    <mergeCell ref="F139:G139"/>
    <mergeCell ref="J139:L139"/>
    <mergeCell ref="M139:N139"/>
    <mergeCell ref="O139:P139"/>
    <mergeCell ref="B140:E140"/>
    <mergeCell ref="F140:G140"/>
    <mergeCell ref="J140:L140"/>
    <mergeCell ref="M140:N140"/>
    <mergeCell ref="O140:P140"/>
    <mergeCell ref="B137:E137"/>
    <mergeCell ref="F137:G137"/>
    <mergeCell ref="J137:L137"/>
    <mergeCell ref="M137:N137"/>
    <mergeCell ref="O137:P137"/>
    <mergeCell ref="B138:E138"/>
    <mergeCell ref="F138:G138"/>
    <mergeCell ref="J138:L138"/>
    <mergeCell ref="M138:N138"/>
    <mergeCell ref="O138:P138"/>
    <mergeCell ref="B135:E135"/>
    <mergeCell ref="F135:G135"/>
    <mergeCell ref="J135:L135"/>
    <mergeCell ref="M135:N135"/>
    <mergeCell ref="O135:P135"/>
    <mergeCell ref="B136:E136"/>
    <mergeCell ref="F136:G136"/>
    <mergeCell ref="J136:L136"/>
    <mergeCell ref="M136:N136"/>
    <mergeCell ref="O136:P136"/>
    <mergeCell ref="B133:E133"/>
    <mergeCell ref="F133:G133"/>
    <mergeCell ref="J133:L133"/>
    <mergeCell ref="M133:N133"/>
    <mergeCell ref="O133:P133"/>
    <mergeCell ref="B134:E134"/>
    <mergeCell ref="F134:G134"/>
    <mergeCell ref="J134:L134"/>
    <mergeCell ref="M134:N134"/>
    <mergeCell ref="O134:P134"/>
    <mergeCell ref="B131:E131"/>
    <mergeCell ref="F131:G131"/>
    <mergeCell ref="J131:L131"/>
    <mergeCell ref="M131:N131"/>
    <mergeCell ref="O131:P131"/>
    <mergeCell ref="B132:E132"/>
    <mergeCell ref="F132:G132"/>
    <mergeCell ref="J132:L132"/>
    <mergeCell ref="M132:N132"/>
    <mergeCell ref="O132:P132"/>
    <mergeCell ref="B129:E129"/>
    <mergeCell ref="F129:G129"/>
    <mergeCell ref="J129:L129"/>
    <mergeCell ref="M129:N129"/>
    <mergeCell ref="O129:P129"/>
    <mergeCell ref="B130:E130"/>
    <mergeCell ref="F130:G130"/>
    <mergeCell ref="J130:L130"/>
    <mergeCell ref="M130:N130"/>
    <mergeCell ref="O130:P130"/>
    <mergeCell ref="B127:E127"/>
    <mergeCell ref="F127:G127"/>
    <mergeCell ref="J127:L127"/>
    <mergeCell ref="M127:N127"/>
    <mergeCell ref="O127:P127"/>
    <mergeCell ref="B128:E128"/>
    <mergeCell ref="F128:G128"/>
    <mergeCell ref="J128:L128"/>
    <mergeCell ref="M128:N128"/>
    <mergeCell ref="O128:P128"/>
    <mergeCell ref="B125:E125"/>
    <mergeCell ref="F125:G125"/>
    <mergeCell ref="J125:L125"/>
    <mergeCell ref="M125:N125"/>
    <mergeCell ref="O125:P125"/>
    <mergeCell ref="B126:E126"/>
    <mergeCell ref="F126:G126"/>
    <mergeCell ref="J126:L126"/>
    <mergeCell ref="M126:N126"/>
    <mergeCell ref="O126:P126"/>
    <mergeCell ref="B123:E123"/>
    <mergeCell ref="F123:G123"/>
    <mergeCell ref="J123:L123"/>
    <mergeCell ref="M123:N123"/>
    <mergeCell ref="O123:P123"/>
    <mergeCell ref="B124:E124"/>
    <mergeCell ref="F124:G124"/>
    <mergeCell ref="J124:L124"/>
    <mergeCell ref="M124:N124"/>
    <mergeCell ref="O124:P124"/>
    <mergeCell ref="B121:E121"/>
    <mergeCell ref="F121:G121"/>
    <mergeCell ref="J121:L121"/>
    <mergeCell ref="M121:N121"/>
    <mergeCell ref="O121:P121"/>
    <mergeCell ref="B122:E122"/>
    <mergeCell ref="F122:G122"/>
    <mergeCell ref="J122:L122"/>
    <mergeCell ref="M122:N122"/>
    <mergeCell ref="O122:P122"/>
    <mergeCell ref="B119:E119"/>
    <mergeCell ref="F119:G119"/>
    <mergeCell ref="J119:L119"/>
    <mergeCell ref="M119:N119"/>
    <mergeCell ref="O119:P119"/>
    <mergeCell ref="B120:E120"/>
    <mergeCell ref="F120:G120"/>
    <mergeCell ref="J120:L120"/>
    <mergeCell ref="M120:N120"/>
    <mergeCell ref="O120:P120"/>
    <mergeCell ref="B117:E117"/>
    <mergeCell ref="F117:G117"/>
    <mergeCell ref="J117:L117"/>
    <mergeCell ref="M117:N117"/>
    <mergeCell ref="O117:P117"/>
    <mergeCell ref="B118:E118"/>
    <mergeCell ref="F118:G118"/>
    <mergeCell ref="J118:L118"/>
    <mergeCell ref="M118:N118"/>
    <mergeCell ref="O118:P118"/>
    <mergeCell ref="B115:E115"/>
    <mergeCell ref="F115:G115"/>
    <mergeCell ref="J115:L115"/>
    <mergeCell ref="M115:N115"/>
    <mergeCell ref="O115:P115"/>
    <mergeCell ref="B116:E116"/>
    <mergeCell ref="F116:G116"/>
    <mergeCell ref="J116:L116"/>
    <mergeCell ref="M116:N116"/>
    <mergeCell ref="O116:P116"/>
    <mergeCell ref="B113:E113"/>
    <mergeCell ref="F113:G113"/>
    <mergeCell ref="J113:L113"/>
    <mergeCell ref="M113:N113"/>
    <mergeCell ref="O113:P113"/>
    <mergeCell ref="B114:E114"/>
    <mergeCell ref="F114:G114"/>
    <mergeCell ref="J114:L114"/>
    <mergeCell ref="M114:N114"/>
    <mergeCell ref="O114:P114"/>
    <mergeCell ref="B111:E111"/>
    <mergeCell ref="F111:G111"/>
    <mergeCell ref="J111:L111"/>
    <mergeCell ref="M111:N111"/>
    <mergeCell ref="O111:P111"/>
    <mergeCell ref="B112:E112"/>
    <mergeCell ref="F112:G112"/>
    <mergeCell ref="J112:L112"/>
    <mergeCell ref="M112:N112"/>
    <mergeCell ref="O112:P112"/>
    <mergeCell ref="B109:E109"/>
    <mergeCell ref="F109:G109"/>
    <mergeCell ref="J109:L109"/>
    <mergeCell ref="M109:N109"/>
    <mergeCell ref="O109:P109"/>
    <mergeCell ref="B110:E110"/>
    <mergeCell ref="F110:G110"/>
    <mergeCell ref="J110:L110"/>
    <mergeCell ref="M110:N110"/>
    <mergeCell ref="O110:P110"/>
    <mergeCell ref="B107:E107"/>
    <mergeCell ref="F107:G107"/>
    <mergeCell ref="J107:L107"/>
    <mergeCell ref="M107:N107"/>
    <mergeCell ref="O107:P107"/>
    <mergeCell ref="B108:E108"/>
    <mergeCell ref="F108:G108"/>
    <mergeCell ref="J108:L108"/>
    <mergeCell ref="M108:N108"/>
    <mergeCell ref="O108:P108"/>
    <mergeCell ref="B105:E105"/>
    <mergeCell ref="F105:G105"/>
    <mergeCell ref="J105:L105"/>
    <mergeCell ref="M105:N105"/>
    <mergeCell ref="O105:P105"/>
    <mergeCell ref="B106:E106"/>
    <mergeCell ref="F106:G106"/>
    <mergeCell ref="J106:L106"/>
    <mergeCell ref="M106:N106"/>
    <mergeCell ref="O106:P106"/>
    <mergeCell ref="B103:E103"/>
    <mergeCell ref="F103:G103"/>
    <mergeCell ref="J103:L103"/>
    <mergeCell ref="M103:N103"/>
    <mergeCell ref="O103:P103"/>
    <mergeCell ref="B104:E104"/>
    <mergeCell ref="F104:G104"/>
    <mergeCell ref="J104:L104"/>
    <mergeCell ref="M104:N104"/>
    <mergeCell ref="O104:P104"/>
    <mergeCell ref="B101:E101"/>
    <mergeCell ref="F101:G101"/>
    <mergeCell ref="J101:L101"/>
    <mergeCell ref="M101:N101"/>
    <mergeCell ref="O101:P101"/>
    <mergeCell ref="B102:E102"/>
    <mergeCell ref="F102:G102"/>
    <mergeCell ref="J102:L102"/>
    <mergeCell ref="M102:N102"/>
    <mergeCell ref="O102:P102"/>
    <mergeCell ref="B99:E99"/>
    <mergeCell ref="F99:G99"/>
    <mergeCell ref="J99:L99"/>
    <mergeCell ref="M99:N99"/>
    <mergeCell ref="O99:P99"/>
    <mergeCell ref="B100:E100"/>
    <mergeCell ref="F100:G100"/>
    <mergeCell ref="J100:L100"/>
    <mergeCell ref="M100:N100"/>
    <mergeCell ref="O100:P100"/>
    <mergeCell ref="B97:E97"/>
    <mergeCell ref="F97:G97"/>
    <mergeCell ref="J97:L97"/>
    <mergeCell ref="M97:N97"/>
    <mergeCell ref="O97:P97"/>
    <mergeCell ref="B98:E98"/>
    <mergeCell ref="F98:G98"/>
    <mergeCell ref="J98:L98"/>
    <mergeCell ref="M98:N98"/>
    <mergeCell ref="O98:P98"/>
    <mergeCell ref="B95:E95"/>
    <mergeCell ref="F95:G95"/>
    <mergeCell ref="J95:L95"/>
    <mergeCell ref="M95:N95"/>
    <mergeCell ref="O95:P95"/>
    <mergeCell ref="B96:E96"/>
    <mergeCell ref="F96:G96"/>
    <mergeCell ref="J96:L96"/>
    <mergeCell ref="M96:N96"/>
    <mergeCell ref="O96:P96"/>
    <mergeCell ref="B93:E93"/>
    <mergeCell ref="F93:G93"/>
    <mergeCell ref="J93:L93"/>
    <mergeCell ref="M93:N93"/>
    <mergeCell ref="O93:P93"/>
    <mergeCell ref="B94:E94"/>
    <mergeCell ref="F94:G94"/>
    <mergeCell ref="J94:L94"/>
    <mergeCell ref="M94:N94"/>
    <mergeCell ref="O94:P94"/>
    <mergeCell ref="B91:E91"/>
    <mergeCell ref="F91:G91"/>
    <mergeCell ref="J91:L91"/>
    <mergeCell ref="M91:N91"/>
    <mergeCell ref="O91:P91"/>
    <mergeCell ref="B92:E92"/>
    <mergeCell ref="F92:G92"/>
    <mergeCell ref="J92:L92"/>
    <mergeCell ref="M92:N92"/>
    <mergeCell ref="O92:P92"/>
    <mergeCell ref="B89:E89"/>
    <mergeCell ref="F89:G89"/>
    <mergeCell ref="J89:L89"/>
    <mergeCell ref="M89:N89"/>
    <mergeCell ref="O89:P89"/>
    <mergeCell ref="B90:E90"/>
    <mergeCell ref="F90:G90"/>
    <mergeCell ref="J90:L90"/>
    <mergeCell ref="M90:N90"/>
    <mergeCell ref="O90:P90"/>
    <mergeCell ref="B87:E87"/>
    <mergeCell ref="F87:G87"/>
    <mergeCell ref="J87:L87"/>
    <mergeCell ref="M87:N87"/>
    <mergeCell ref="O87:P87"/>
    <mergeCell ref="B88:E88"/>
    <mergeCell ref="F88:G88"/>
    <mergeCell ref="J88:L88"/>
    <mergeCell ref="M88:N88"/>
    <mergeCell ref="O88:P88"/>
    <mergeCell ref="B85:E85"/>
    <mergeCell ref="F85:G85"/>
    <mergeCell ref="J85:L85"/>
    <mergeCell ref="M85:N85"/>
    <mergeCell ref="O85:P85"/>
    <mergeCell ref="B86:E86"/>
    <mergeCell ref="F86:G86"/>
    <mergeCell ref="J86:L86"/>
    <mergeCell ref="M86:N86"/>
    <mergeCell ref="O86:P86"/>
    <mergeCell ref="B83:E83"/>
    <mergeCell ref="F83:G83"/>
    <mergeCell ref="J83:L83"/>
    <mergeCell ref="M83:N83"/>
    <mergeCell ref="O83:P83"/>
    <mergeCell ref="B84:E84"/>
    <mergeCell ref="F84:G84"/>
    <mergeCell ref="J84:L84"/>
    <mergeCell ref="M84:N84"/>
    <mergeCell ref="O84:P84"/>
    <mergeCell ref="B81:E81"/>
    <mergeCell ref="F81:G81"/>
    <mergeCell ref="J81:L81"/>
    <mergeCell ref="M81:N81"/>
    <mergeCell ref="O81:P81"/>
    <mergeCell ref="B82:E82"/>
    <mergeCell ref="F82:G82"/>
    <mergeCell ref="J82:L82"/>
    <mergeCell ref="M82:N82"/>
    <mergeCell ref="O82:P82"/>
    <mergeCell ref="B79:E79"/>
    <mergeCell ref="F79:G79"/>
    <mergeCell ref="J79:L79"/>
    <mergeCell ref="M79:N79"/>
    <mergeCell ref="O79:P79"/>
    <mergeCell ref="B80:E80"/>
    <mergeCell ref="F80:G80"/>
    <mergeCell ref="J80:L80"/>
    <mergeCell ref="M80:N80"/>
    <mergeCell ref="O80:P80"/>
    <mergeCell ref="B77:E77"/>
    <mergeCell ref="F77:G77"/>
    <mergeCell ref="J77:L77"/>
    <mergeCell ref="M77:N77"/>
    <mergeCell ref="O77:P77"/>
    <mergeCell ref="B78:E78"/>
    <mergeCell ref="F78:G78"/>
    <mergeCell ref="J78:L78"/>
    <mergeCell ref="M78:N78"/>
    <mergeCell ref="O78:P78"/>
    <mergeCell ref="B75:E75"/>
    <mergeCell ref="F75:G75"/>
    <mergeCell ref="J75:L75"/>
    <mergeCell ref="M75:N75"/>
    <mergeCell ref="O75:P75"/>
    <mergeCell ref="B76:E76"/>
    <mergeCell ref="F76:G76"/>
    <mergeCell ref="J76:L76"/>
    <mergeCell ref="M76:N76"/>
    <mergeCell ref="O76:P76"/>
    <mergeCell ref="B73:E73"/>
    <mergeCell ref="F73:G73"/>
    <mergeCell ref="J73:L73"/>
    <mergeCell ref="M73:N73"/>
    <mergeCell ref="O73:P73"/>
    <mergeCell ref="B74:E74"/>
    <mergeCell ref="F74:G74"/>
    <mergeCell ref="J74:L74"/>
    <mergeCell ref="M74:N74"/>
    <mergeCell ref="O74:P74"/>
    <mergeCell ref="B71:E71"/>
    <mergeCell ref="F71:G71"/>
    <mergeCell ref="J71:L71"/>
    <mergeCell ref="M71:N71"/>
    <mergeCell ref="O71:P71"/>
    <mergeCell ref="B72:E72"/>
    <mergeCell ref="F72:G72"/>
    <mergeCell ref="J72:L72"/>
    <mergeCell ref="M72:N72"/>
    <mergeCell ref="O72:P72"/>
    <mergeCell ref="B69:E69"/>
    <mergeCell ref="F69:G69"/>
    <mergeCell ref="J69:L69"/>
    <mergeCell ref="M69:N69"/>
    <mergeCell ref="O69:P69"/>
    <mergeCell ref="B70:E70"/>
    <mergeCell ref="F70:G70"/>
    <mergeCell ref="J70:L70"/>
    <mergeCell ref="M70:N70"/>
    <mergeCell ref="O70:P70"/>
    <mergeCell ref="B67:E67"/>
    <mergeCell ref="F67:G67"/>
    <mergeCell ref="J67:L67"/>
    <mergeCell ref="M67:N67"/>
    <mergeCell ref="O67:P67"/>
    <mergeCell ref="B68:E68"/>
    <mergeCell ref="F68:G68"/>
    <mergeCell ref="J68:L68"/>
    <mergeCell ref="M68:N68"/>
    <mergeCell ref="O68:P68"/>
    <mergeCell ref="B65:E65"/>
    <mergeCell ref="F65:G65"/>
    <mergeCell ref="J65:L65"/>
    <mergeCell ref="M65:N65"/>
    <mergeCell ref="O65:P65"/>
    <mergeCell ref="B66:E66"/>
    <mergeCell ref="F66:G66"/>
    <mergeCell ref="J66:L66"/>
    <mergeCell ref="M66:N66"/>
    <mergeCell ref="O66:P66"/>
    <mergeCell ref="B63:E63"/>
    <mergeCell ref="F63:G63"/>
    <mergeCell ref="J63:L63"/>
    <mergeCell ref="M63:N63"/>
    <mergeCell ref="O63:P63"/>
    <mergeCell ref="B64:E64"/>
    <mergeCell ref="F64:G64"/>
    <mergeCell ref="J64:L64"/>
    <mergeCell ref="M64:N64"/>
    <mergeCell ref="O64:P64"/>
    <mergeCell ref="B61:E61"/>
    <mergeCell ref="F61:G61"/>
    <mergeCell ref="J61:L61"/>
    <mergeCell ref="M61:N61"/>
    <mergeCell ref="O61:P61"/>
    <mergeCell ref="B62:E62"/>
    <mergeCell ref="F62:G62"/>
    <mergeCell ref="J62:L62"/>
    <mergeCell ref="M62:N62"/>
    <mergeCell ref="O62:P62"/>
    <mergeCell ref="B59:E59"/>
    <mergeCell ref="F59:G59"/>
    <mergeCell ref="J59:L59"/>
    <mergeCell ref="M59:N59"/>
    <mergeCell ref="O59:P59"/>
    <mergeCell ref="B60:E60"/>
    <mergeCell ref="F60:G60"/>
    <mergeCell ref="J60:L60"/>
    <mergeCell ref="M60:N60"/>
    <mergeCell ref="O60:P60"/>
    <mergeCell ref="B57:E57"/>
    <mergeCell ref="F57:G57"/>
    <mergeCell ref="J57:L57"/>
    <mergeCell ref="M57:N57"/>
    <mergeCell ref="O57:P57"/>
    <mergeCell ref="B58:E58"/>
    <mergeCell ref="F58:G58"/>
    <mergeCell ref="J58:L58"/>
    <mergeCell ref="M58:N58"/>
    <mergeCell ref="O58:P58"/>
    <mergeCell ref="B55:E55"/>
    <mergeCell ref="F55:G55"/>
    <mergeCell ref="J55:L55"/>
    <mergeCell ref="M55:N55"/>
    <mergeCell ref="O55:P55"/>
    <mergeCell ref="B56:E56"/>
    <mergeCell ref="F56:G56"/>
    <mergeCell ref="J56:L56"/>
    <mergeCell ref="M56:N56"/>
    <mergeCell ref="O56:P56"/>
    <mergeCell ref="B53:E53"/>
    <mergeCell ref="F53:G53"/>
    <mergeCell ref="J53:L53"/>
    <mergeCell ref="M53:N53"/>
    <mergeCell ref="O53:P53"/>
    <mergeCell ref="B54:E54"/>
    <mergeCell ref="F54:G54"/>
    <mergeCell ref="J54:L54"/>
    <mergeCell ref="M54:N54"/>
    <mergeCell ref="O54:P54"/>
    <mergeCell ref="B51:E51"/>
    <mergeCell ref="F51:G51"/>
    <mergeCell ref="J51:L51"/>
    <mergeCell ref="M51:N51"/>
    <mergeCell ref="O51:P51"/>
    <mergeCell ref="B52:E52"/>
    <mergeCell ref="F52:G52"/>
    <mergeCell ref="J52:L52"/>
    <mergeCell ref="M52:N52"/>
    <mergeCell ref="O52:P52"/>
    <mergeCell ref="B49:E49"/>
    <mergeCell ref="F49:G49"/>
    <mergeCell ref="J49:L49"/>
    <mergeCell ref="M49:N49"/>
    <mergeCell ref="O49:P49"/>
    <mergeCell ref="B50:E50"/>
    <mergeCell ref="F50:G50"/>
    <mergeCell ref="J50:L50"/>
    <mergeCell ref="M50:N50"/>
    <mergeCell ref="O50:P50"/>
    <mergeCell ref="B47:E47"/>
    <mergeCell ref="F47:G47"/>
    <mergeCell ref="J47:L47"/>
    <mergeCell ref="M47:N47"/>
    <mergeCell ref="O47:P47"/>
    <mergeCell ref="B48:E48"/>
    <mergeCell ref="F48:G48"/>
    <mergeCell ref="J48:L48"/>
    <mergeCell ref="M48:N48"/>
    <mergeCell ref="O48:P48"/>
    <mergeCell ref="B45:E45"/>
    <mergeCell ref="F45:G45"/>
    <mergeCell ref="J45:L45"/>
    <mergeCell ref="M45:N45"/>
    <mergeCell ref="O45:P45"/>
    <mergeCell ref="B46:E46"/>
    <mergeCell ref="F46:G46"/>
    <mergeCell ref="J46:L46"/>
    <mergeCell ref="M46:N46"/>
    <mergeCell ref="O46:P46"/>
    <mergeCell ref="B44:E44"/>
    <mergeCell ref="F44:G44"/>
    <mergeCell ref="J44:L44"/>
    <mergeCell ref="M44:N44"/>
    <mergeCell ref="O44:P44"/>
    <mergeCell ref="B36:E36"/>
    <mergeCell ref="F36:G36"/>
    <mergeCell ref="J36:L36"/>
    <mergeCell ref="M36:N36"/>
    <mergeCell ref="O36:P36"/>
    <mergeCell ref="B42:E42"/>
    <mergeCell ref="F42:G42"/>
    <mergeCell ref="J42:L42"/>
    <mergeCell ref="M42:N42"/>
    <mergeCell ref="O42:P42"/>
    <mergeCell ref="A43:P43"/>
    <mergeCell ref="B40:E40"/>
    <mergeCell ref="F40:G40"/>
    <mergeCell ref="J40:L40"/>
    <mergeCell ref="M40:N40"/>
    <mergeCell ref="O40:P40"/>
    <mergeCell ref="B41:E41"/>
    <mergeCell ref="F41:G41"/>
    <mergeCell ref="J41:L41"/>
    <mergeCell ref="M41:N41"/>
    <mergeCell ref="O41:P41"/>
    <mergeCell ref="B39:E39"/>
    <mergeCell ref="F39:G39"/>
    <mergeCell ref="J39:L39"/>
    <mergeCell ref="M39:N39"/>
    <mergeCell ref="O39:P39"/>
    <mergeCell ref="B37:E37"/>
    <mergeCell ref="F37:G37"/>
    <mergeCell ref="J37:L37"/>
    <mergeCell ref="M37:N37"/>
    <mergeCell ref="O37:P37"/>
    <mergeCell ref="B38:E38"/>
    <mergeCell ref="F38:G38"/>
    <mergeCell ref="J38:L38"/>
    <mergeCell ref="M38:N38"/>
    <mergeCell ref="O38:P38"/>
    <mergeCell ref="A22:P22"/>
    <mergeCell ref="B23:E23"/>
    <mergeCell ref="F23:G23"/>
    <mergeCell ref="J23:L23"/>
    <mergeCell ref="M23:N23"/>
    <mergeCell ref="B28:E28"/>
    <mergeCell ref="F28:G28"/>
    <mergeCell ref="J28:L28"/>
    <mergeCell ref="M28:N28"/>
    <mergeCell ref="O28:P28"/>
    <mergeCell ref="B29:E29"/>
    <mergeCell ref="F29:G29"/>
    <mergeCell ref="J29:L29"/>
    <mergeCell ref="M29:N29"/>
    <mergeCell ref="O29:P29"/>
    <mergeCell ref="B35:E35"/>
    <mergeCell ref="F35:G35"/>
    <mergeCell ref="J35:L35"/>
    <mergeCell ref="M35:N35"/>
    <mergeCell ref="O35:P35"/>
    <mergeCell ref="B27:E27"/>
    <mergeCell ref="F27:G27"/>
    <mergeCell ref="J27:L27"/>
    <mergeCell ref="A32:P32"/>
    <mergeCell ref="A33:P33"/>
    <mergeCell ref="B34:E34"/>
    <mergeCell ref="F34:G34"/>
    <mergeCell ref="J34:L34"/>
    <mergeCell ref="M34:N34"/>
    <mergeCell ref="O34:P34"/>
    <mergeCell ref="B25:E25"/>
    <mergeCell ref="F25:G25"/>
    <mergeCell ref="J25:L25"/>
    <mergeCell ref="M25:N25"/>
    <mergeCell ref="O25:P25"/>
    <mergeCell ref="B26:E26"/>
    <mergeCell ref="F26:G26"/>
    <mergeCell ref="J26:L26"/>
    <mergeCell ref="M26:N26"/>
    <mergeCell ref="O26:P26"/>
    <mergeCell ref="B31:E31"/>
    <mergeCell ref="F31:G31"/>
    <mergeCell ref="J31:L31"/>
    <mergeCell ref="M31:N31"/>
    <mergeCell ref="O31:P31"/>
    <mergeCell ref="O23:P23"/>
    <mergeCell ref="B24:E24"/>
    <mergeCell ref="F24:G24"/>
    <mergeCell ref="J24:L24"/>
    <mergeCell ref="M24:N24"/>
    <mergeCell ref="O24:P24"/>
    <mergeCell ref="B30:E30"/>
    <mergeCell ref="F30:G30"/>
    <mergeCell ref="J30:L30"/>
    <mergeCell ref="M30:N30"/>
    <mergeCell ref="O30:P30"/>
    <mergeCell ref="B20:E20"/>
    <mergeCell ref="F20:G20"/>
    <mergeCell ref="J20:L20"/>
    <mergeCell ref="M20:N20"/>
    <mergeCell ref="O20:P20"/>
    <mergeCell ref="B21:E21"/>
    <mergeCell ref="F21:G21"/>
    <mergeCell ref="J21:L21"/>
    <mergeCell ref="M21:N21"/>
    <mergeCell ref="O21:P21"/>
    <mergeCell ref="M27:N27"/>
    <mergeCell ref="O27:P27"/>
    <mergeCell ref="A1:D1"/>
    <mergeCell ref="E1:P1"/>
    <mergeCell ref="A3:P3"/>
    <mergeCell ref="A4:P4"/>
    <mergeCell ref="A6:P6"/>
    <mergeCell ref="A7:P7"/>
    <mergeCell ref="B18:E18"/>
    <mergeCell ref="F18:G18"/>
    <mergeCell ref="J18:L18"/>
    <mergeCell ref="M18:N18"/>
    <mergeCell ref="O18:P18"/>
    <mergeCell ref="B19:E19"/>
    <mergeCell ref="F19:G19"/>
    <mergeCell ref="J19:L19"/>
    <mergeCell ref="M19:N19"/>
    <mergeCell ref="O19:P19"/>
    <mergeCell ref="M16:N16"/>
    <mergeCell ref="M17:N17"/>
    <mergeCell ref="O16:P16"/>
    <mergeCell ref="O17:P17"/>
    <mergeCell ref="A9:P9"/>
    <mergeCell ref="A10:P10"/>
    <mergeCell ref="A12:P12"/>
    <mergeCell ref="A14:P14"/>
    <mergeCell ref="B16:E16"/>
    <mergeCell ref="B17:E17"/>
    <mergeCell ref="F16:G16"/>
    <mergeCell ref="F17:G17"/>
    <mergeCell ref="J16:L16"/>
    <mergeCell ref="J17:L17"/>
  </mergeCells>
  <pageMargins left="0.4" right="0.4"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График</vt:lpstr>
      <vt:lpstr>Пояснительная</vt:lpstr>
      <vt:lpstr>Протокол</vt:lpstr>
      <vt:lpstr>НМЦ</vt:lpstr>
      <vt:lpstr>НМЦК (ПИР)</vt:lpstr>
      <vt:lpstr>НМЦК</vt:lpstr>
      <vt:lpstr>Cводная смета ПИР</vt:lpstr>
      <vt:lpstr>ИГДИ</vt:lpstr>
      <vt:lpstr>ИГИ</vt:lpstr>
      <vt:lpstr>ИГМИ</vt:lpstr>
      <vt:lpstr>Экология</vt:lpstr>
      <vt:lpstr>Археология</vt:lpstr>
      <vt:lpstr>ВОП</vt:lpstr>
      <vt:lpstr>ПД</vt:lpstr>
      <vt:lpstr>РД</vt:lpstr>
      <vt:lpstr>ОВОС</vt:lpstr>
      <vt:lpstr>Экспертиза ГЭЭ</vt:lpstr>
      <vt:lpstr>Экспертиза ГГЭ</vt:lpstr>
      <vt:lpstr>Прогнозные индексы</vt:lpstr>
      <vt:lpstr>Индексы Росстата</vt:lpstr>
      <vt:lpstr>КСБ Архыз Удельные показатели</vt:lpstr>
      <vt:lpstr>КВЛ (в работе!)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alexandr.tatarinov@ncrc.ru</dc:creator>
  <cp:lastModifiedBy>Токарев Игорь Александрович</cp:lastModifiedBy>
  <cp:lastPrinted>2025-02-03T10:54:31Z</cp:lastPrinted>
  <dcterms:created xsi:type="dcterms:W3CDTF">2023-03-21T15:49:14Z</dcterms:created>
  <dcterms:modified xsi:type="dcterms:W3CDTF">2026-07-24T15:30:12Z</dcterms:modified>
</cp:coreProperties>
</file>