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ПЗ" sheetId="9" r:id="rId1"/>
    <sheet name="Протокол" sheetId="8" r:id="rId2"/>
    <sheet name="НМЦ" sheetId="7" r:id="rId3"/>
    <sheet name="Смета договора" sheetId="10" r:id="rId4"/>
    <sheet name="НМЦК" sheetId="1" r:id="rId5"/>
    <sheet name="ВОР" sheetId="5" r:id="rId6"/>
    <sheet name="Фактический индекс" sheetId="3" r:id="rId7"/>
    <sheet name="Прогнозный индекс" sheetId="4" r:id="rId8"/>
    <sheet name="ССРСС" sheetId="2" r:id="rId9"/>
  </sheets>
  <externalReferences>
    <externalReference r:id="rId10"/>
  </externalReferenc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7" l="1"/>
  <c r="C6" i="7"/>
  <c r="W12" i="10" l="1"/>
  <c r="U62" i="10"/>
  <c r="K63" i="10" l="1"/>
  <c r="X62" i="10"/>
  <c r="W62" i="10" s="1"/>
  <c r="J62" i="10"/>
  <c r="Q62" i="10" s="1"/>
  <c r="S62" i="10" s="1"/>
  <c r="V62" i="10" s="1"/>
  <c r="R61" i="10"/>
  <c r="J61" i="10"/>
  <c r="Q61" i="10" s="1"/>
  <c r="R60" i="10"/>
  <c r="J60" i="10"/>
  <c r="Q60" i="10" s="1"/>
  <c r="J59" i="10"/>
  <c r="Q59" i="10" s="1"/>
  <c r="R58" i="10"/>
  <c r="J58" i="10"/>
  <c r="Q58" i="10" s="1"/>
  <c r="R57" i="10"/>
  <c r="J57" i="10"/>
  <c r="Q57" i="10" s="1"/>
  <c r="R56" i="10"/>
  <c r="J56" i="10"/>
  <c r="Q56" i="10" s="1"/>
  <c r="R55" i="10"/>
  <c r="J55" i="10"/>
  <c r="Q55" i="10" s="1"/>
  <c r="R54" i="10"/>
  <c r="J54" i="10"/>
  <c r="Q54" i="10" s="1"/>
  <c r="I53" i="10"/>
  <c r="R52" i="10"/>
  <c r="J52" i="10"/>
  <c r="Q52" i="10" s="1"/>
  <c r="R51" i="10"/>
  <c r="J51" i="10"/>
  <c r="Q51" i="10" s="1"/>
  <c r="R50" i="10"/>
  <c r="J50" i="10"/>
  <c r="Q50" i="10" s="1"/>
  <c r="S50" i="10" s="1"/>
  <c r="R49" i="10"/>
  <c r="J49" i="10"/>
  <c r="Q49" i="10" s="1"/>
  <c r="R48" i="10"/>
  <c r="J48" i="10"/>
  <c r="Q48" i="10" s="1"/>
  <c r="R47" i="10"/>
  <c r="J47" i="10"/>
  <c r="Q47" i="10" s="1"/>
  <c r="R46" i="10"/>
  <c r="J46" i="10"/>
  <c r="Q46" i="10" s="1"/>
  <c r="R45" i="10"/>
  <c r="J45" i="10"/>
  <c r="I44" i="10"/>
  <c r="I63" i="10" s="1"/>
  <c r="R43" i="10"/>
  <c r="M43" i="10"/>
  <c r="P43" i="10" s="1"/>
  <c r="J43" i="10"/>
  <c r="R42" i="10"/>
  <c r="M42" i="10"/>
  <c r="O42" i="10" s="1"/>
  <c r="J42" i="10"/>
  <c r="R41" i="10"/>
  <c r="M41" i="10"/>
  <c r="P41" i="10" s="1"/>
  <c r="J41" i="10"/>
  <c r="R40" i="10"/>
  <c r="M40" i="10"/>
  <c r="O40" i="10" s="1"/>
  <c r="J40" i="10"/>
  <c r="R39" i="10"/>
  <c r="M39" i="10"/>
  <c r="O39" i="10" s="1"/>
  <c r="J39" i="10"/>
  <c r="J38" i="10" s="1"/>
  <c r="H38" i="10"/>
  <c r="G38" i="10"/>
  <c r="F38" i="10"/>
  <c r="R37" i="10"/>
  <c r="M37" i="10"/>
  <c r="O37" i="10" s="1"/>
  <c r="J37" i="10"/>
  <c r="R36" i="10"/>
  <c r="M36" i="10"/>
  <c r="P36" i="10" s="1"/>
  <c r="J36" i="10"/>
  <c r="R35" i="10"/>
  <c r="M35" i="10"/>
  <c r="P35" i="10" s="1"/>
  <c r="J35" i="10"/>
  <c r="R34" i="10"/>
  <c r="M34" i="10"/>
  <c r="P34" i="10" s="1"/>
  <c r="J34" i="10"/>
  <c r="R33" i="10"/>
  <c r="M33" i="10"/>
  <c r="O33" i="10" s="1"/>
  <c r="J33" i="10"/>
  <c r="H32" i="10"/>
  <c r="G32" i="10"/>
  <c r="F32" i="10"/>
  <c r="R31" i="10"/>
  <c r="M31" i="10"/>
  <c r="O31" i="10" s="1"/>
  <c r="J31" i="10"/>
  <c r="R30" i="10"/>
  <c r="M30" i="10"/>
  <c r="P30" i="10" s="1"/>
  <c r="J30" i="10"/>
  <c r="R29" i="10"/>
  <c r="M29" i="10"/>
  <c r="O29" i="10" s="1"/>
  <c r="J29" i="10"/>
  <c r="H28" i="10"/>
  <c r="G28" i="10"/>
  <c r="F28" i="10"/>
  <c r="R27" i="10"/>
  <c r="M27" i="10"/>
  <c r="O27" i="10" s="1"/>
  <c r="J27" i="10"/>
  <c r="R26" i="10"/>
  <c r="M26" i="10"/>
  <c r="P26" i="10" s="1"/>
  <c r="J26" i="10"/>
  <c r="R25" i="10"/>
  <c r="M25" i="10"/>
  <c r="P25" i="10" s="1"/>
  <c r="J25" i="10"/>
  <c r="R24" i="10"/>
  <c r="M24" i="10"/>
  <c r="P24" i="10" s="1"/>
  <c r="J24" i="10"/>
  <c r="R23" i="10"/>
  <c r="M23" i="10"/>
  <c r="O23" i="10" s="1"/>
  <c r="J23" i="10"/>
  <c r="R22" i="10"/>
  <c r="M22" i="10"/>
  <c r="P22" i="10" s="1"/>
  <c r="J22" i="10"/>
  <c r="R21" i="10"/>
  <c r="M21" i="10"/>
  <c r="P21" i="10" s="1"/>
  <c r="J21" i="10"/>
  <c r="R20" i="10"/>
  <c r="M20" i="10"/>
  <c r="P20" i="10" s="1"/>
  <c r="J20" i="10"/>
  <c r="R19" i="10"/>
  <c r="M19" i="10"/>
  <c r="O19" i="10" s="1"/>
  <c r="J19" i="10"/>
  <c r="R18" i="10"/>
  <c r="M18" i="10"/>
  <c r="O18" i="10" s="1"/>
  <c r="J18" i="10"/>
  <c r="R17" i="10"/>
  <c r="M17" i="10"/>
  <c r="P17" i="10" s="1"/>
  <c r="J17" i="10"/>
  <c r="R16" i="10"/>
  <c r="M16" i="10"/>
  <c r="P16" i="10" s="1"/>
  <c r="J16" i="10"/>
  <c r="R15" i="10"/>
  <c r="M15" i="10"/>
  <c r="J15" i="10"/>
  <c r="R14" i="10"/>
  <c r="M14" i="10"/>
  <c r="O14" i="10" s="1"/>
  <c r="J14" i="10"/>
  <c r="H13" i="10"/>
  <c r="G13" i="10"/>
  <c r="F13" i="10"/>
  <c r="T12" i="10"/>
  <c r="R12" i="10"/>
  <c r="J12" i="10"/>
  <c r="K11" i="10"/>
  <c r="I11" i="10"/>
  <c r="K10" i="10"/>
  <c r="K8" i="10" s="1"/>
  <c r="K64" i="10" s="1"/>
  <c r="I10" i="10"/>
  <c r="I8" i="10" s="1"/>
  <c r="R9" i="10"/>
  <c r="J9" i="10"/>
  <c r="F42" i="4"/>
  <c r="B42" i="4"/>
  <c r="F32" i="4"/>
  <c r="F33" i="4" s="1"/>
  <c r="F41" i="4"/>
  <c r="B41" i="4"/>
  <c r="T16" i="1"/>
  <c r="F40" i="4"/>
  <c r="D40" i="4"/>
  <c r="F38" i="4"/>
  <c r="D38" i="4"/>
  <c r="F36" i="4"/>
  <c r="D36" i="4"/>
  <c r="F24" i="4"/>
  <c r="D24" i="4"/>
  <c r="F22" i="4"/>
  <c r="F25" i="4" s="1"/>
  <c r="D22" i="4"/>
  <c r="F18" i="4"/>
  <c r="F12" i="4"/>
  <c r="D12" i="4"/>
  <c r="F10" i="4"/>
  <c r="F13" i="4" s="1"/>
  <c r="T9" i="10" s="1"/>
  <c r="D10" i="4"/>
  <c r="F6" i="4"/>
  <c r="T13" i="1" l="1"/>
  <c r="O22" i="10"/>
  <c r="Q22" i="10" s="1"/>
  <c r="S22" i="10" s="1"/>
  <c r="O30" i="10"/>
  <c r="Q30" i="10"/>
  <c r="M13" i="10"/>
  <c r="J10" i="10"/>
  <c r="Q10" i="10" s="1"/>
  <c r="P19" i="10"/>
  <c r="Q19" i="10" s="1"/>
  <c r="S19" i="10" s="1"/>
  <c r="P42" i="10"/>
  <c r="P31" i="10"/>
  <c r="O41" i="10"/>
  <c r="Q41" i="10" s="1"/>
  <c r="S41" i="10" s="1"/>
  <c r="S55" i="10"/>
  <c r="S51" i="10"/>
  <c r="S52" i="10"/>
  <c r="S61" i="10"/>
  <c r="S48" i="10"/>
  <c r="S30" i="10"/>
  <c r="S46" i="10"/>
  <c r="S57" i="10"/>
  <c r="O26" i="10"/>
  <c r="Q26" i="10" s="1"/>
  <c r="S26" i="10" s="1"/>
  <c r="J28" i="10"/>
  <c r="P37" i="10"/>
  <c r="S60" i="10"/>
  <c r="P14" i="10"/>
  <c r="O20" i="10"/>
  <c r="Q20" i="10" s="1"/>
  <c r="S20" i="10" s="1"/>
  <c r="P23" i="10"/>
  <c r="Q23" i="10" s="1"/>
  <c r="S23" i="10" s="1"/>
  <c r="Q42" i="10"/>
  <c r="S42" i="10" s="1"/>
  <c r="J32" i="10"/>
  <c r="S47" i="10"/>
  <c r="S49" i="10"/>
  <c r="J53" i="10"/>
  <c r="S58" i="10"/>
  <c r="H63" i="10"/>
  <c r="H11" i="10" s="1"/>
  <c r="H64" i="10" s="1"/>
  <c r="P15" i="10"/>
  <c r="P18" i="10"/>
  <c r="Q18" i="10" s="1"/>
  <c r="S18" i="10" s="1"/>
  <c r="P27" i="10"/>
  <c r="Q27" i="10" s="1"/>
  <c r="S27" i="10" s="1"/>
  <c r="O16" i="10"/>
  <c r="P33" i="10"/>
  <c r="Q33" i="10" s="1"/>
  <c r="S56" i="10"/>
  <c r="G63" i="10"/>
  <c r="G11" i="10" s="1"/>
  <c r="G64" i="10" s="1"/>
  <c r="O35" i="10"/>
  <c r="Q9" i="10"/>
  <c r="Q16" i="10"/>
  <c r="S16" i="10" s="1"/>
  <c r="M32" i="10"/>
  <c r="Q45" i="10"/>
  <c r="J44" i="10"/>
  <c r="O38" i="10"/>
  <c r="Q53" i="10"/>
  <c r="S54" i="10"/>
  <c r="I64" i="10"/>
  <c r="J13" i="10"/>
  <c r="O24" i="10"/>
  <c r="Q24" i="10" s="1"/>
  <c r="S24" i="10" s="1"/>
  <c r="O28" i="10"/>
  <c r="Q35" i="10"/>
  <c r="S35" i="10" s="1"/>
  <c r="K65" i="10"/>
  <c r="K66" i="10"/>
  <c r="Q21" i="10"/>
  <c r="S21" i="10" s="1"/>
  <c r="Q14" i="10"/>
  <c r="F63" i="10"/>
  <c r="F11" i="10" s="1"/>
  <c r="F64" i="10" s="1"/>
  <c r="Q31" i="10"/>
  <c r="S31" i="10" s="1"/>
  <c r="Q12" i="10"/>
  <c r="O21" i="10"/>
  <c r="M28" i="10"/>
  <c r="P39" i="10"/>
  <c r="Q39" i="10" s="1"/>
  <c r="P29" i="10"/>
  <c r="P28" i="10" s="1"/>
  <c r="P40" i="10"/>
  <c r="Q40" i="10" s="1"/>
  <c r="S40" i="10" s="1"/>
  <c r="O15" i="10"/>
  <c r="Q15" i="10" s="1"/>
  <c r="S15" i="10" s="1"/>
  <c r="O34" i="10"/>
  <c r="Q34" i="10" s="1"/>
  <c r="S34" i="10" s="1"/>
  <c r="M38" i="10"/>
  <c r="O43" i="10"/>
  <c r="Q43" i="10" s="1"/>
  <c r="S43" i="10" s="1"/>
  <c r="O17" i="10"/>
  <c r="Q17" i="10" s="1"/>
  <c r="S17" i="10" s="1"/>
  <c r="O25" i="10"/>
  <c r="Q25" i="10" s="1"/>
  <c r="S25" i="10" s="1"/>
  <c r="O36" i="10"/>
  <c r="Q36" i="10" s="1"/>
  <c r="S36" i="10" s="1"/>
  <c r="F34" i="4"/>
  <c r="F43" i="4" s="1"/>
  <c r="C25" i="4"/>
  <c r="C13" i="4"/>
  <c r="C43" i="4" l="1"/>
  <c r="T56" i="10"/>
  <c r="X56" i="10" s="1"/>
  <c r="W56" i="10" s="1"/>
  <c r="T50" i="10"/>
  <c r="T27" i="10"/>
  <c r="X27" i="10" s="1"/>
  <c r="W27" i="10" s="1"/>
  <c r="T25" i="10"/>
  <c r="X25" i="10" s="1"/>
  <c r="W25" i="10" s="1"/>
  <c r="T23" i="10"/>
  <c r="X23" i="10" s="1"/>
  <c r="W23" i="10" s="1"/>
  <c r="T21" i="10"/>
  <c r="X21" i="10" s="1"/>
  <c r="W21" i="10" s="1"/>
  <c r="T19" i="10"/>
  <c r="X19" i="10" s="1"/>
  <c r="W19" i="10" s="1"/>
  <c r="T17" i="10"/>
  <c r="X17" i="10" s="1"/>
  <c r="W17" i="10" s="1"/>
  <c r="T15" i="10"/>
  <c r="X15" i="10" s="1"/>
  <c r="W15" i="10" s="1"/>
  <c r="T58" i="10"/>
  <c r="X58" i="10" s="1"/>
  <c r="W58" i="10" s="1"/>
  <c r="T52" i="10"/>
  <c r="X52" i="10" s="1"/>
  <c r="W52" i="10" s="1"/>
  <c r="T37" i="10"/>
  <c r="X37" i="10" s="1"/>
  <c r="W37" i="10" s="1"/>
  <c r="T35" i="10"/>
  <c r="X35" i="10" s="1"/>
  <c r="W35" i="10" s="1"/>
  <c r="T33" i="10"/>
  <c r="X33" i="10" s="1"/>
  <c r="W33" i="10" s="1"/>
  <c r="T60" i="10"/>
  <c r="X60" i="10" s="1"/>
  <c r="W60" i="10" s="1"/>
  <c r="T34" i="10"/>
  <c r="X34" i="10" s="1"/>
  <c r="W34" i="10" s="1"/>
  <c r="T31" i="10"/>
  <c r="X31" i="10" s="1"/>
  <c r="W31" i="10" s="1"/>
  <c r="T61" i="10"/>
  <c r="X61" i="10" s="1"/>
  <c r="W61" i="10" s="1"/>
  <c r="T55" i="10"/>
  <c r="X55" i="10" s="1"/>
  <c r="W55" i="10" s="1"/>
  <c r="T49" i="10"/>
  <c r="X49" i="10" s="1"/>
  <c r="W49" i="10" s="1"/>
  <c r="T43" i="10"/>
  <c r="X43" i="10" s="1"/>
  <c r="W43" i="10" s="1"/>
  <c r="T41" i="10"/>
  <c r="X41" i="10" s="1"/>
  <c r="W41" i="10" s="1"/>
  <c r="T39" i="10"/>
  <c r="X39" i="10" s="1"/>
  <c r="W39" i="10" s="1"/>
  <c r="T57" i="10"/>
  <c r="X57" i="10" s="1"/>
  <c r="W57" i="10" s="1"/>
  <c r="T30" i="10"/>
  <c r="X30" i="10" s="1"/>
  <c r="W30" i="10" s="1"/>
  <c r="T54" i="10"/>
  <c r="X54" i="10" s="1"/>
  <c r="W54" i="10" s="1"/>
  <c r="T47" i="10"/>
  <c r="X47" i="10" s="1"/>
  <c r="W47" i="10" s="1"/>
  <c r="T29" i="10"/>
  <c r="X29" i="10" s="1"/>
  <c r="W29" i="10" s="1"/>
  <c r="T46" i="10"/>
  <c r="X46" i="10" s="1"/>
  <c r="W46" i="10" s="1"/>
  <c r="T26" i="10"/>
  <c r="X26" i="10" s="1"/>
  <c r="W26" i="10" s="1"/>
  <c r="T24" i="10"/>
  <c r="X24" i="10" s="1"/>
  <c r="W24" i="10" s="1"/>
  <c r="T22" i="10"/>
  <c r="X22" i="10" s="1"/>
  <c r="W22" i="10" s="1"/>
  <c r="T20" i="10"/>
  <c r="X20" i="10" s="1"/>
  <c r="W20" i="10" s="1"/>
  <c r="T18" i="10"/>
  <c r="X18" i="10" s="1"/>
  <c r="W18" i="10" s="1"/>
  <c r="T16" i="10"/>
  <c r="X16" i="10" s="1"/>
  <c r="W16" i="10" s="1"/>
  <c r="T14" i="10"/>
  <c r="X14" i="10" s="1"/>
  <c r="W14" i="10" s="1"/>
  <c r="T51" i="10"/>
  <c r="X51" i="10" s="1"/>
  <c r="W51" i="10" s="1"/>
  <c r="T48" i="10"/>
  <c r="X48" i="10" s="1"/>
  <c r="W48" i="10" s="1"/>
  <c r="T36" i="10"/>
  <c r="X36" i="10" s="1"/>
  <c r="W36" i="10" s="1"/>
  <c r="T45" i="10"/>
  <c r="X45" i="10" s="1"/>
  <c r="W45" i="10" s="1"/>
  <c r="T42" i="10"/>
  <c r="X42" i="10" s="1"/>
  <c r="W42" i="10" s="1"/>
  <c r="T40" i="10"/>
  <c r="X40" i="10" s="1"/>
  <c r="W40" i="10" s="1"/>
  <c r="V18" i="10"/>
  <c r="U18" i="10" s="1"/>
  <c r="J63" i="10"/>
  <c r="J11" i="10" s="1"/>
  <c r="J64" i="10" s="1"/>
  <c r="P32" i="10"/>
  <c r="J8" i="10"/>
  <c r="Q37" i="10"/>
  <c r="S37" i="10" s="1"/>
  <c r="P13" i="10"/>
  <c r="S59" i="10"/>
  <c r="O32" i="10"/>
  <c r="G65" i="10"/>
  <c r="G66" i="10" s="1"/>
  <c r="S12" i="10"/>
  <c r="S33" i="10"/>
  <c r="Q32" i="10"/>
  <c r="F65" i="10"/>
  <c r="F66" i="10" s="1"/>
  <c r="Q38" i="10"/>
  <c r="S39" i="10"/>
  <c r="O13" i="10"/>
  <c r="Q29" i="10"/>
  <c r="M63" i="10"/>
  <c r="M11" i="10" s="1"/>
  <c r="M64" i="10" s="1"/>
  <c r="P38" i="10"/>
  <c r="Q13" i="10"/>
  <c r="S14" i="10"/>
  <c r="I65" i="10"/>
  <c r="I66" i="10" s="1"/>
  <c r="H65" i="10"/>
  <c r="H66" i="10" s="1"/>
  <c r="V54" i="10"/>
  <c r="U54" i="10" s="1"/>
  <c r="S53" i="10"/>
  <c r="S9" i="10"/>
  <c r="Q8" i="10"/>
  <c r="Q44" i="10"/>
  <c r="S45" i="10"/>
  <c r="T61" i="1"/>
  <c r="T31" i="1"/>
  <c r="T59" i="1"/>
  <c r="T30" i="1"/>
  <c r="T58" i="1"/>
  <c r="T49" i="1"/>
  <c r="T39" i="1"/>
  <c r="T29" i="1"/>
  <c r="T21" i="1"/>
  <c r="T56" i="1"/>
  <c r="T47" i="1"/>
  <c r="T38" i="1"/>
  <c r="T28" i="1"/>
  <c r="T20" i="1"/>
  <c r="T65" i="1"/>
  <c r="T55" i="1"/>
  <c r="T46" i="1"/>
  <c r="T37" i="1"/>
  <c r="T27" i="1"/>
  <c r="T19" i="1"/>
  <c r="T64" i="1"/>
  <c r="T54" i="1"/>
  <c r="T45" i="1"/>
  <c r="T35" i="1"/>
  <c r="T26" i="1"/>
  <c r="T18" i="1"/>
  <c r="T62" i="1"/>
  <c r="T53" i="1"/>
  <c r="T44" i="1"/>
  <c r="T34" i="1"/>
  <c r="T25" i="1"/>
  <c r="T52" i="1"/>
  <c r="T43" i="1"/>
  <c r="T33" i="1"/>
  <c r="T24" i="1"/>
  <c r="T60" i="1"/>
  <c r="T51" i="1"/>
  <c r="T41" i="1"/>
  <c r="T23" i="1"/>
  <c r="T50" i="1"/>
  <c r="T40" i="1"/>
  <c r="T22" i="1"/>
  <c r="P63" i="10" l="1"/>
  <c r="P11" i="10" s="1"/>
  <c r="P64" i="10" s="1"/>
  <c r="V22" i="10"/>
  <c r="U22" i="10" s="1"/>
  <c r="V31" i="10"/>
  <c r="U31" i="10" s="1"/>
  <c r="V30" i="10"/>
  <c r="U30" i="10" s="1"/>
  <c r="V15" i="10"/>
  <c r="U15" i="10" s="1"/>
  <c r="V26" i="10"/>
  <c r="U26" i="10" s="1"/>
  <c r="V19" i="10"/>
  <c r="U19" i="10" s="1"/>
  <c r="V24" i="10"/>
  <c r="U24" i="10" s="1"/>
  <c r="V37" i="10"/>
  <c r="U37" i="10" s="1"/>
  <c r="V21" i="10"/>
  <c r="U21" i="10" s="1"/>
  <c r="X38" i="10"/>
  <c r="W38" i="10" s="1"/>
  <c r="V48" i="10"/>
  <c r="U48" i="10" s="1"/>
  <c r="V20" i="10"/>
  <c r="U20" i="10" s="1"/>
  <c r="V43" i="10"/>
  <c r="U43" i="10" s="1"/>
  <c r="V52" i="10"/>
  <c r="U52" i="10" s="1"/>
  <c r="V27" i="10"/>
  <c r="U27" i="10" s="1"/>
  <c r="V23" i="10"/>
  <c r="U23" i="10" s="1"/>
  <c r="V61" i="10"/>
  <c r="U61" i="10" s="1"/>
  <c r="X13" i="10"/>
  <c r="W13" i="10" s="1"/>
  <c r="V51" i="10"/>
  <c r="U51" i="10" s="1"/>
  <c r="V16" i="10"/>
  <c r="U16" i="10" s="1"/>
  <c r="V40" i="10"/>
  <c r="U40" i="10" s="1"/>
  <c r="V46" i="10"/>
  <c r="U46" i="10" s="1"/>
  <c r="V55" i="10"/>
  <c r="U55" i="10" s="1"/>
  <c r="V35" i="10"/>
  <c r="U35" i="10" s="1"/>
  <c r="X32" i="10"/>
  <c r="W32" i="10" s="1"/>
  <c r="V25" i="10"/>
  <c r="U25" i="10" s="1"/>
  <c r="V60" i="10"/>
  <c r="U60" i="10" s="1"/>
  <c r="X59" i="10"/>
  <c r="W59" i="10" s="1"/>
  <c r="V41" i="10"/>
  <c r="U41" i="10" s="1"/>
  <c r="V49" i="10"/>
  <c r="U49" i="10" s="1"/>
  <c r="V42" i="10"/>
  <c r="U42" i="10" s="1"/>
  <c r="X28" i="10"/>
  <c r="W28" i="10" s="1"/>
  <c r="V17" i="10"/>
  <c r="U17" i="10" s="1"/>
  <c r="X53" i="10"/>
  <c r="W53" i="10" s="1"/>
  <c r="V47" i="10"/>
  <c r="U47" i="10" s="1"/>
  <c r="V36" i="10"/>
  <c r="U36" i="10" s="1"/>
  <c r="V58" i="10"/>
  <c r="U58" i="10" s="1"/>
  <c r="V56" i="10"/>
  <c r="U56" i="10" s="1"/>
  <c r="V34" i="10"/>
  <c r="U34" i="10" s="1"/>
  <c r="V57" i="10"/>
  <c r="U57" i="10" s="1"/>
  <c r="V50" i="10"/>
  <c r="U50" i="10" s="1"/>
  <c r="X50" i="10"/>
  <c r="W50" i="10" s="1"/>
  <c r="M65" i="10"/>
  <c r="M66" i="10" s="1"/>
  <c r="J65" i="10"/>
  <c r="J66" i="10" s="1"/>
  <c r="V12" i="10"/>
  <c r="U12" i="10" s="1"/>
  <c r="Q28" i="10"/>
  <c r="Q63" i="10" s="1"/>
  <c r="S29" i="10"/>
  <c r="O63" i="10"/>
  <c r="O11" i="10" s="1"/>
  <c r="O64" i="10" s="1"/>
  <c r="S38" i="10"/>
  <c r="V39" i="10"/>
  <c r="U39" i="10" s="1"/>
  <c r="V45" i="10"/>
  <c r="U45" i="10" s="1"/>
  <c r="S44" i="10"/>
  <c r="V33" i="10"/>
  <c r="U33" i="10" s="1"/>
  <c r="S32" i="10"/>
  <c r="V14" i="10"/>
  <c r="U14" i="10" s="1"/>
  <c r="S13" i="10"/>
  <c r="S10" i="10"/>
  <c r="S8" i="10" s="1"/>
  <c r="V9" i="10"/>
  <c r="U9" i="10" s="1"/>
  <c r="V53" i="10" l="1"/>
  <c r="U53" i="10" s="1"/>
  <c r="V59" i="10"/>
  <c r="U59" i="10" s="1"/>
  <c r="X44" i="10"/>
  <c r="W44" i="10" s="1"/>
  <c r="V32" i="10"/>
  <c r="U32" i="10" s="1"/>
  <c r="V13" i="10"/>
  <c r="U13" i="10" s="1"/>
  <c r="V44" i="10"/>
  <c r="U44" i="10" s="1"/>
  <c r="V38" i="10"/>
  <c r="U38" i="10" s="1"/>
  <c r="O65" i="10"/>
  <c r="O66" i="10" s="1"/>
  <c r="V10" i="10"/>
  <c r="U10" i="10" s="1"/>
  <c r="P65" i="10"/>
  <c r="P66" i="10" s="1"/>
  <c r="Q11" i="10"/>
  <c r="Q64" i="10" s="1"/>
  <c r="V29" i="10"/>
  <c r="U29" i="10" s="1"/>
  <c r="S28" i="10"/>
  <c r="S63" i="10" s="1"/>
  <c r="X63" i="10" l="1"/>
  <c r="V28" i="10"/>
  <c r="U28" i="10" s="1"/>
  <c r="V8" i="10"/>
  <c r="U8" i="10" s="1"/>
  <c r="Q65" i="10"/>
  <c r="Q66" i="10" s="1"/>
  <c r="S11" i="10"/>
  <c r="S64" i="10" s="1"/>
  <c r="W63" i="10" l="1"/>
  <c r="X11" i="10"/>
  <c r="V63" i="10"/>
  <c r="U63" i="10" s="1"/>
  <c r="S65" i="10"/>
  <c r="S66" i="10" s="1"/>
  <c r="W11" i="10" l="1"/>
  <c r="X64" i="10"/>
  <c r="X65" i="10" s="1"/>
  <c r="X66" i="10" s="1"/>
  <c r="V11" i="10"/>
  <c r="U11" i="10" s="1"/>
  <c r="E25" i="3"/>
  <c r="F25" i="3" s="1"/>
  <c r="F24" i="3"/>
  <c r="V64" i="10" l="1"/>
  <c r="V65" i="10" s="1"/>
  <c r="V66" i="10" s="1"/>
  <c r="C5" i="7"/>
  <c r="V66" i="1" l="1"/>
  <c r="S66" i="1" l="1"/>
  <c r="U66" i="1" s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K67" i="1"/>
  <c r="K15" i="1" s="1"/>
  <c r="J66" i="1"/>
  <c r="Q66" i="1" s="1"/>
  <c r="J65" i="1"/>
  <c r="Q65" i="1" s="1"/>
  <c r="J64" i="1"/>
  <c r="Q64" i="1" s="1"/>
  <c r="J63" i="1"/>
  <c r="Q63" i="1" s="1"/>
  <c r="J62" i="1"/>
  <c r="Q62" i="1" s="1"/>
  <c r="J61" i="1"/>
  <c r="Q61" i="1" s="1"/>
  <c r="J60" i="1"/>
  <c r="Q60" i="1" s="1"/>
  <c r="I57" i="1"/>
  <c r="J59" i="1"/>
  <c r="Q59" i="1" s="1"/>
  <c r="J58" i="1"/>
  <c r="J57" i="1" s="1"/>
  <c r="I48" i="1"/>
  <c r="J56" i="1"/>
  <c r="Q56" i="1" s="1"/>
  <c r="J55" i="1"/>
  <c r="Q55" i="1" s="1"/>
  <c r="J54" i="1"/>
  <c r="Q54" i="1" s="1"/>
  <c r="J53" i="1"/>
  <c r="Q53" i="1" s="1"/>
  <c r="J52" i="1"/>
  <c r="Q52" i="1" s="1"/>
  <c r="J51" i="1"/>
  <c r="Q51" i="1" s="1"/>
  <c r="J50" i="1"/>
  <c r="Q50" i="1" s="1"/>
  <c r="J49" i="1"/>
  <c r="Q49" i="1" s="1"/>
  <c r="J47" i="1"/>
  <c r="J46" i="1"/>
  <c r="M47" i="1"/>
  <c r="M46" i="1"/>
  <c r="M45" i="1"/>
  <c r="O45" i="1" s="1"/>
  <c r="J45" i="1"/>
  <c r="H42" i="1"/>
  <c r="G42" i="1"/>
  <c r="F42" i="1"/>
  <c r="M44" i="1"/>
  <c r="M43" i="1"/>
  <c r="J44" i="1"/>
  <c r="J43" i="1"/>
  <c r="J42" i="1" s="1"/>
  <c r="H36" i="1"/>
  <c r="G36" i="1"/>
  <c r="F36" i="1"/>
  <c r="D30" i="3" l="1"/>
  <c r="F30" i="3"/>
  <c r="M42" i="1"/>
  <c r="J48" i="1"/>
  <c r="I67" i="1"/>
  <c r="I15" i="1" s="1"/>
  <c r="Q48" i="1"/>
  <c r="Q58" i="1"/>
  <c r="O47" i="1"/>
  <c r="P47" i="1"/>
  <c r="O46" i="1"/>
  <c r="P46" i="1"/>
  <c r="P45" i="1"/>
  <c r="Q45" i="1" s="1"/>
  <c r="P44" i="1"/>
  <c r="O44" i="1"/>
  <c r="O43" i="1"/>
  <c r="P43" i="1"/>
  <c r="M41" i="1"/>
  <c r="M40" i="1"/>
  <c r="M39" i="1"/>
  <c r="M38" i="1"/>
  <c r="P38" i="1" s="1"/>
  <c r="M37" i="1"/>
  <c r="J41" i="1"/>
  <c r="J40" i="1"/>
  <c r="J39" i="1"/>
  <c r="J38" i="1"/>
  <c r="J37" i="1"/>
  <c r="M32" i="1"/>
  <c r="H32" i="1"/>
  <c r="G32" i="1"/>
  <c r="F32" i="1"/>
  <c r="M35" i="1"/>
  <c r="M34" i="1"/>
  <c r="P34" i="1" s="1"/>
  <c r="M33" i="1"/>
  <c r="J35" i="1"/>
  <c r="J34" i="1"/>
  <c r="J33" i="1"/>
  <c r="M31" i="1"/>
  <c r="J31" i="1"/>
  <c r="J30" i="1"/>
  <c r="M30" i="1"/>
  <c r="P30" i="1" s="1"/>
  <c r="M29" i="1"/>
  <c r="J29" i="1"/>
  <c r="H17" i="1"/>
  <c r="G17" i="1"/>
  <c r="F17" i="1"/>
  <c r="J28" i="1"/>
  <c r="J27" i="1"/>
  <c r="M28" i="1"/>
  <c r="M27" i="1"/>
  <c r="P27" i="1" s="1"/>
  <c r="M26" i="1"/>
  <c r="P26" i="1" s="1"/>
  <c r="J26" i="1"/>
  <c r="M25" i="1"/>
  <c r="P25" i="1" s="1"/>
  <c r="J25" i="1"/>
  <c r="M24" i="1"/>
  <c r="J24" i="1"/>
  <c r="M23" i="1"/>
  <c r="P23" i="1" s="1"/>
  <c r="J23" i="1"/>
  <c r="M22" i="1"/>
  <c r="J22" i="1"/>
  <c r="M21" i="1"/>
  <c r="J21" i="1"/>
  <c r="M20" i="1"/>
  <c r="J20" i="1"/>
  <c r="M19" i="1"/>
  <c r="P19" i="1" s="1"/>
  <c r="J19" i="1"/>
  <c r="M18" i="1"/>
  <c r="J18" i="1"/>
  <c r="J16" i="1"/>
  <c r="K14" i="1"/>
  <c r="K12" i="1" s="1"/>
  <c r="K68" i="1" s="1"/>
  <c r="K69" i="1" s="1"/>
  <c r="K70" i="1" s="1"/>
  <c r="I14" i="1"/>
  <c r="J14" i="1" s="1"/>
  <c r="Q14" i="1" s="1"/>
  <c r="J13" i="1"/>
  <c r="Q13" i="1" s="1"/>
  <c r="R39" i="1" l="1"/>
  <c r="V39" i="1" s="1"/>
  <c r="R65" i="1"/>
  <c r="V65" i="1" s="1"/>
  <c r="R45" i="1"/>
  <c r="V45" i="1" s="1"/>
  <c r="R25" i="1"/>
  <c r="V25" i="1" s="1"/>
  <c r="R60" i="1"/>
  <c r="V60" i="1" s="1"/>
  <c r="R30" i="1"/>
  <c r="V30" i="1" s="1"/>
  <c r="R29" i="1"/>
  <c r="V29" i="1" s="1"/>
  <c r="R55" i="1"/>
  <c r="R35" i="1"/>
  <c r="V35" i="1" s="1"/>
  <c r="R16" i="1"/>
  <c r="R51" i="1"/>
  <c r="R22" i="1"/>
  <c r="V22" i="1" s="1"/>
  <c r="R21" i="1"/>
  <c r="V21" i="1" s="1"/>
  <c r="R46" i="1"/>
  <c r="V46" i="1" s="1"/>
  <c r="R26" i="1"/>
  <c r="V26" i="1" s="1"/>
  <c r="R61" i="1"/>
  <c r="V61" i="1" s="1"/>
  <c r="R41" i="1"/>
  <c r="V41" i="1" s="1"/>
  <c r="R38" i="1"/>
  <c r="V38" i="1" s="1"/>
  <c r="R19" i="1"/>
  <c r="V19" i="1" s="1"/>
  <c r="R33" i="1"/>
  <c r="V33" i="1" s="1"/>
  <c r="R58" i="1"/>
  <c r="V58" i="1" s="1"/>
  <c r="R64" i="1"/>
  <c r="R44" i="1"/>
  <c r="V44" i="1" s="1"/>
  <c r="R50" i="1"/>
  <c r="R49" i="1"/>
  <c r="V49" i="1" s="1"/>
  <c r="R54" i="1"/>
  <c r="V54" i="1" s="1"/>
  <c r="R13" i="1"/>
  <c r="S13" i="1" s="1"/>
  <c r="U13" i="1" s="1"/>
  <c r="U14" i="1" s="1"/>
  <c r="U12" i="1" s="1"/>
  <c r="C12" i="7" s="1"/>
  <c r="R56" i="1"/>
  <c r="V56" i="1" s="1"/>
  <c r="R37" i="1"/>
  <c r="V37" i="1" s="1"/>
  <c r="R18" i="1"/>
  <c r="V18" i="1" s="1"/>
  <c r="R52" i="1"/>
  <c r="R31" i="1"/>
  <c r="V31" i="1" s="1"/>
  <c r="R47" i="1"/>
  <c r="V47" i="1" s="1"/>
  <c r="R27" i="1"/>
  <c r="V27" i="1" s="1"/>
  <c r="R62" i="1"/>
  <c r="V62" i="1" s="1"/>
  <c r="R43" i="1"/>
  <c r="V43" i="1" s="1"/>
  <c r="R23" i="1"/>
  <c r="V23" i="1" s="1"/>
  <c r="R53" i="1"/>
  <c r="R59" i="1"/>
  <c r="R28" i="1"/>
  <c r="V28" i="1" s="1"/>
  <c r="R24" i="1"/>
  <c r="V24" i="1" s="1"/>
  <c r="R20" i="1"/>
  <c r="V20" i="1" s="1"/>
  <c r="R34" i="1"/>
  <c r="V34" i="1" s="1"/>
  <c r="R40" i="1"/>
  <c r="V40" i="1" s="1"/>
  <c r="H67" i="1"/>
  <c r="H15" i="1" s="1"/>
  <c r="H68" i="1" s="1"/>
  <c r="H69" i="1" s="1"/>
  <c r="H70" i="1" s="1"/>
  <c r="Q57" i="1"/>
  <c r="F67" i="1"/>
  <c r="F15" i="1" s="1"/>
  <c r="F68" i="1" s="1"/>
  <c r="M36" i="1"/>
  <c r="Q16" i="1"/>
  <c r="G67" i="1"/>
  <c r="G15" i="1" s="1"/>
  <c r="G68" i="1" s="1"/>
  <c r="J32" i="1"/>
  <c r="M17" i="1"/>
  <c r="O18" i="1"/>
  <c r="J17" i="1"/>
  <c r="J67" i="1" s="1"/>
  <c r="P42" i="1"/>
  <c r="Q43" i="1"/>
  <c r="O42" i="1"/>
  <c r="Q47" i="1"/>
  <c r="Q46" i="1"/>
  <c r="Q44" i="1"/>
  <c r="P18" i="1"/>
  <c r="J36" i="1"/>
  <c r="O38" i="1"/>
  <c r="Q38" i="1" s="1"/>
  <c r="O40" i="1"/>
  <c r="Q40" i="1" s="1"/>
  <c r="P40" i="1"/>
  <c r="O37" i="1"/>
  <c r="O39" i="1"/>
  <c r="O41" i="1"/>
  <c r="P37" i="1"/>
  <c r="P39" i="1"/>
  <c r="P41" i="1"/>
  <c r="O34" i="1"/>
  <c r="Q34" i="1" s="1"/>
  <c r="O33" i="1"/>
  <c r="O35" i="1"/>
  <c r="P33" i="1"/>
  <c r="P35" i="1"/>
  <c r="O31" i="1"/>
  <c r="P31" i="1"/>
  <c r="O30" i="1"/>
  <c r="Q30" i="1" s="1"/>
  <c r="O29" i="1"/>
  <c r="P29" i="1"/>
  <c r="O28" i="1"/>
  <c r="P28" i="1"/>
  <c r="O27" i="1"/>
  <c r="Q27" i="1" s="1"/>
  <c r="O26" i="1"/>
  <c r="Q26" i="1" s="1"/>
  <c r="O25" i="1"/>
  <c r="Q25" i="1" s="1"/>
  <c r="O24" i="1"/>
  <c r="P24" i="1"/>
  <c r="O23" i="1"/>
  <c r="Q23" i="1" s="1"/>
  <c r="O22" i="1"/>
  <c r="P22" i="1"/>
  <c r="O21" i="1"/>
  <c r="P21" i="1"/>
  <c r="O20" i="1"/>
  <c r="P20" i="1"/>
  <c r="O19" i="1"/>
  <c r="Q19" i="1" s="1"/>
  <c r="I12" i="1"/>
  <c r="I68" i="1" s="1"/>
  <c r="I69" i="1" s="1"/>
  <c r="I70" i="1" s="1"/>
  <c r="J12" i="1"/>
  <c r="S61" i="1" l="1"/>
  <c r="U61" i="1" s="1"/>
  <c r="S30" i="1"/>
  <c r="U30" i="1" s="1"/>
  <c r="S19" i="1"/>
  <c r="U19" i="1" s="1"/>
  <c r="S34" i="1"/>
  <c r="U34" i="1" s="1"/>
  <c r="S38" i="1"/>
  <c r="U38" i="1" s="1"/>
  <c r="S27" i="1"/>
  <c r="U27" i="1" s="1"/>
  <c r="S54" i="1"/>
  <c r="U54" i="1" s="1"/>
  <c r="S49" i="1"/>
  <c r="U49" i="1" s="1"/>
  <c r="S47" i="1"/>
  <c r="U47" i="1" s="1"/>
  <c r="S56" i="1"/>
  <c r="U56" i="1" s="1"/>
  <c r="S65" i="1"/>
  <c r="U65" i="1" s="1"/>
  <c r="S40" i="1"/>
  <c r="U40" i="1" s="1"/>
  <c r="S43" i="1"/>
  <c r="S62" i="1"/>
  <c r="U62" i="1" s="1"/>
  <c r="S25" i="1"/>
  <c r="U25" i="1" s="1"/>
  <c r="V36" i="1"/>
  <c r="S14" i="1"/>
  <c r="S12" i="1" s="1"/>
  <c r="V32" i="1"/>
  <c r="V52" i="1"/>
  <c r="S52" i="1"/>
  <c r="U52" i="1" s="1"/>
  <c r="V53" i="1"/>
  <c r="S53" i="1"/>
  <c r="U53" i="1" s="1"/>
  <c r="V17" i="1"/>
  <c r="V64" i="1"/>
  <c r="V63" i="1" s="1"/>
  <c r="S64" i="1"/>
  <c r="U64" i="1" s="1"/>
  <c r="S26" i="1"/>
  <c r="U26" i="1" s="1"/>
  <c r="S58" i="1"/>
  <c r="V42" i="1"/>
  <c r="S44" i="1"/>
  <c r="U44" i="1" s="1"/>
  <c r="V51" i="1"/>
  <c r="S51" i="1"/>
  <c r="U51" i="1" s="1"/>
  <c r="S46" i="1"/>
  <c r="U46" i="1" s="1"/>
  <c r="S60" i="1"/>
  <c r="U60" i="1" s="1"/>
  <c r="S23" i="1"/>
  <c r="U23" i="1" s="1"/>
  <c r="S45" i="1"/>
  <c r="U45" i="1" s="1"/>
  <c r="V50" i="1"/>
  <c r="S50" i="1"/>
  <c r="V55" i="1"/>
  <c r="S55" i="1"/>
  <c r="U55" i="1" s="1"/>
  <c r="V59" i="1"/>
  <c r="V57" i="1" s="1"/>
  <c r="S59" i="1"/>
  <c r="U59" i="1" s="1"/>
  <c r="D12" i="7"/>
  <c r="E12" i="7" s="1"/>
  <c r="F69" i="1"/>
  <c r="F70" i="1" s="1"/>
  <c r="G69" i="1"/>
  <c r="G70" i="1"/>
  <c r="J15" i="1"/>
  <c r="J68" i="1" s="1"/>
  <c r="J69" i="1" s="1"/>
  <c r="J70" i="1" s="1"/>
  <c r="S16" i="1"/>
  <c r="U16" i="1" s="1"/>
  <c r="Q29" i="1"/>
  <c r="S29" i="1" s="1"/>
  <c r="U29" i="1" s="1"/>
  <c r="M67" i="1"/>
  <c r="M15" i="1" s="1"/>
  <c r="M68" i="1" s="1"/>
  <c r="M69" i="1" s="1"/>
  <c r="M70" i="1" s="1"/>
  <c r="Q22" i="1"/>
  <c r="S22" i="1" s="1"/>
  <c r="U22" i="1" s="1"/>
  <c r="P32" i="1"/>
  <c r="Q42" i="1"/>
  <c r="Q20" i="1"/>
  <c r="S20" i="1" s="1"/>
  <c r="U20" i="1" s="1"/>
  <c r="Q33" i="1"/>
  <c r="S33" i="1" s="1"/>
  <c r="O32" i="1"/>
  <c r="Q37" i="1"/>
  <c r="S37" i="1" s="1"/>
  <c r="U37" i="1" s="1"/>
  <c r="O36" i="1"/>
  <c r="Q31" i="1"/>
  <c r="S31" i="1" s="1"/>
  <c r="U31" i="1" s="1"/>
  <c r="P36" i="1"/>
  <c r="P17" i="1"/>
  <c r="Q24" i="1"/>
  <c r="S24" i="1" s="1"/>
  <c r="U24" i="1" s="1"/>
  <c r="Q21" i="1"/>
  <c r="S21" i="1" s="1"/>
  <c r="U21" i="1" s="1"/>
  <c r="Q18" i="1"/>
  <c r="S18" i="1" s="1"/>
  <c r="U18" i="1" s="1"/>
  <c r="Q39" i="1"/>
  <c r="S39" i="1" s="1"/>
  <c r="U39" i="1" s="1"/>
  <c r="O17" i="1"/>
  <c r="Q41" i="1"/>
  <c r="S41" i="1" s="1"/>
  <c r="U41" i="1" s="1"/>
  <c r="Q35" i="1"/>
  <c r="S35" i="1" s="1"/>
  <c r="U35" i="1" s="1"/>
  <c r="Q28" i="1"/>
  <c r="S28" i="1" s="1"/>
  <c r="U28" i="1" s="1"/>
  <c r="S42" i="1" l="1"/>
  <c r="U43" i="1"/>
  <c r="U42" i="1" s="1"/>
  <c r="S57" i="1"/>
  <c r="U58" i="1"/>
  <c r="U57" i="1" s="1"/>
  <c r="U50" i="1"/>
  <c r="U48" i="1" s="1"/>
  <c r="S48" i="1"/>
  <c r="S63" i="1"/>
  <c r="U63" i="1"/>
  <c r="V48" i="1"/>
  <c r="V67" i="1" s="1"/>
  <c r="V15" i="1" s="1"/>
  <c r="V68" i="1" s="1"/>
  <c r="V69" i="1" s="1"/>
  <c r="V70" i="1" s="1"/>
  <c r="U17" i="1"/>
  <c r="U36" i="1"/>
  <c r="S32" i="1"/>
  <c r="U33" i="1"/>
  <c r="U32" i="1" s="1"/>
  <c r="P67" i="1"/>
  <c r="P15" i="1" s="1"/>
  <c r="P68" i="1" s="1"/>
  <c r="P69" i="1" s="1"/>
  <c r="P70" i="1" s="1"/>
  <c r="O67" i="1"/>
  <c r="O15" i="1" s="1"/>
  <c r="O68" i="1" s="1"/>
  <c r="S36" i="1"/>
  <c r="S17" i="1"/>
  <c r="Q36" i="1"/>
  <c r="Q17" i="1"/>
  <c r="Q32" i="1"/>
  <c r="Q12" i="1"/>
  <c r="U67" i="1" l="1"/>
  <c r="U15" i="1" s="1"/>
  <c r="U68" i="1" s="1"/>
  <c r="U69" i="1" s="1"/>
  <c r="U70" i="1" s="1"/>
  <c r="O69" i="1"/>
  <c r="O70" i="1" s="1"/>
  <c r="S67" i="1"/>
  <c r="S15" i="1" s="1"/>
  <c r="S68" i="1" s="1"/>
  <c r="S69" i="1" s="1"/>
  <c r="S70" i="1" s="1"/>
  <c r="Q67" i="1"/>
  <c r="Q15" i="1" s="1"/>
  <c r="Q68" i="1" s="1"/>
  <c r="Q69" i="1" s="1"/>
  <c r="Q70" i="1" s="1"/>
  <c r="C13" i="7" l="1"/>
  <c r="D13" i="7" s="1"/>
  <c r="C14" i="7" l="1"/>
  <c r="G14" i="7" s="1"/>
  <c r="E13" i="7"/>
  <c r="E14" i="7" s="1"/>
  <c r="D14" i="7"/>
  <c r="B16" i="9" l="1"/>
  <c r="G6" i="8"/>
  <c r="A7" i="8"/>
</calcChain>
</file>

<file path=xl/sharedStrings.xml><?xml version="1.0" encoding="utf-8"?>
<sst xmlns="http://schemas.openxmlformats.org/spreadsheetml/2006/main" count="1192" uniqueCount="460">
  <si>
    <t>Расчет начальной (максимальной) цены контракта при осуществлении закупки на выполнение подрядных работ по строительству объекта:</t>
  </si>
  <si>
    <t>Основания для расчета:</t>
  </si>
  <si>
    <t>№ п/п</t>
  </si>
  <si>
    <t>Обоснование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</si>
  <si>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</si>
  <si>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</si>
  <si>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</si>
  <si>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>Сметная стоимость, руб.</t>
  </si>
  <si>
    <t>Сумма в ССРСС, тыс. руб.</t>
  </si>
  <si>
    <t>Возврат от разборки ВЗиС - 15% от суммы ВЗиС</t>
  </si>
  <si>
    <t>Индекс фактической инфляции*</t>
  </si>
  <si>
    <t xml:space="preserve">Стоимость затрат в ценах на дату формирования начальной (максимальной) цены контракта </t>
  </si>
  <si>
    <t>Индекс прогнозной инфляции на период выполнения работ</t>
  </si>
  <si>
    <t>Начальная (максимальная) цена контракта с учетом индекса прогнозной инфляции на период выполнения работ</t>
  </si>
  <si>
    <t>В т.ч.: Оборудование</t>
  </si>
  <si>
    <t>Строительных
(ремонтно- 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</si>
  <si>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</si>
  <si>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</si>
  <si>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</si>
  <si>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</si>
  <si>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%</t>
  </si>
  <si>
    <t>Сумма</t>
  </si>
  <si>
    <t>Разработка рабочей документации</t>
  </si>
  <si>
    <t>комплекс</t>
  </si>
  <si>
    <t>1.1</t>
  </si>
  <si>
    <t>1.2</t>
  </si>
  <si>
    <t>Строительство</t>
  </si>
  <si>
    <t>2.1</t>
  </si>
  <si>
    <t>2.2</t>
  </si>
  <si>
    <t>2.2.1</t>
  </si>
  <si>
    <t>2.2.2</t>
  </si>
  <si>
    <t>2.2.3</t>
  </si>
  <si>
    <t>2.2.4</t>
  </si>
  <si>
    <t>2.3</t>
  </si>
  <si>
    <t>ОС 02-01</t>
  </si>
  <si>
    <t>2.4</t>
  </si>
  <si>
    <t>2.5</t>
  </si>
  <si>
    <t>2.6</t>
  </si>
  <si>
    <t>2.7</t>
  </si>
  <si>
    <t>2.8</t>
  </si>
  <si>
    <t>2.9</t>
  </si>
  <si>
    <t>2.10</t>
  </si>
  <si>
    <t>2.11</t>
  </si>
  <si>
    <t>2.13</t>
  </si>
  <si>
    <t>ВСЕГО без учета НДС</t>
  </si>
  <si>
    <t>НДС-20%</t>
  </si>
  <si>
    <t>Итого с учетом НДС</t>
  </si>
  <si>
    <t>Всесезонный туристско-рекреационный комплекс "Ведучи", Чеченская Республика. Гараж ратраков</t>
  </si>
  <si>
    <r>
      <t xml:space="preserve">Стоимость затрат в ценах утверждения сметной документации - </t>
    </r>
    <r>
      <rPr>
        <sz val="12"/>
        <color rgb="FFFF0000"/>
        <rFont val="Times New Roman"/>
        <family val="1"/>
        <charset val="204"/>
      </rPr>
      <t>2 квартала 2025 года</t>
    </r>
  </si>
  <si>
    <t>Приложение № 6</t>
  </si>
  <si>
    <t>Утверждено приказом № 421 от 4 августа 2020 г. Минстроя РФ в редакции приказа № 557 от 7 июля 2022 г.</t>
  </si>
  <si>
    <t>Заказчик</t>
  </si>
  <si>
    <t xml:space="preserve">Акционерное общество "КАВКАЗ.РФ" </t>
  </si>
  <si>
    <t/>
  </si>
  <si>
    <t>(наименование организации)</t>
  </si>
  <si>
    <t>"Утвержден" "___"______________________2025г</t>
  </si>
  <si>
    <t>Сводный сметный расчет сметной стоимостью 364 587,75 тыс. руб.</t>
  </si>
  <si>
    <t>(ссылка на документ об утверждении)</t>
  </si>
  <si>
    <t>СВОДНЫЙ СМЕТНЫЙ РАСЧЕТ СТОИМОСТИ СТРОИТЕЛЬСТВА № ССРСС-ССРСС</t>
  </si>
  <si>
    <t>Всесезонный туристско-рекреационный комплекс «Ведучи», Чеченская Республика. Гараж ратраков</t>
  </si>
  <si>
    <t>(наименование стройки)</t>
  </si>
  <si>
    <t>Составлен в текущем уровне цен II квартал 2025 года</t>
  </si>
  <si>
    <t>Наименование глав, объектов капитального строительства, работ и затрат</t>
  </si>
  <si>
    <t>Сметная стоимость, тыс. руб.</t>
  </si>
  <si>
    <t>Глава 1. Подготовка территории строительства, реконструкции, капитального ремонта</t>
  </si>
  <si>
    <t>1</t>
  </si>
  <si>
    <t>СР-1</t>
  </si>
  <si>
    <t>Разбивка основных осей зданий и сооружений</t>
  </si>
  <si>
    <t>Итого по Главе 1. "Подготовка территории строительства, реконструкции, капитального ремонта"</t>
  </si>
  <si>
    <t>Глава 2. Основные объекты строительства, реконструкции, капитального ремонта</t>
  </si>
  <si>
    <t>2</t>
  </si>
  <si>
    <t>Здание гаража ратраков</t>
  </si>
  <si>
    <t>3</t>
  </si>
  <si>
    <t>ЛС 02-02-01</t>
  </si>
  <si>
    <t>Конструктивные решения устройства навеса</t>
  </si>
  <si>
    <t>Итого по Главе 2. "Основные объекты строительства, реконструкции, капитального ремонта"</t>
  </si>
  <si>
    <t>Глава 4. Объекты энергетического хозяйства</t>
  </si>
  <si>
    <t>4</t>
  </si>
  <si>
    <t>ЛС 04-01-01</t>
  </si>
  <si>
    <t>Внутриплощадочные сети элетроснабжения  0,4кВ</t>
  </si>
  <si>
    <t>Итого по Главе 4. "Объекты энергетического хозяйства"</t>
  </si>
  <si>
    <t>Глава 5. Объекты транспортного хозяйства и связи</t>
  </si>
  <si>
    <t>5</t>
  </si>
  <si>
    <t>ЛС 05-01-01</t>
  </si>
  <si>
    <t>Наружные сети связи</t>
  </si>
  <si>
    <t>6</t>
  </si>
  <si>
    <t>ОС 05-02</t>
  </si>
  <si>
    <t>Автозаправочная станция (АЗС)</t>
  </si>
  <si>
    <t>Итого по Главе 5. "Объекты транспортного хозяйства и связи"</t>
  </si>
  <si>
    <t>Глава 6. Наружные сети и сооружения водоснабжения, водоотведения, теплоснабжения и газоснабжения</t>
  </si>
  <si>
    <t>7</t>
  </si>
  <si>
    <t>ОС 06-01</t>
  </si>
  <si>
    <t>Наружные сети водоотведения</t>
  </si>
  <si>
    <t>8</t>
  </si>
  <si>
    <t>ОС 06-02</t>
  </si>
  <si>
    <t>Наружные сети водоснабжения</t>
  </si>
  <si>
    <t>Итого по Главе 6. "Наружные сети и сооружения водоснабжения, водоотведения, теплоснабжения и газоснабжения"</t>
  </si>
  <si>
    <t>Глава 7. Благоустройство и озеленение территории</t>
  </si>
  <si>
    <t>9</t>
  </si>
  <si>
    <t>ЛС 07-01-01</t>
  </si>
  <si>
    <t>Благоустройство</t>
  </si>
  <si>
    <t>10</t>
  </si>
  <si>
    <t>ЛС 07-02-01</t>
  </si>
  <si>
    <t>Внутриплощадочные сети электросовещения</t>
  </si>
  <si>
    <t>11</t>
  </si>
  <si>
    <t>ЛС 07-03-01</t>
  </si>
  <si>
    <t>Конструктивные решения подпорной стены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</si>
  <si>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</si>
  <si>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</si>
  <si>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</si>
  <si>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12</t>
  </si>
  <si>
    <t>Приказ Минстроя России от 19.06.2020 N 332/пр, прил. 1,  п.55</t>
  </si>
  <si>
    <t>Временные здания и сооружения (Объекты жилищного, социально-культурного, коммунально-бытового назначения в сельской местности) - 3,1%</t>
  </si>
  <si>
    <t>Г1:Г7.С*3,1%</t>
  </si>
  <si>
    <t>Г1:Г7.М*3,1%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</si>
  <si>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</si>
  <si>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</si>
  <si>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</si>
  <si>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13</t>
  </si>
  <si>
    <t>Методика от 25.05.2021 № 325/пр п.85</t>
  </si>
  <si>
    <t>Производство работ в зимнее время 0,5% (Объекты общественного, социально-культурного и коммунально-бытового назначения)</t>
  </si>
  <si>
    <t>Г1:Г8.С*0,5%</t>
  </si>
  <si>
    <t>Г1:Г8.М*0,5%</t>
  </si>
  <si>
    <t>14</t>
  </si>
  <si>
    <t>ОС 09-01</t>
  </si>
  <si>
    <t>Пусконаладочные работы здания гаража ратраков</t>
  </si>
  <si>
    <t>15</t>
  </si>
  <si>
    <t>ОС 09-02</t>
  </si>
  <si>
    <t>Пусконаладочные работы АЗС</t>
  </si>
  <si>
    <t>16</t>
  </si>
  <si>
    <t>СР-2</t>
  </si>
  <si>
    <t>Плата за выбросы в атмосферный воздух</t>
  </si>
  <si>
    <t>17</t>
  </si>
  <si>
    <t>СР-3</t>
  </si>
  <si>
    <t>Плата за негативное воздействие при размещении отходов</t>
  </si>
  <si>
    <t>18</t>
  </si>
  <si>
    <t>СР-4</t>
  </si>
  <si>
    <t>Затраты на экологический контроль (мониторинг)</t>
  </si>
  <si>
    <t>19</t>
  </si>
  <si>
    <t>СР-5</t>
  </si>
  <si>
    <t>Затраты на подготовку технических планов сооружений.</t>
  </si>
  <si>
    <t>20</t>
  </si>
  <si>
    <t>СР-6</t>
  </si>
  <si>
    <t>Затраты на перевозку и проживание работников , привлекаемых для СМР и ПНР из г. Грозный</t>
  </si>
  <si>
    <t>Итого по Главе 9. "Прочие работы и затраты"</t>
  </si>
  <si>
    <t>Итого по Главам 1-9</t>
  </si>
  <si>
    <t>Глава 10. Содержание службы заказчика. Строительный контроль</t>
  </si>
  <si>
    <t>21</t>
  </si>
  <si>
    <t>Методика  №421/пр.; ПП №468 от 21.06.2010г., СР-7</t>
  </si>
  <si>
    <t>Затраты на проведение строительного контроля (2,14 % от глав 1-9 граф 4,5,6,7)</t>
  </si>
  <si>
    <t>(Г1.С:Г9.С+Г1.М:Г9.М+Г1.О:Г9.О+Г1.П:Г9.П)*2,14%</t>
  </si>
  <si>
    <t>Итого по Главе 10. "Содержание службы заказчика. Строительный контроль"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</si>
  <si>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</si>
  <si>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22</t>
  </si>
  <si>
    <t>Приказ от 4.08.2020 № 421/пр. п.173</t>
  </si>
  <si>
    <t>Авторский надзор 0,2%</t>
  </si>
  <si>
    <t>Г1:Г9*0,2%</t>
  </si>
  <si>
    <t>23</t>
  </si>
  <si>
    <t>Сводная смета ПИР</t>
  </si>
  <si>
    <t>Затраты на изыскательские работы</t>
  </si>
  <si>
    <t>24</t>
  </si>
  <si>
    <t>Разработка проектной документации</t>
  </si>
  <si>
    <t>25</t>
  </si>
  <si>
    <t>26</t>
  </si>
  <si>
    <t>Расчет затрат на проведение экспертизы проектных решений и материалов инженерных изысканий</t>
  </si>
  <si>
    <t>27</t>
  </si>
  <si>
    <t>СР-8</t>
  </si>
  <si>
    <t>Затраты на проезд  специалистов, осуществляющих авторский надзор.</t>
  </si>
  <si>
    <t>Итого по Главе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</si>
  <si>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>Итого по Главам 1-12</t>
  </si>
  <si>
    <t>Непредвиденные затраты</t>
  </si>
  <si>
    <t>28</t>
  </si>
  <si>
    <t>Методика  №421/пр., п.179 б)</t>
  </si>
  <si>
    <t>Непредвиденные затраты для объектов капитального строительства непроизводственного назначения - 2%</t>
  </si>
  <si>
    <t>Г1:Г12.С*2%</t>
  </si>
  <si>
    <t>Г1:Г12.М*2%</t>
  </si>
  <si>
    <t>Г1:Г12.О*2%</t>
  </si>
  <si>
    <t>Г1:Г12.П*2%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</si>
  <si>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</si>
  <si>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</si>
  <si>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</si>
  <si>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29</t>
  </si>
  <si>
    <t>Методика  №421/пр., п.181 (№ 303-ФЗ от 3.08.2018)</t>
  </si>
  <si>
    <t>Итого "Налоги и обязательные платежи" (20%)</t>
  </si>
  <si>
    <t>Г1:Г13.С*20%</t>
  </si>
  <si>
    <t>Г1:Г13.М*20%</t>
  </si>
  <si>
    <t>Г1:Г13.О*20%</t>
  </si>
  <si>
    <t>Г1:Г13.П*20%</t>
  </si>
  <si>
    <t>Итого "Налоги и обязательные платежи"</t>
  </si>
  <si>
    <t>Итого по сводному расчету</t>
  </si>
  <si>
    <t>в том числе:</t>
  </si>
  <si>
    <t>ОТ</t>
  </si>
  <si>
    <t>ЭМ</t>
  </si>
  <si>
    <t>ОТм</t>
  </si>
  <si>
    <t>М</t>
  </si>
  <si>
    <t>Перевозка</t>
  </si>
  <si>
    <t>НР</t>
  </si>
  <si>
    <t>СП</t>
  </si>
  <si>
    <t>оборудование</t>
  </si>
  <si>
    <t>прочие затраты</t>
  </si>
  <si>
    <t xml:space="preserve">Руководитель проектной организации </t>
  </si>
  <si>
    <t>(Ганбатын А.)</t>
  </si>
  <si>
    <t>[подпись (инициалы, фамилия)]</t>
  </si>
  <si>
    <t>Главный инженер проекта</t>
  </si>
  <si>
    <t>(Пивень В.В.)</t>
  </si>
  <si>
    <t>Начальник Сметного отдела</t>
  </si>
  <si>
    <t>(Шехарева О.Ю.)</t>
  </si>
  <si>
    <t>Директор Департамента развития инфраструктуры  АО 
"КАВКАЗ.РФ"
(по дов-ти № 612 от 13.03.2024г.)</t>
  </si>
  <si>
    <t>(Богуш Б.Б.)</t>
  </si>
  <si>
    <t>[должность, подпись (инициалы, фамилия)]</t>
  </si>
  <si>
    <t>2. Заключение Федерального автономного учреждения "Главное управление государственной экспертизы"от 09.10.2025 № 20-1-1-3-060332-2025</t>
  </si>
  <si>
    <t>3. Утвержденный сводный сметный расчет стоимости строительства  в ценах 2 квартала 2025 г. на сумму  364 587,75 тыс. руб.</t>
  </si>
  <si>
    <t>ВЗиС -3,1% от СМР Глав 1-7</t>
  </si>
  <si>
    <t>Зимее удорожание -0,5% от СМР Глав 1-8</t>
  </si>
  <si>
    <t>Смета №2-РД</t>
  </si>
  <si>
    <t>Непредвиденные затраты для рабочей документации - 2%</t>
  </si>
  <si>
    <t>ЛС 02-01-01</t>
  </si>
  <si>
    <t>ЛС 02-01-02</t>
  </si>
  <si>
    <t>ЛС 02-01-03</t>
  </si>
  <si>
    <t>ЛС 02-01-04</t>
  </si>
  <si>
    <t>ЛС 02-01-05</t>
  </si>
  <si>
    <t>ЛС 02-01-06</t>
  </si>
  <si>
    <t>ЛС 02-01-07</t>
  </si>
  <si>
    <t>ЛС 02-01-08</t>
  </si>
  <si>
    <t>ЛС 02-01-09</t>
  </si>
  <si>
    <t>ЛС 02-01-10</t>
  </si>
  <si>
    <t>ЛС 02-01-11</t>
  </si>
  <si>
    <t>ЛС 05-02-01</t>
  </si>
  <si>
    <t>ЛС 05-02-02</t>
  </si>
  <si>
    <t>ЛС 05-02-03</t>
  </si>
  <si>
    <t>Конструктивные решения гаража ратраков. (Строительные работы)</t>
  </si>
  <si>
    <t>Архитектурные решения. (Строительные работы)</t>
  </si>
  <si>
    <t>Силовое электрооборудование и электроосвещение здания гаража ратраков. (Строительно-монтажные работы и оборудование)</t>
  </si>
  <si>
    <t>Внутренние системы водоснабжения. (Строительно-монтажные работы и оборудование)</t>
  </si>
  <si>
    <t>Внутренние системы водоотведения. (Строительные работы)</t>
  </si>
  <si>
    <t>Вентиляция, отопление, кондиционирование. (Строительно-монтажные работы и оборудование)</t>
  </si>
  <si>
    <t>Внутренние сети связи. (Строительно-монтажные работы и оборудование)</t>
  </si>
  <si>
    <t>Автоматизация. (Строительно-монтажные работы и оборудование)</t>
  </si>
  <si>
    <t>Комплексная система безопасности. (Строительно-монтажные работы и оборудование)</t>
  </si>
  <si>
    <t>Системы пожарной безопасности. (Строительно-монтажные работы и оборудование)</t>
  </si>
  <si>
    <t>Технологические решения для здания гаража. (Строительно-монтажные работы и оборудование)</t>
  </si>
  <si>
    <t>Конструктивные решения устройства навеса. (Строительные работы)</t>
  </si>
  <si>
    <t>Внутриплощадочные сети элетроснабжения  0,4 кВ. (Строительно-монтажные работы и оборудование)</t>
  </si>
  <si>
    <t>Наружные сети связи. (Строительно-монтажные работы и оборудование)</t>
  </si>
  <si>
    <t>Конструктивные решения АЗС. (Строительные работы)</t>
  </si>
  <si>
    <t>Технологические решения АЗС. (Строительно-монтажные работы и оборудование)</t>
  </si>
  <si>
    <t>Автоматизация технологических процессов АЗС. (Строительно-монтажные работы и оборудование)</t>
  </si>
  <si>
    <t>ЛС 06-01-01</t>
  </si>
  <si>
    <t>ЛС 06-01-02</t>
  </si>
  <si>
    <t>ЛС 06-01-03</t>
  </si>
  <si>
    <t>ЛС 06-01-04</t>
  </si>
  <si>
    <t>ЛС 06-01-05</t>
  </si>
  <si>
    <t>Конструктивные решения КНС. (Строительные работы)</t>
  </si>
  <si>
    <t>Наружные сети хозяйственно-бытовой канализации (НК1). (Строительные работы и оборудование)</t>
  </si>
  <si>
    <t>Наружные сети ливневой канализации. (Строительно-монтажные работы и оборудование)</t>
  </si>
  <si>
    <t>Наружные сети  производственной канализации (НК3, НК3.1). (Строительные работы)</t>
  </si>
  <si>
    <t>Конструктивные решения ЛОС. (Строительные работы)</t>
  </si>
  <si>
    <t>ЛС 06-02-01</t>
  </si>
  <si>
    <t>ЛС 06-02-02</t>
  </si>
  <si>
    <t>Устройство фундаментной плиты под резервуары запаса воды. (Строительные работы)</t>
  </si>
  <si>
    <t>Благоустройство. (Строительные работы)</t>
  </si>
  <si>
    <t>Внутриплощадочные сети электросовещения. (Строительно-монтажные работы и оборудование)</t>
  </si>
  <si>
    <t>Конструктивные решения подпорной стены. (Строительные работы)</t>
  </si>
  <si>
    <t>ЛС 09-01-01</t>
  </si>
  <si>
    <t>ЛС 09-01-02</t>
  </si>
  <si>
    <t>ЛС 09-01-03</t>
  </si>
  <si>
    <t>ЛС 09-01-04</t>
  </si>
  <si>
    <t>ЛС 09-01-05</t>
  </si>
  <si>
    <t>ЛС 09-01-06</t>
  </si>
  <si>
    <t>ЛС 09-01-07</t>
  </si>
  <si>
    <t>ЛС 09-01-08</t>
  </si>
  <si>
    <t>Внутреннее силовое электрооборудование и электроосвещение. (Пусконаладочные работы)</t>
  </si>
  <si>
    <t>Вентиляция и кондиционирование. (Пусконаладочные работы)</t>
  </si>
  <si>
    <t>Внутренние сети связи. (Пусконаладочные работы)</t>
  </si>
  <si>
    <t>Автоматизации и диспетчеризации инженерных систем. (Пусконаладочные работы)</t>
  </si>
  <si>
    <t>Комплексная система безопасности. (Пусконаладочные работы)</t>
  </si>
  <si>
    <t>Технологическое оборудование. (Пусконаладочные работы)</t>
  </si>
  <si>
    <t>Пусконаладочные работы здания гаража ратраков ("вхолостую" и "под нагрузкой")</t>
  </si>
  <si>
    <t>ЛС 09-02-01</t>
  </si>
  <si>
    <t>ЛС 09-02-02</t>
  </si>
  <si>
    <t>Системы водоснабжения и водоотведения. (Пусконаладочные работы)</t>
  </si>
  <si>
    <t>Внутриплощадочные  сети электроснабжения и электроосвещения. (Пусконаладочные работы)</t>
  </si>
  <si>
    <t>Оборудование АЗС. (Пусконаладочные работы)</t>
  </si>
  <si>
    <t>Автоматизация технологических процессов АЗС.(Пусконаладочные работы)</t>
  </si>
  <si>
    <t xml:space="preserve"> Затраты на перевозку работников Грозный-с. Итум-Кали- Грозный (туда и обратно) </t>
  </si>
  <si>
    <t>Затраты на перевозку работников к месту монтажных работ  и обратно</t>
  </si>
  <si>
    <t xml:space="preserve">Затраты на оплату проживания и суточные рабочих (затраты на оплату проживания и суточные ИТР учтены в составе НР)  </t>
  </si>
  <si>
    <t>Непредвиденные затраты для строительства - 2%</t>
  </si>
  <si>
    <t>2.2.5</t>
  </si>
  <si>
    <t>2.2.6</t>
  </si>
  <si>
    <t>2.2.7</t>
  </si>
  <si>
    <t>2.2.8</t>
  </si>
  <si>
    <t>2.2.9</t>
  </si>
  <si>
    <t>2.2.10</t>
  </si>
  <si>
    <t>2.2.11</t>
  </si>
  <si>
    <t>2.6.1</t>
  </si>
  <si>
    <t>2.6.2</t>
  </si>
  <si>
    <t>2.6.3</t>
  </si>
  <si>
    <t>2.7.1</t>
  </si>
  <si>
    <t>2.7.2</t>
  </si>
  <si>
    <t>2.7.3</t>
  </si>
  <si>
    <t>2.7.4</t>
  </si>
  <si>
    <t>2.7.5</t>
  </si>
  <si>
    <t>2.8.1</t>
  </si>
  <si>
    <t>2.8.2</t>
  </si>
  <si>
    <t>2.12</t>
  </si>
  <si>
    <t>2.12.1</t>
  </si>
  <si>
    <t>2.12.2</t>
  </si>
  <si>
    <t>2.12.3</t>
  </si>
  <si>
    <t>2.12.4</t>
  </si>
  <si>
    <t>2.12.5</t>
  </si>
  <si>
    <t>2.12.6</t>
  </si>
  <si>
    <t>2.12.7</t>
  </si>
  <si>
    <t>2.12.8</t>
  </si>
  <si>
    <t>2.13.1</t>
  </si>
  <si>
    <t>2.13.2</t>
  </si>
  <si>
    <t>2.14</t>
  </si>
  <si>
    <t>2.15</t>
  </si>
  <si>
    <t>2.16</t>
  </si>
  <si>
    <t>2.17</t>
  </si>
  <si>
    <t>2.17.1</t>
  </si>
  <si>
    <t>2.17.2</t>
  </si>
  <si>
    <t>2.17.3</t>
  </si>
  <si>
    <t>2.18</t>
  </si>
  <si>
    <t>Индексы цен на прочую продукцию (затраты, услуги) инвестиционного назначения с 2017 г. (процент)</t>
  </si>
  <si>
    <t>К предыдущему месяцу</t>
  </si>
  <si>
    <t>2024</t>
  </si>
  <si>
    <t>Российская Федерация</t>
  </si>
  <si>
    <t xml:space="preserve">    СТРОИТЕЛЬСТВО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</si>
  <si>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</si>
  <si>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</si>
  <si>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</si>
  <si>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</si>
  <si>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</si>
  <si>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</si>
  <si>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</si>
  <si>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</si>
  <si>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</si>
  <si>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</si>
  <si>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</si>
  <si>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</si>
  <si>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2025</t>
  </si>
  <si>
    <t>В виде коэффициента</t>
  </si>
  <si>
    <t>Расчет индекса фактической инфляции по данным Росстата</t>
  </si>
  <si>
    <t>Расчет прогнозных индексов на период выполнения работ</t>
  </si>
  <si>
    <t>1. Рабочая документация:</t>
  </si>
  <si>
    <t>2. ГРО:</t>
  </si>
  <si>
    <t>3. Строительство:</t>
  </si>
  <si>
    <t>Ведомость объемов конструктивных решений (элементов) и комплексов (видов) работ</t>
  </si>
  <si>
    <t>(наименование объекта)</t>
  </si>
  <si>
    <t>Номера сметных расчетов (смет) и позиций в сметных расчетах (сметах), относящиеся к соответствующим конструктивным решениям (элементам), комплексам (видам) работ</t>
  </si>
  <si>
    <t>РАСЧЕТ НАЧАЛЬНОЙ МАКСИМАЛЬНОЙ ЦЕНЫ ДОГОВОРА</t>
  </si>
  <si>
    <t>на выполнение подрядных работ по строительству объекта:</t>
  </si>
  <si>
    <t xml:space="preserve">Продолжительность работ </t>
  </si>
  <si>
    <t xml:space="preserve">Начало работ - </t>
  </si>
  <si>
    <t xml:space="preserve">Окончание работ - </t>
  </si>
  <si>
    <t>№ п.п.</t>
  </si>
  <si>
    <t>Перечень видов работ</t>
  </si>
  <si>
    <t xml:space="preserve"> Стоимость в прогнозных   ценах, руб.</t>
  </si>
  <si>
    <t>без учета НДС</t>
  </si>
  <si>
    <t>НДС-20 %</t>
  </si>
  <si>
    <t>с учетом НДС</t>
  </si>
  <si>
    <t xml:space="preserve">Разработка рабочей документации </t>
  </si>
  <si>
    <t>Строительство (строительно-монтажные работы, оборудование, прочие затраты)</t>
  </si>
  <si>
    <t>ВСЕГО</t>
  </si>
  <si>
    <t>Татаринова Е.А.</t>
  </si>
  <si>
    <t>Заместитель директора департамента по ценообразованию и сметному регулированию Департамента развития инфраструктуры</t>
  </si>
  <si>
    <t>Протокол</t>
  </si>
  <si>
    <t>начальной (максимальной) цены контракта</t>
  </si>
  <si>
    <t xml:space="preserve">Начальная (максимальная ) цена контракта составляет </t>
  </si>
  <si>
    <t>руб. с учетом НДС</t>
  </si>
  <si>
    <t>Начальная (максимальная ) цена контракта включает в себя расходы:</t>
  </si>
  <si>
    <t>1.</t>
  </si>
  <si>
    <t>Разработка рабочей документации;</t>
  </si>
  <si>
    <t>2.</t>
  </si>
  <si>
    <t>3.</t>
  </si>
  <si>
    <t>Затраты на оплату труда рабочих-строителей и рабочих, обслуживающих строительные машины и механизмы;</t>
  </si>
  <si>
    <t>4.</t>
  </si>
  <si>
    <t>Затраты на эксплуатацию машин и механизмов;</t>
  </si>
  <si>
    <t>5.</t>
  </si>
  <si>
    <t>Затраты на приобретение материалов, изделий и конструкций;</t>
  </si>
  <si>
    <t>6.</t>
  </si>
  <si>
    <t>Затраты на приобретение оборудования, включая заготовительно-складские расходы;</t>
  </si>
  <si>
    <t>7.</t>
  </si>
  <si>
    <t>Накладные расходы;</t>
  </si>
  <si>
    <t>8.</t>
  </si>
  <si>
    <t>Сметную прибыль;</t>
  </si>
  <si>
    <t>9.</t>
  </si>
  <si>
    <t>Затраты на строительство временных зданий и сооружений (ВЗИС) с учетом возврата от разборки ВЗИС в размере 15 %
от суммы затрат на их возведение;</t>
  </si>
  <si>
    <t>10.</t>
  </si>
  <si>
    <t>Затраты на зимнее удорожание;</t>
  </si>
  <si>
    <t>11.</t>
  </si>
  <si>
    <t>Пусконаладочные работы;</t>
  </si>
  <si>
    <t>12.</t>
  </si>
  <si>
    <t>Плату за выбросы в атмосферный воздух;</t>
  </si>
  <si>
    <t>13.</t>
  </si>
  <si>
    <t>Плату за негативное воздействие при размещении отходов;</t>
  </si>
  <si>
    <t>14.</t>
  </si>
  <si>
    <t>Затраты на экологический контроль (мониторинг);</t>
  </si>
  <si>
    <t>15.</t>
  </si>
  <si>
    <t>16.</t>
  </si>
  <si>
    <t>Резерв средств на непредвиденные работы и затраты;</t>
  </si>
  <si>
    <t>17.</t>
  </si>
  <si>
    <t>20.</t>
  </si>
  <si>
    <t>Индекс прогнозной инфляции для пересчета из уровня цен на дату определения НМЦК в уровень цен соответствующего периода реализации проекта;</t>
  </si>
  <si>
    <t>21.</t>
  </si>
  <si>
    <t>Налог на добавленную стоимость в размере 20%.</t>
  </si>
  <si>
    <t>Приложение:</t>
  </si>
  <si>
    <t>Расчет начальной (максимальной) цены контракта.</t>
  </si>
  <si>
    <t xml:space="preserve"> Затраты на перевозку работников Грозный-с. Итум-Кали- Грозный (туда и обратно);</t>
  </si>
  <si>
    <t>Затраты по разбивке основных осей зданий и сооружений;</t>
  </si>
  <si>
    <t>Затраты на перевозку работников к месту монтажных работ  и обратно;</t>
  </si>
  <si>
    <t xml:space="preserve">Затраты на оплату проживания и суточные рабочих (затраты на оплату проживания и суточные ИТР учтены в составе НР);  </t>
  </si>
  <si>
    <r>
      <t>Индекс фактической инфляции от цен утвержденной сметной документации</t>
    </r>
    <r>
      <rPr>
        <sz val="12"/>
        <color rgb="FFFF0000"/>
        <rFont val="Times New Roman"/>
        <family val="1"/>
        <charset val="204"/>
      </rPr>
      <t xml:space="preserve"> (2 квартал 2025 г.)</t>
    </r>
    <r>
      <rPr>
        <sz val="12"/>
        <rFont val="Times New Roman"/>
        <family val="1"/>
        <charset val="204"/>
      </rPr>
      <t xml:space="preserve"> до цен на дату формирования НМЦК;</t>
    </r>
  </si>
  <si>
    <t>18.</t>
  </si>
  <si>
    <t>19.</t>
  </si>
  <si>
    <t>ПОЯСНИТЕЛЬНАЯ ЗАПИСКА</t>
  </si>
  <si>
    <t>К РАСЧЕТУ НАЧАЛЬНОЙ МАКСИМАЛЬНОЙ ЦЕНЫ ДОГОВОРА</t>
  </si>
  <si>
    <t xml:space="preserve">Начальная максимальная цена договора (далее - НМЦД) определена в соответствии с требованием Федерального Закона  от 05.04.2013 г. № 44 "О контрактной системе в сфере закупок товаров, работ, услуг для обеспечения государственных и муниципальных нужд", Порядком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планирования), утвержденным приказом Министерства строительства и жилищно-коммунального хозяйства Российской Федерации от 23 декабря 2019 г. № 841/пр. </t>
  </si>
  <si>
    <t>Расчет стоимости строительства выполнен проектно- сметным методом.</t>
  </si>
  <si>
    <t>Цена работ учитывает все затраты Подрядчика, включая стоимость проектных работ стадии "Рабочая документация", стоимость приобретения материалов и оборудования, заготовительно-складские расходы, стоимость строительно-монтажных работ и прочих затрат согласно перечню затрат, учтенному сводным сметным расчетом стоимости строительства, накладных расходов, сметной прибыли.</t>
  </si>
  <si>
    <t>Описание метода расчета стоимости проектных работ и строительства</t>
  </si>
  <si>
    <t>Налог на добавленную стоимость - 20 %</t>
  </si>
  <si>
    <t>Итоговая начальная максимальная цена  работ  составляет:</t>
  </si>
  <si>
    <t>рублей с учетом НДС</t>
  </si>
  <si>
    <t>Для расчета цены строительства  использован сводный сметный расчет, локальные сметные расчеты и расчеты прочих затрат в ценах 2 квартала 2025 года, получившие положительное заключение ФАУ "Главгосэкспертиза России" от 09.10.2025 № 20-1-1-3-060332-2025</t>
  </si>
  <si>
    <t>В расчете учтены затраты на временные здания и сооружения в размере 3,1% от суммы строительно-монтажных работ, зимнее удорожание в размере 0,5% от суммы строительно-монтажных работ, непредвиденные затраты в размере согласно сводному сметному расчету 2 %  от итоговой суммы затрат по смете контракта  и возврат от разборки временных зданий и сооружений в размере 15% от суммы затрат на их возведение.</t>
  </si>
  <si>
    <t xml:space="preserve">Индекс фактической инфляции для пересчета сметной стоимости из уровня цен утверждения проектной документации в уровень цен на дату определения НМЦК определен с применением официальной статистической информации об индексах цен на продукцию (затраты, услуги) инвестиционного назначения по видам экономической деятельности (строительство), публикуемой Федеральной службой государственной статистики для соответствующего периода в целом по Российской Федерации. </t>
  </si>
  <si>
    <t>Индексы прогнозной инфляции для пересчета из уровня цен на дату определения НМЦК в уровень цен соответствующего периода реализации проекта определены с применением индексов-дефляторов Министерства экономического развития Российской Федерации по строке "Инвестиции в основной капитал (капитальные вложения) согласно письму от 30 сентября 2025 г. N 37099-ПК/Д03и .</t>
  </si>
  <si>
    <t>1. Приказ об утверждении проектной документации, включая сводный сметный расчет стоимости строительства от 14. 10.2025 №ПР-25-296</t>
  </si>
  <si>
    <t>Наружные сети водоснабжения. (Строительно-монтажные работы и оборудование)</t>
  </si>
  <si>
    <t>октябрь*</t>
  </si>
  <si>
    <t>* принят равным последнему опубликованному индексу</t>
  </si>
  <si>
    <t>Дата формирования НМЦК</t>
  </si>
  <si>
    <r>
      <t>Индекс фактической инфляции от уровня цен в сметной документации  2 кв. 2025 г. (01.07.2025) к дате формирования НМЦК (</t>
    </r>
    <r>
      <rPr>
        <b/>
        <sz val="12"/>
        <color theme="1"/>
        <rFont val="Times New Roman"/>
        <family val="1"/>
        <charset val="204"/>
      </rPr>
      <t>01.11.2025</t>
    </r>
    <r>
      <rPr>
        <sz val="12"/>
        <color theme="1"/>
        <rFont val="Times New Roman"/>
        <family val="1"/>
        <charset val="204"/>
      </rPr>
      <t>)</t>
    </r>
  </si>
  <si>
    <t>конец текущего года</t>
  </si>
  <si>
    <t>Продолжительность выполнения работ, мес.</t>
  </si>
  <si>
    <t>Начало работ</t>
  </si>
  <si>
    <t>начало следующего года</t>
  </si>
  <si>
    <t>Окончание работ</t>
  </si>
  <si>
    <t>Индекс Минэкономразвития РФ на 2025 г.  (Письмо Минэкономразвития России от 30.09.2025 г. N 37099-ПК/Д03и)</t>
  </si>
  <si>
    <t>ежемесячный прогнозный индекс на 2025 год</t>
  </si>
  <si>
    <t>^(1/12)</t>
  </si>
  <si>
    <t>Индекс Минэкономразвития РФ на 2026 г.  (Письмо Минэкономразвития России от 30.09.2025 г. N 37099-ПК/Д03и)</t>
  </si>
  <si>
    <t>ежемесячный прогнозный индекс на 2026 год</t>
  </si>
  <si>
    <t>Индекс прогнозной инфляции</t>
  </si>
  <si>
    <t>окончание первого года</t>
  </si>
  <si>
    <t>окончание второго года</t>
  </si>
  <si>
    <t>начало третьего года</t>
  </si>
  <si>
    <t>Доля сметной стоимости, подлежащая выполнению подрядчиком в 2026 году</t>
  </si>
  <si>
    <t>Доля сметной стоимости, подлежащая выполнению подрядчиком в 2027 году</t>
  </si>
  <si>
    <t>Индекс Минэкономразвития РФ на 2027 г.  (Письмо Минэкономразвития России от 30.09.2025 г. N 37099-ПК/Д03и)</t>
  </si>
  <si>
    <t>ежемесячный прогнозный индекс на 2027 год</t>
  </si>
  <si>
    <t>К на 2026 =</t>
  </si>
  <si>
    <t>К на 2027 =</t>
  </si>
  <si>
    <t>Смета Договора</t>
  </si>
  <si>
    <t>Цена, руб</t>
  </si>
  <si>
    <t>Всего</t>
  </si>
  <si>
    <t>на единицу измерения</t>
  </si>
  <si>
    <t>В расчете не учтены следующие пункты смет, относящиеся к немонтируемому оборудованию и его подключению ЛСР № 02-01-07: п.48-51, 68; ЛС 02-01-11: п. 1,6,7,10,13-16,19-22,25-30,32-37,40-43,44-45,46-48,49,52-67,70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</si>
</sst>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####"/>
    <numFmt numFmtId="165" formatCode="0.0000"/>
    <numFmt numFmtId="166" formatCode="#,##0.0000"/>
    <numFmt numFmtId="167" formatCode="0.0"/>
    <numFmt numFmtId="168" formatCode="0.00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18"/>
      <name val="Arial"/>
      <family val="2"/>
      <charset val="204"/>
    </font>
    <font>
      <i/>
      <sz val="12"/>
      <color rgb="FFFF0000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b/>
      <i/>
      <u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24" fillId="0" borderId="0"/>
    <xf numFmtId="0" fontId="28" fillId="0" borderId="0"/>
    <xf numFmtId="0" fontId="31" fillId="0" borderId="0"/>
    <xf numFmtId="0" fontId="24" fillId="0" borderId="0"/>
    <xf numFmtId="0" fontId="35" fillId="0" borderId="0"/>
    <xf numFmtId="0" fontId="1" fillId="0" borderId="0"/>
    <xf numFmtId="0" fontId="3" fillId="0" borderId="0"/>
    <xf numFmtId="0" fontId="35" fillId="0" borderId="0"/>
    <xf numFmtId="0" fontId="33" fillId="0" borderId="0"/>
    <xf numFmtId="43" fontId="3" fillId="0" borderId="0" applyFont="0" applyFill="0" applyBorder="0" applyAlignment="0" applyProtection="0"/>
  </cellStyleXfs>
  <cellXfs count="335">
    <xf numFmtId="0" fontId="0" fillId="0" borderId="0" xfId="0"/>
    <xf numFmtId="0" fontId="5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6" fillId="3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top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4" fontId="13" fillId="0" borderId="2" xfId="0" applyNumberFormat="1" applyFont="1" applyFill="1" applyBorder="1" applyAlignment="1" applyProtection="1">
      <alignment horizontal="center" vertical="center"/>
    </xf>
    <xf numFmtId="4" fontId="13" fillId="0" borderId="2" xfId="0" applyNumberFormat="1" applyFont="1" applyFill="1" applyBorder="1" applyAlignment="1" applyProtection="1">
      <alignment horizontal="center" vertical="center" wrapText="1"/>
    </xf>
    <xf numFmtId="4" fontId="13" fillId="5" borderId="2" xfId="0" applyNumberFormat="1" applyFont="1" applyFill="1" applyBorder="1" applyAlignment="1" applyProtection="1">
      <alignment horizontal="center" vertical="center" wrapText="1"/>
    </xf>
    <xf numFmtId="10" fontId="13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/>
    </xf>
    <xf numFmtId="0" fontId="14" fillId="0" borderId="12" xfId="0" applyNumberFormat="1" applyFont="1" applyFill="1" applyBorder="1" applyAlignment="1" applyProtection="1">
      <alignment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wrapText="1"/>
    </xf>
    <xf numFmtId="0" fontId="21" fillId="0" borderId="0" xfId="0" applyNumberFormat="1" applyFont="1" applyFill="1" applyBorder="1" applyAlignment="1" applyProtection="1"/>
    <xf numFmtId="49" fontId="14" fillId="0" borderId="2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4" fontId="14" fillId="0" borderId="2" xfId="0" applyNumberFormat="1" applyFont="1" applyFill="1" applyBorder="1" applyAlignment="1" applyProtection="1">
      <alignment horizontal="right" vertical="top" wrapText="1"/>
    </xf>
    <xf numFmtId="0" fontId="22" fillId="0" borderId="2" xfId="0" applyNumberFormat="1" applyFont="1" applyFill="1" applyBorder="1" applyAlignment="1" applyProtection="1"/>
    <xf numFmtId="4" fontId="22" fillId="0" borderId="2" xfId="0" applyNumberFormat="1" applyFont="1" applyFill="1" applyBorder="1" applyAlignment="1" applyProtection="1">
      <alignment horizontal="right" vertical="top" wrapText="1"/>
    </xf>
    <xf numFmtId="4" fontId="22" fillId="0" borderId="2" xfId="0" applyNumberFormat="1" applyFont="1" applyFill="1" applyBorder="1" applyAlignment="1" applyProtection="1">
      <alignment horizontal="right" vertical="top"/>
    </xf>
    <xf numFmtId="0" fontId="22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4" fontId="21" fillId="0" borderId="0" xfId="0" applyNumberFormat="1" applyFont="1" applyFill="1" applyBorder="1" applyAlignment="1" applyProtection="1"/>
    <xf numFmtId="0" fontId="22" fillId="0" borderId="2" xfId="0" applyNumberFormat="1" applyFont="1" applyFill="1" applyBorder="1" applyAlignment="1" applyProtection="1">
      <alignment horizontal="right" vertical="top" wrapText="1"/>
    </xf>
    <xf numFmtId="0" fontId="14" fillId="0" borderId="2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 vertical="top"/>
    </xf>
    <xf numFmtId="0" fontId="15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5" fillId="0" borderId="10" xfId="0" applyNumberFormat="1" applyFont="1" applyFill="1" applyBorder="1" applyAlignment="1" applyProtection="1">
      <alignment horizontal="left" vertical="top"/>
    </xf>
    <xf numFmtId="4" fontId="4" fillId="2" borderId="2" xfId="1" applyNumberFormat="1" applyFont="1" applyBorder="1" applyAlignment="1" applyProtection="1">
      <alignment horizontal="center" vertical="center" wrapText="1"/>
    </xf>
    <xf numFmtId="3" fontId="4" fillId="2" borderId="2" xfId="1" applyNumberFormat="1" applyFont="1" applyBorder="1" applyAlignment="1" applyProtection="1">
      <alignment horizontal="center" vertical="center" wrapText="1"/>
    </xf>
    <xf numFmtId="10" fontId="4" fillId="2" borderId="2" xfId="1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4" fontId="6" fillId="5" borderId="2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5" borderId="2" xfId="0" applyNumberFormat="1" applyFont="1" applyFill="1" applyBorder="1" applyAlignment="1" applyProtection="1">
      <alignment horizontal="center" vertical="center"/>
    </xf>
    <xf numFmtId="4" fontId="9" fillId="0" borderId="2" xfId="0" applyNumberFormat="1" applyFont="1" applyFill="1" applyBorder="1" applyAlignment="1" applyProtection="1">
      <alignment horizontal="center" vertical="center"/>
    </xf>
    <xf numFmtId="4" fontId="9" fillId="0" borderId="2" xfId="0" applyNumberFormat="1" applyFont="1" applyFill="1" applyBorder="1" applyAlignment="1" applyProtection="1">
      <alignment horizontal="center" vertical="center" wrapText="1"/>
    </xf>
    <xf numFmtId="10" fontId="9" fillId="0" borderId="2" xfId="0" applyNumberFormat="1" applyFont="1" applyFill="1" applyBorder="1" applyAlignment="1" applyProtection="1">
      <alignment horizontal="center" vertical="center" wrapText="1"/>
    </xf>
    <xf numFmtId="0" fontId="4" fillId="4" borderId="2" xfId="0" applyNumberFormat="1" applyFont="1" applyFill="1" applyBorder="1" applyAlignment="1" applyProtection="1">
      <alignment vertical="center"/>
    </xf>
    <xf numFmtId="0" fontId="6" fillId="2" borderId="2" xfId="1" applyNumberFormat="1" applyFont="1" applyBorder="1" applyAlignment="1" applyProtection="1">
      <alignment horizontal="center" vertical="center" wrapText="1"/>
    </xf>
    <xf numFmtId="0" fontId="4" fillId="2" borderId="2" xfId="1" applyNumberFormat="1" applyFont="1" applyBorder="1" applyAlignment="1" applyProtection="1">
      <alignment horizontal="center" vertical="center" wrapText="1"/>
    </xf>
    <xf numFmtId="0" fontId="4" fillId="2" borderId="2" xfId="1" applyNumberFormat="1" applyFont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4" fillId="4" borderId="2" xfId="0" applyNumberFormat="1" applyFont="1" applyFill="1" applyBorder="1" applyAlignment="1" applyProtection="1">
      <alignment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top" wrapText="1"/>
    </xf>
    <xf numFmtId="49" fontId="4" fillId="4" borderId="2" xfId="0" applyNumberFormat="1" applyFont="1" applyFill="1" applyBorder="1" applyAlignment="1" applyProtection="1">
      <alignment vertical="center"/>
    </xf>
    <xf numFmtId="4" fontId="4" fillId="4" borderId="2" xfId="0" applyNumberFormat="1" applyFont="1" applyFill="1" applyBorder="1" applyAlignment="1" applyProtection="1">
      <alignment horizontal="center" vertical="center"/>
    </xf>
    <xf numFmtId="0" fontId="26" fillId="6" borderId="13" xfId="0" applyFont="1" applyFill="1" applyBorder="1" applyAlignment="1">
      <alignment horizontal="left" vertical="top" wrapText="1"/>
    </xf>
    <xf numFmtId="164" fontId="0" fillId="0" borderId="0" xfId="0" applyNumberFormat="1" applyAlignment="1">
      <alignment horizontal="right" vertical="top"/>
    </xf>
    <xf numFmtId="0" fontId="10" fillId="0" borderId="0" xfId="0" applyFont="1"/>
    <xf numFmtId="14" fontId="10" fillId="0" borderId="0" xfId="0" applyNumberFormat="1" applyFont="1"/>
    <xf numFmtId="166" fontId="6" fillId="0" borderId="2" xfId="0" applyNumberFormat="1" applyFont="1" applyFill="1" applyBorder="1" applyAlignment="1" applyProtection="1">
      <alignment horizontal="center" vertical="center" wrapText="1"/>
    </xf>
    <xf numFmtId="166" fontId="7" fillId="0" borderId="2" xfId="0" applyNumberFormat="1" applyFont="1" applyFill="1" applyBorder="1" applyAlignment="1" applyProtection="1">
      <alignment horizontal="center" vertical="center" wrapText="1"/>
    </xf>
    <xf numFmtId="166" fontId="13" fillId="0" borderId="2" xfId="0" applyNumberFormat="1" applyFont="1" applyFill="1" applyBorder="1" applyAlignment="1" applyProtection="1">
      <alignment horizontal="center" vertical="center" wrapText="1"/>
    </xf>
    <xf numFmtId="166" fontId="27" fillId="0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wrapText="1"/>
    </xf>
    <xf numFmtId="0" fontId="5" fillId="4" borderId="1" xfId="0" applyNumberFormat="1" applyFont="1" applyFill="1" applyBorder="1" applyAlignment="1" applyProtection="1">
      <alignment horizontal="center" wrapText="1"/>
    </xf>
    <xf numFmtId="0" fontId="5" fillId="5" borderId="1" xfId="0" applyNumberFormat="1" applyFont="1" applyFill="1" applyBorder="1" applyAlignment="1" applyProtection="1">
      <alignment horizontal="center" wrapText="1"/>
    </xf>
    <xf numFmtId="0" fontId="6" fillId="4" borderId="1" xfId="0" applyNumberFormat="1" applyFont="1" applyFill="1" applyBorder="1" applyAlignment="1" applyProtection="1">
      <alignment horizontal="center" wrapText="1"/>
    </xf>
    <xf numFmtId="0" fontId="5" fillId="4" borderId="0" xfId="0" applyNumberFormat="1" applyFont="1" applyFill="1" applyBorder="1" applyAlignment="1" applyProtection="1">
      <alignment horizontal="center"/>
    </xf>
    <xf numFmtId="0" fontId="11" fillId="0" borderId="0" xfId="0" applyFont="1"/>
    <xf numFmtId="0" fontId="28" fillId="0" borderId="0" xfId="4"/>
    <xf numFmtId="0" fontId="30" fillId="0" borderId="0" xfId="4" applyFont="1"/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center" vertical="center" wrapText="1"/>
    </xf>
    <xf numFmtId="165" fontId="4" fillId="0" borderId="0" xfId="3" applyNumberFormat="1" applyFont="1" applyFill="1" applyBorder="1" applyAlignment="1">
      <alignment horizontal="right" vertical="center"/>
    </xf>
    <xf numFmtId="0" fontId="6" fillId="0" borderId="0" xfId="3" applyFont="1" applyFill="1"/>
    <xf numFmtId="165" fontId="6" fillId="0" borderId="0" xfId="3" applyNumberFormat="1" applyFont="1" applyFill="1"/>
    <xf numFmtId="0" fontId="30" fillId="0" borderId="0" xfId="4" applyFont="1" applyFill="1"/>
    <xf numFmtId="0" fontId="10" fillId="0" borderId="0" xfId="3" applyFont="1" applyBorder="1" applyAlignment="1">
      <alignment horizontal="center" vertical="center"/>
    </xf>
    <xf numFmtId="0" fontId="6" fillId="0" borderId="0" xfId="4" applyFont="1"/>
    <xf numFmtId="0" fontId="32" fillId="0" borderId="0" xfId="4" applyFont="1"/>
    <xf numFmtId="165" fontId="28" fillId="0" borderId="0" xfId="4" applyNumberFormat="1"/>
    <xf numFmtId="4" fontId="5" fillId="0" borderId="0" xfId="0" applyNumberFormat="1" applyFont="1" applyFill="1" applyBorder="1" applyAlignment="1" applyProtection="1">
      <alignment wrapText="1"/>
    </xf>
    <xf numFmtId="4" fontId="12" fillId="0" borderId="0" xfId="0" applyNumberFormat="1" applyFont="1" applyFill="1" applyBorder="1" applyAlignment="1" applyProtection="1">
      <alignment vertical="center"/>
    </xf>
    <xf numFmtId="0" fontId="5" fillId="4" borderId="14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13" fillId="0" borderId="2" xfId="0" applyNumberFormat="1" applyFont="1" applyFill="1" applyBorder="1" applyAlignment="1" applyProtection="1">
      <alignment horizontal="center" vertical="top" wrapText="1"/>
    </xf>
    <xf numFmtId="0" fontId="13" fillId="0" borderId="2" xfId="3" applyFont="1" applyBorder="1" applyAlignment="1">
      <alignment horizontal="center" vertical="top" wrapText="1"/>
    </xf>
    <xf numFmtId="0" fontId="24" fillId="0" borderId="0" xfId="6"/>
    <xf numFmtId="0" fontId="11" fillId="0" borderId="0" xfId="6" applyFont="1" applyAlignment="1">
      <alignment horizontal="center" vertical="center" wrapText="1"/>
    </xf>
    <xf numFmtId="0" fontId="11" fillId="0" borderId="0" xfId="6" applyFont="1" applyAlignment="1">
      <alignment vertical="center"/>
    </xf>
    <xf numFmtId="0" fontId="34" fillId="0" borderId="0" xfId="6" applyFont="1" applyAlignment="1">
      <alignment vertical="center"/>
    </xf>
    <xf numFmtId="0" fontId="6" fillId="0" borderId="0" xfId="6" applyFont="1"/>
    <xf numFmtId="14" fontId="34" fillId="3" borderId="0" xfId="6" applyNumberFormat="1" applyFont="1" applyFill="1" applyAlignment="1">
      <alignment horizontal="center" vertical="center"/>
    </xf>
    <xf numFmtId="0" fontId="10" fillId="0" borderId="0" xfId="6" applyFont="1"/>
    <xf numFmtId="0" fontId="10" fillId="4" borderId="14" xfId="6" applyFont="1" applyFill="1" applyBorder="1" applyAlignment="1">
      <alignment horizontal="center" vertical="center" wrapText="1"/>
    </xf>
    <xf numFmtId="0" fontId="6" fillId="4" borderId="14" xfId="6" applyFont="1" applyFill="1" applyBorder="1" applyAlignment="1">
      <alignment horizontal="center"/>
    </xf>
    <xf numFmtId="49" fontId="10" fillId="0" borderId="14" xfId="7" applyNumberFormat="1" applyFont="1" applyBorder="1" applyAlignment="1">
      <alignment horizontal="center" vertical="center" wrapText="1"/>
    </xf>
    <xf numFmtId="0" fontId="10" fillId="0" borderId="14" xfId="7" applyFont="1" applyBorder="1" applyAlignment="1">
      <alignment horizontal="left" vertical="center" wrapText="1"/>
    </xf>
    <xf numFmtId="4" fontId="10" fillId="0" borderId="14" xfId="6" applyNumberFormat="1" applyFont="1" applyBorder="1" applyAlignment="1">
      <alignment horizontal="center" vertical="center" wrapText="1"/>
    </xf>
    <xf numFmtId="4" fontId="6" fillId="0" borderId="14" xfId="6" applyNumberFormat="1" applyFont="1" applyBorder="1" applyAlignment="1">
      <alignment horizontal="center" vertical="center"/>
    </xf>
    <xf numFmtId="0" fontId="36" fillId="0" borderId="0" xfId="6" applyFont="1"/>
    <xf numFmtId="49" fontId="10" fillId="0" borderId="14" xfId="6" applyNumberFormat="1" applyFont="1" applyBorder="1" applyAlignment="1">
      <alignment horizontal="center" vertical="center" wrapText="1"/>
    </xf>
    <xf numFmtId="0" fontId="10" fillId="0" borderId="14" xfId="6" applyFont="1" applyBorder="1" applyAlignment="1">
      <alignment horizontal="left" vertical="center" wrapText="1"/>
    </xf>
    <xf numFmtId="0" fontId="11" fillId="4" borderId="14" xfId="6" applyFont="1" applyFill="1" applyBorder="1" applyAlignment="1">
      <alignment vertical="center" wrapText="1"/>
    </xf>
    <xf numFmtId="4" fontId="11" fillId="4" borderId="14" xfId="6" applyNumberFormat="1" applyFont="1" applyFill="1" applyBorder="1" applyAlignment="1">
      <alignment horizontal="center" vertical="center" wrapText="1"/>
    </xf>
    <xf numFmtId="4" fontId="24" fillId="0" borderId="0" xfId="6" applyNumberFormat="1"/>
    <xf numFmtId="0" fontId="6" fillId="0" borderId="0" xfId="8" applyFont="1" applyAlignment="1">
      <alignment vertical="top" wrapText="1"/>
    </xf>
    <xf numFmtId="0" fontId="10" fillId="0" borderId="0" xfId="9" applyFont="1" applyAlignment="1">
      <alignment horizontal="center" vertical="center"/>
    </xf>
    <xf numFmtId="0" fontId="10" fillId="0" borderId="0" xfId="9" applyFont="1"/>
    <xf numFmtId="0" fontId="24" fillId="0" borderId="0" xfId="6" applyAlignment="1">
      <alignment horizontal="center"/>
    </xf>
    <xf numFmtId="167" fontId="34" fillId="0" borderId="0" xfId="6" applyNumberFormat="1" applyFont="1" applyAlignment="1">
      <alignment horizontal="center" vertical="center"/>
    </xf>
    <xf numFmtId="0" fontId="4" fillId="0" borderId="0" xfId="10" applyFont="1"/>
    <xf numFmtId="0" fontId="35" fillId="0" borderId="0" xfId="10"/>
    <xf numFmtId="0" fontId="3" fillId="0" borderId="0" xfId="9"/>
    <xf numFmtId="0" fontId="6" fillId="0" borderId="0" xfId="10" applyFont="1"/>
    <xf numFmtId="4" fontId="4" fillId="0" borderId="0" xfId="10" applyNumberFormat="1" applyFont="1" applyAlignment="1">
      <alignment horizontal="center" vertical="center" wrapText="1"/>
    </xf>
    <xf numFmtId="0" fontId="34" fillId="0" borderId="0" xfId="10" applyFont="1"/>
    <xf numFmtId="0" fontId="34" fillId="0" borderId="0" xfId="10" applyFont="1" applyAlignment="1">
      <alignment vertical="center" wrapText="1"/>
    </xf>
    <xf numFmtId="0" fontId="6" fillId="0" borderId="0" xfId="10" applyFont="1" applyAlignment="1">
      <alignment horizontal="center"/>
    </xf>
    <xf numFmtId="0" fontId="6" fillId="0" borderId="0" xfId="10" applyFont="1" applyAlignment="1">
      <alignment horizontal="center" vertical="center"/>
    </xf>
    <xf numFmtId="0" fontId="7" fillId="0" borderId="0" xfId="10" applyFont="1"/>
    <xf numFmtId="0" fontId="5" fillId="3" borderId="0" xfId="0" applyFont="1" applyFill="1" applyBorder="1" applyAlignment="1">
      <alignment horizontal="left" vertical="center" wrapText="1"/>
    </xf>
    <xf numFmtId="0" fontId="6" fillId="0" borderId="0" xfId="1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49" fontId="6" fillId="0" borderId="0" xfId="10" applyNumberFormat="1" applyFont="1"/>
    <xf numFmtId="0" fontId="6" fillId="0" borderId="0" xfId="8" applyFont="1"/>
    <xf numFmtId="0" fontId="5" fillId="3" borderId="0" xfId="11" applyFont="1" applyFill="1" applyAlignment="1">
      <alignment vertical="center" wrapText="1"/>
    </xf>
    <xf numFmtId="0" fontId="9" fillId="0" borderId="0" xfId="10" applyFont="1"/>
    <xf numFmtId="0" fontId="7" fillId="0" borderId="0" xfId="5" applyFont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10" fillId="0" borderId="0" xfId="6" applyFont="1" applyAlignment="1">
      <alignment vertical="center" wrapText="1"/>
    </xf>
    <xf numFmtId="0" fontId="11" fillId="0" borderId="0" xfId="6" applyFont="1" applyAlignment="1">
      <alignment wrapText="1"/>
    </xf>
    <xf numFmtId="0" fontId="4" fillId="0" borderId="0" xfId="6" applyFont="1" applyAlignment="1">
      <alignment vertical="center"/>
    </xf>
    <xf numFmtId="4" fontId="4" fillId="0" borderId="0" xfId="6" applyNumberFormat="1" applyFont="1" applyAlignment="1">
      <alignment horizontal="right" vertical="center"/>
    </xf>
    <xf numFmtId="0" fontId="10" fillId="0" borderId="0" xfId="9" applyFont="1" applyAlignment="1">
      <alignment vertical="center"/>
    </xf>
    <xf numFmtId="0" fontId="10" fillId="0" borderId="0" xfId="9" applyFont="1" applyAlignment="1">
      <alignment horizontal="right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14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6" fillId="6" borderId="13" xfId="0" applyFont="1" applyFill="1" applyBorder="1" applyAlignment="1">
      <alignment horizontal="left" vertical="top" wrapText="1"/>
    </xf>
    <xf numFmtId="164" fontId="0" fillId="5" borderId="0" xfId="0" applyNumberFormat="1" applyFill="1" applyAlignment="1">
      <alignment horizontal="right" vertical="top"/>
    </xf>
    <xf numFmtId="0" fontId="0" fillId="5" borderId="0" xfId="0" applyFill="1"/>
    <xf numFmtId="0" fontId="26" fillId="0" borderId="0" xfId="0" applyFont="1" applyFill="1" applyBorder="1" applyAlignment="1">
      <alignment horizontal="left" vertical="top" wrapText="1"/>
    </xf>
    <xf numFmtId="164" fontId="0" fillId="0" borderId="0" xfId="0" applyNumberFormat="1" applyFill="1" applyAlignment="1">
      <alignment horizontal="right" vertical="top"/>
    </xf>
    <xf numFmtId="0" fontId="0" fillId="0" borderId="0" xfId="0" applyFill="1"/>
    <xf numFmtId="0" fontId="26" fillId="0" borderId="0" xfId="0" applyFont="1" applyFill="1" applyBorder="1" applyAlignment="1">
      <alignment horizontal="left" vertical="top"/>
    </xf>
    <xf numFmtId="14" fontId="0" fillId="0" borderId="0" xfId="0" applyNumberFormat="1"/>
    <xf numFmtId="165" fontId="11" fillId="5" borderId="14" xfId="0" applyNumberFormat="1" applyFont="1" applyFill="1" applyBorder="1" applyAlignment="1">
      <alignment horizontal="center" vertical="center"/>
    </xf>
    <xf numFmtId="14" fontId="6" fillId="5" borderId="14" xfId="0" applyNumberFormat="1" applyFont="1" applyFill="1" applyBorder="1"/>
    <xf numFmtId="14" fontId="6" fillId="0" borderId="0" xfId="0" applyNumberFormat="1" applyFont="1"/>
    <xf numFmtId="0" fontId="6" fillId="0" borderId="0" xfId="0" applyFont="1"/>
    <xf numFmtId="167" fontId="6" fillId="0" borderId="14" xfId="0" applyNumberFormat="1" applyFont="1" applyBorder="1"/>
    <xf numFmtId="14" fontId="6" fillId="0" borderId="14" xfId="0" applyNumberFormat="1" applyFont="1" applyBorder="1"/>
    <xf numFmtId="10" fontId="6" fillId="0" borderId="14" xfId="0" applyNumberFormat="1" applyFont="1" applyBorder="1" applyAlignment="1">
      <alignment vertical="center"/>
    </xf>
    <xf numFmtId="10" fontId="6" fillId="7" borderId="18" xfId="0" applyNumberFormat="1" applyFont="1" applyFill="1" applyBorder="1" applyAlignment="1">
      <alignment vertical="center"/>
    </xf>
    <xf numFmtId="0" fontId="6" fillId="7" borderId="19" xfId="0" applyFont="1" applyFill="1" applyBorder="1" applyAlignment="1">
      <alignment vertical="center"/>
    </xf>
    <xf numFmtId="165" fontId="6" fillId="8" borderId="14" xfId="0" applyNumberFormat="1" applyFont="1" applyFill="1" applyBorder="1" applyAlignment="1">
      <alignment vertical="center"/>
    </xf>
    <xf numFmtId="165" fontId="4" fillId="9" borderId="14" xfId="0" applyNumberFormat="1" applyFont="1" applyFill="1" applyBorder="1"/>
    <xf numFmtId="165" fontId="6" fillId="0" borderId="0" xfId="0" applyNumberFormat="1" applyFont="1"/>
    <xf numFmtId="14" fontId="10" fillId="5" borderId="14" xfId="3" applyNumberFormat="1" applyFont="1" applyFill="1" applyBorder="1"/>
    <xf numFmtId="14" fontId="10" fillId="0" borderId="0" xfId="3" applyNumberFormat="1" applyFont="1"/>
    <xf numFmtId="0" fontId="10" fillId="0" borderId="0" xfId="3" applyFont="1"/>
    <xf numFmtId="167" fontId="10" fillId="0" borderId="14" xfId="3" applyNumberFormat="1" applyFont="1" applyBorder="1"/>
    <xf numFmtId="2" fontId="10" fillId="0" borderId="14" xfId="3" applyNumberFormat="1" applyFont="1" applyBorder="1"/>
    <xf numFmtId="10" fontId="6" fillId="3" borderId="14" xfId="0" applyNumberFormat="1" applyFont="1" applyFill="1" applyBorder="1"/>
    <xf numFmtId="165" fontId="6" fillId="8" borderId="14" xfId="0" applyNumberFormat="1" applyFont="1" applyFill="1" applyBorder="1"/>
    <xf numFmtId="0" fontId="6" fillId="7" borderId="14" xfId="3" applyFont="1" applyFill="1" applyBorder="1" applyAlignment="1">
      <alignment vertical="center"/>
    </xf>
    <xf numFmtId="168" fontId="10" fillId="0" borderId="0" xfId="3" applyNumberFormat="1" applyFont="1"/>
    <xf numFmtId="165" fontId="4" fillId="10" borderId="14" xfId="3" applyNumberFormat="1" applyFont="1" applyFill="1" applyBorder="1"/>
    <xf numFmtId="165" fontId="10" fillId="0" borderId="0" xfId="3" applyNumberFormat="1" applyFont="1"/>
    <xf numFmtId="165" fontId="10" fillId="5" borderId="14" xfId="3" applyNumberFormat="1" applyFont="1" applyFill="1" applyBorder="1"/>
    <xf numFmtId="0" fontId="6" fillId="4" borderId="22" xfId="0" applyNumberFormat="1" applyFont="1" applyFill="1" applyBorder="1" applyAlignment="1" applyProtection="1">
      <alignment horizontal="center" wrapText="1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13" fillId="0" borderId="2" xfId="0" applyNumberFormat="1" applyFont="1" applyFill="1" applyBorder="1" applyAlignment="1" applyProtection="1">
      <alignment horizontal="right" vertical="center" wrapText="1"/>
    </xf>
    <xf numFmtId="4" fontId="4" fillId="4" borderId="2" xfId="0" applyNumberFormat="1" applyFont="1" applyFill="1" applyBorder="1" applyAlignment="1" applyProtection="1">
      <alignment horizontal="right" vertical="center"/>
    </xf>
    <xf numFmtId="43" fontId="4" fillId="2" borderId="2" xfId="12" applyFont="1" applyFill="1" applyBorder="1" applyAlignment="1" applyProtection="1">
      <alignment horizontal="right" vertical="center" wrapText="1"/>
    </xf>
    <xf numFmtId="43" fontId="6" fillId="0" borderId="2" xfId="12" applyFont="1" applyFill="1" applyBorder="1" applyAlignment="1" applyProtection="1">
      <alignment horizontal="right" vertical="center" wrapText="1"/>
    </xf>
    <xf numFmtId="43" fontId="6" fillId="0" borderId="2" xfId="12" applyFont="1" applyFill="1" applyBorder="1" applyAlignment="1" applyProtection="1">
      <alignment horizontal="right" vertical="center"/>
    </xf>
    <xf numFmtId="43" fontId="13" fillId="0" borderId="2" xfId="12" applyFont="1" applyFill="1" applyBorder="1" applyAlignment="1" applyProtection="1">
      <alignment horizontal="right" vertical="center" wrapText="1"/>
    </xf>
    <xf numFmtId="43" fontId="13" fillId="0" borderId="2" xfId="12" applyFont="1" applyFill="1" applyBorder="1" applyAlignment="1" applyProtection="1">
      <alignment horizontal="right" vertical="center"/>
    </xf>
    <xf numFmtId="43" fontId="4" fillId="4" borderId="2" xfId="12" applyFont="1" applyFill="1" applyBorder="1" applyAlignment="1" applyProtection="1">
      <alignment horizontal="right" vertical="center"/>
    </xf>
    <xf numFmtId="0" fontId="10" fillId="0" borderId="0" xfId="9" applyFont="1" applyAlignment="1">
      <alignment horizontal="center" vertical="center"/>
    </xf>
    <xf numFmtId="0" fontId="7" fillId="0" borderId="0" xfId="3" applyFont="1"/>
    <xf numFmtId="0" fontId="6" fillId="0" borderId="0" xfId="6" applyFont="1" applyAlignment="1">
      <alignment horizontal="left" vertical="center" wrapText="1"/>
    </xf>
    <xf numFmtId="0" fontId="6" fillId="0" borderId="0" xfId="8" applyFont="1" applyAlignment="1">
      <alignment horizontal="left" vertical="top" wrapText="1"/>
    </xf>
    <xf numFmtId="0" fontId="4" fillId="0" borderId="0" xfId="6" applyFont="1" applyAlignment="1">
      <alignment horizontal="center" vertical="center" wrapText="1"/>
    </xf>
    <xf numFmtId="0" fontId="6" fillId="0" borderId="0" xfId="6" applyFont="1" applyAlignment="1">
      <alignment horizontal="left" vertical="top" wrapText="1"/>
    </xf>
    <xf numFmtId="49" fontId="6" fillId="0" borderId="0" xfId="6" applyNumberFormat="1" applyFont="1" applyAlignment="1">
      <alignment horizontal="left" vertical="center" wrapText="1"/>
    </xf>
    <xf numFmtId="0" fontId="4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6" fillId="0" borderId="0" xfId="10" applyFont="1" applyAlignment="1">
      <alignment horizontal="left" vertical="center" wrapText="1"/>
    </xf>
    <xf numFmtId="0" fontId="6" fillId="0" borderId="0" xfId="8" applyFont="1" applyAlignment="1">
      <alignment horizontal="left" vertical="center" wrapText="1"/>
    </xf>
    <xf numFmtId="0" fontId="10" fillId="0" borderId="0" xfId="9" applyFont="1" applyAlignment="1">
      <alignment horizontal="center" vertical="center"/>
    </xf>
    <xf numFmtId="0" fontId="9" fillId="0" borderId="0" xfId="10" applyFont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37" fillId="0" borderId="0" xfId="10" applyFont="1" applyAlignment="1">
      <alignment horizontal="left" vertical="center" wrapText="1"/>
    </xf>
    <xf numFmtId="0" fontId="4" fillId="0" borderId="0" xfId="10" applyFont="1" applyAlignment="1">
      <alignment horizontal="center"/>
    </xf>
    <xf numFmtId="0" fontId="4" fillId="0" borderId="0" xfId="10" applyFont="1" applyAlignment="1">
      <alignment horizontal="left" vertical="center" wrapText="1"/>
    </xf>
    <xf numFmtId="0" fontId="11" fillId="0" borderId="0" xfId="6" applyFont="1" applyAlignment="1">
      <alignment horizontal="center" vertical="center"/>
    </xf>
    <xf numFmtId="0" fontId="10" fillId="4" borderId="14" xfId="6" applyFont="1" applyFill="1" applyBorder="1" applyAlignment="1">
      <alignment horizontal="center" vertical="center" wrapText="1"/>
    </xf>
    <xf numFmtId="0" fontId="10" fillId="4" borderId="1" xfId="6" applyFont="1" applyFill="1" applyBorder="1" applyAlignment="1">
      <alignment horizontal="center" vertical="center" wrapText="1"/>
    </xf>
    <xf numFmtId="0" fontId="10" fillId="4" borderId="8" xfId="6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8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18" xfId="0" applyNumberFormat="1" applyFont="1" applyFill="1" applyBorder="1" applyAlignment="1" applyProtection="1">
      <alignment horizontal="center" vertical="center" wrapText="1"/>
    </xf>
    <xf numFmtId="0" fontId="5" fillId="4" borderId="1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5" fillId="4" borderId="9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5" fillId="4" borderId="1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9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3" borderId="0" xfId="2" applyFont="1" applyFill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5" fillId="0" borderId="0" xfId="0" applyFont="1"/>
    <xf numFmtId="0" fontId="0" fillId="0" borderId="0" xfId="0"/>
    <xf numFmtId="0" fontId="26" fillId="6" borderId="13" xfId="0" applyFont="1" applyFill="1" applyBorder="1" applyAlignment="1">
      <alignment horizontal="left" vertical="top" wrapText="1"/>
    </xf>
    <xf numFmtId="0" fontId="26" fillId="6" borderId="15" xfId="0" applyFont="1" applyFill="1" applyBorder="1" applyAlignment="1">
      <alignment horizontal="center" vertical="top" wrapText="1"/>
    </xf>
    <xf numFmtId="0" fontId="26" fillId="6" borderId="16" xfId="0" applyFont="1" applyFill="1" applyBorder="1" applyAlignment="1">
      <alignment horizontal="center" vertical="top" wrapText="1"/>
    </xf>
    <xf numFmtId="0" fontId="26" fillId="6" borderId="17" xfId="0" applyFont="1" applyFill="1" applyBorder="1" applyAlignment="1">
      <alignment horizontal="center" vertical="top" wrapText="1"/>
    </xf>
    <xf numFmtId="0" fontId="26" fillId="6" borderId="0" xfId="0" applyFont="1" applyFill="1" applyBorder="1" applyAlignment="1">
      <alignment horizontal="center" vertical="top" wrapText="1"/>
    </xf>
    <xf numFmtId="0" fontId="29" fillId="0" borderId="0" xfId="4" applyFont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4" xfId="0" applyFont="1" applyBorder="1" applyAlignment="1">
      <alignment horizontal="left" wrapText="1"/>
    </xf>
    <xf numFmtId="0" fontId="6" fillId="7" borderId="14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0" fillId="0" borderId="14" xfId="3" applyFont="1" applyBorder="1" applyAlignment="1">
      <alignment horizontal="center"/>
    </xf>
    <xf numFmtId="0" fontId="6" fillId="0" borderId="18" xfId="3" applyFont="1" applyBorder="1" applyAlignment="1">
      <alignment horizontal="center"/>
    </xf>
    <xf numFmtId="0" fontId="6" fillId="0" borderId="20" xfId="3" applyFont="1" applyBorder="1" applyAlignment="1">
      <alignment horizontal="center"/>
    </xf>
    <xf numFmtId="0" fontId="6" fillId="0" borderId="19" xfId="3" applyFont="1" applyBorder="1" applyAlignment="1">
      <alignment horizontal="center"/>
    </xf>
    <xf numFmtId="0" fontId="6" fillId="7" borderId="21" xfId="3" applyFont="1" applyFill="1" applyBorder="1" applyAlignment="1">
      <alignment horizontal="left" vertical="top"/>
    </xf>
    <xf numFmtId="0" fontId="6" fillId="7" borderId="10" xfId="3" applyFont="1" applyFill="1" applyBorder="1" applyAlignment="1">
      <alignment horizontal="left" vertical="top"/>
    </xf>
    <xf numFmtId="0" fontId="6" fillId="7" borderId="18" xfId="3" applyFont="1" applyFill="1" applyBorder="1" applyAlignment="1">
      <alignment horizontal="left" vertical="center" wrapText="1"/>
    </xf>
    <xf numFmtId="0" fontId="6" fillId="7" borderId="19" xfId="3" applyFont="1" applyFill="1" applyBorder="1" applyAlignment="1">
      <alignment horizontal="left" vertical="center" wrapText="1"/>
    </xf>
    <xf numFmtId="0" fontId="6" fillId="5" borderId="18" xfId="3" applyFont="1" applyFill="1" applyBorder="1" applyAlignment="1">
      <alignment horizontal="center" vertical="center" wrapText="1"/>
    </xf>
    <xf numFmtId="0" fontId="6" fillId="5" borderId="20" xfId="3" applyFont="1" applyFill="1" applyBorder="1" applyAlignment="1">
      <alignment horizontal="center" vertical="center" wrapText="1"/>
    </xf>
    <xf numFmtId="0" fontId="6" fillId="5" borderId="19" xfId="3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wrapText="1"/>
    </xf>
    <xf numFmtId="0" fontId="15" fillId="0" borderId="10" xfId="0" applyNumberFormat="1" applyFont="1" applyFill="1" applyBorder="1" applyAlignment="1" applyProtection="1">
      <alignment horizontal="left" wrapText="1"/>
    </xf>
    <xf numFmtId="0" fontId="16" fillId="0" borderId="11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6" fillId="0" borderId="11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0" fillId="0" borderId="5" xfId="0" applyNumberFormat="1" applyFont="1" applyFill="1" applyBorder="1" applyAlignment="1" applyProtection="1">
      <alignment horizontal="left" vertical="center" wrapText="1"/>
    </xf>
    <xf numFmtId="0" fontId="22" fillId="0" borderId="3" xfId="0" applyNumberFormat="1" applyFont="1" applyFill="1" applyBorder="1" applyAlignment="1" applyProtection="1">
      <alignment horizontal="right" vertical="top" wrapText="1"/>
    </xf>
    <xf numFmtId="0" fontId="22" fillId="0" borderId="5" xfId="0" applyNumberFormat="1" applyFont="1" applyFill="1" applyBorder="1" applyAlignment="1" applyProtection="1">
      <alignment horizontal="right" vertical="top" wrapText="1"/>
    </xf>
    <xf numFmtId="0" fontId="17" fillId="0" borderId="3" xfId="0" applyNumberFormat="1" applyFont="1" applyFill="1" applyBorder="1" applyAlignment="1" applyProtection="1">
      <alignment horizontal="right" vertical="top" wrapText="1"/>
    </xf>
    <xf numFmtId="0" fontId="17" fillId="0" borderId="5" xfId="0" applyNumberFormat="1" applyFont="1" applyFill="1" applyBorder="1" applyAlignment="1" applyProtection="1">
      <alignment horizontal="right" vertical="top" wrapText="1"/>
    </xf>
    <xf numFmtId="0" fontId="14" fillId="0" borderId="3" xfId="0" applyNumberFormat="1" applyFont="1" applyFill="1" applyBorder="1" applyAlignment="1" applyProtection="1">
      <alignment horizontal="right" indent="1"/>
    </xf>
    <xf numFmtId="0" fontId="14" fillId="0" borderId="5" xfId="0" applyNumberFormat="1" applyFont="1" applyFill="1" applyBorder="1" applyAlignment="1" applyProtection="1">
      <alignment horizontal="right" indent="1"/>
    </xf>
    <xf numFmtId="0" fontId="23" fillId="0" borderId="3" xfId="0" applyNumberFormat="1" applyFont="1" applyFill="1" applyBorder="1" applyAlignment="1" applyProtection="1">
      <alignment horizontal="right"/>
    </xf>
    <xf numFmtId="0" fontId="23" fillId="0" borderId="5" xfId="0" applyNumberFormat="1" applyFont="1" applyFill="1" applyBorder="1" applyAlignment="1" applyProtection="1">
      <alignment horizontal="right"/>
    </xf>
    <xf numFmtId="0" fontId="14" fillId="0" borderId="2" xfId="0" applyNumberFormat="1" applyFont="1" applyFill="1" applyBorder="1" applyAlignment="1" applyProtection="1">
      <alignment horizontal="right" indent="1"/>
    </xf>
    <xf numFmtId="0" fontId="15" fillId="0" borderId="10" xfId="0" applyNumberFormat="1" applyFont="1" applyFill="1" applyBorder="1" applyAlignment="1" applyProtection="1">
      <alignment horizontal="left" vertical="top" wrapText="1"/>
    </xf>
    <xf numFmtId="0" fontId="15" fillId="0" borderId="10" xfId="0" applyNumberFormat="1" applyFont="1" applyFill="1" applyBorder="1" applyAlignment="1" applyProtection="1">
      <alignment horizontal="right" vertical="top" wrapText="1"/>
    </xf>
    <xf numFmtId="49" fontId="15" fillId="0" borderId="0" xfId="0" applyNumberFormat="1" applyFont="1" applyFill="1" applyBorder="1" applyAlignment="1" applyProtection="1">
      <alignment horizontal="left" vertical="top" wrapText="1"/>
    </xf>
    <xf numFmtId="0" fontId="14" fillId="0" borderId="10" xfId="0" applyNumberFormat="1" applyFont="1" applyFill="1" applyBorder="1" applyAlignment="1" applyProtection="1">
      <alignment horizontal="left" vertical="top" wrapText="1"/>
    </xf>
    <xf numFmtId="4" fontId="13" fillId="11" borderId="2" xfId="0" applyNumberFormat="1" applyFont="1" applyFill="1" applyBorder="1" applyAlignment="1" applyProtection="1">
      <alignment horizontal="center" vertical="center" wrapText="1"/>
    </xf>
    <xf numFmtId="49" fontId="13" fillId="11" borderId="2" xfId="0" applyNumberFormat="1" applyFont="1" applyFill="1" applyBorder="1" applyAlignment="1" applyProtection="1">
      <alignment horizontal="left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</cellXfs>
  <cellStyles count="13">
    <cellStyle name="40% — акцент1" xfId="1" builtinId="31"/>
    <cellStyle name="Обычный" xfId="0" builtinId="0"/>
    <cellStyle name="Обычный 12" xfId="8"/>
    <cellStyle name="Обычный 2" xfId="3"/>
    <cellStyle name="Обычный 2 2" xfId="5"/>
    <cellStyle name="Обычный 2 2 2 2" xfId="4"/>
    <cellStyle name="Обычный 3 2 3" xfId="9"/>
    <cellStyle name="Обычный 3 3 2" xfId="2"/>
    <cellStyle name="Обычный 3 3 4" xfId="10"/>
    <cellStyle name="Обычный 4 3" xfId="7"/>
    <cellStyle name="Обычный 4 3 2" xfId="6"/>
    <cellStyle name="Обычный 6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tarinova\AppData\Roaming\Microsoft\AddIn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opLeftCell="A6" workbookViewId="0">
      <selection activeCell="B20" sqref="B20"/>
    </sheetView>
  </sheetViews>
  <sheetFormatPr defaultColWidth="9.140625" defaultRowHeight="36" customHeight="1" x14ac:dyDescent="0.25"/>
  <cols>
    <col min="1" max="1" width="22" style="120" customWidth="1"/>
    <col min="2" max="2" width="51.5703125" style="120" customWidth="1"/>
    <col min="3" max="3" width="65" style="120" customWidth="1"/>
    <col min="4" max="16384" width="9.140625" style="120"/>
  </cols>
  <sheetData>
    <row r="1" spans="1:13" ht="21.75" customHeight="1" x14ac:dyDescent="0.25">
      <c r="A1" s="228" t="s">
        <v>416</v>
      </c>
      <c r="B1" s="228"/>
      <c r="C1" s="228"/>
    </row>
    <row r="2" spans="1:13" ht="23.25" customHeight="1" x14ac:dyDescent="0.25">
      <c r="A2" s="228" t="s">
        <v>417</v>
      </c>
      <c r="B2" s="228"/>
      <c r="C2" s="228"/>
    </row>
    <row r="3" spans="1:13" ht="21" customHeight="1" x14ac:dyDescent="0.25">
      <c r="A3" s="229" t="s">
        <v>352</v>
      </c>
      <c r="B3" s="229"/>
      <c r="C3" s="229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ht="24.75" customHeight="1" x14ac:dyDescent="0.25">
      <c r="A4" s="230" t="s">
        <v>47</v>
      </c>
      <c r="B4" s="230"/>
      <c r="C4" s="230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ht="123.75" customHeight="1" x14ac:dyDescent="0.25">
      <c r="A5" s="223" t="s">
        <v>418</v>
      </c>
      <c r="B5" s="223"/>
      <c r="C5" s="223"/>
    </row>
    <row r="6" spans="1:13" ht="24" customHeight="1" x14ac:dyDescent="0.25">
      <c r="A6" s="223" t="s">
        <v>419</v>
      </c>
      <c r="B6" s="223"/>
      <c r="C6" s="223"/>
    </row>
    <row r="7" spans="1:13" ht="78" customHeight="1" x14ac:dyDescent="0.25">
      <c r="A7" s="223" t="s">
        <v>420</v>
      </c>
      <c r="B7" s="223"/>
      <c r="C7" s="223"/>
    </row>
    <row r="8" spans="1:13" ht="36" customHeight="1" x14ac:dyDescent="0.25">
      <c r="A8" s="225" t="s">
        <v>421</v>
      </c>
      <c r="B8" s="225"/>
      <c r="C8" s="225"/>
    </row>
    <row r="9" spans="1:13" ht="47.25" customHeight="1" x14ac:dyDescent="0.25">
      <c r="A9" s="226" t="s">
        <v>425</v>
      </c>
      <c r="B9" s="226"/>
      <c r="C9" s="226"/>
    </row>
    <row r="10" spans="1:13" ht="79.5" customHeight="1" x14ac:dyDescent="0.25">
      <c r="A10" s="227" t="s">
        <v>426</v>
      </c>
      <c r="B10" s="227"/>
      <c r="C10" s="227"/>
    </row>
    <row r="11" spans="1:13" ht="79.5" customHeight="1" x14ac:dyDescent="0.25">
      <c r="A11" s="223" t="s">
        <v>459</v>
      </c>
      <c r="B11" s="223"/>
      <c r="C11" s="223"/>
    </row>
    <row r="12" spans="1:13" ht="80.25" customHeight="1" x14ac:dyDescent="0.25">
      <c r="A12" s="227" t="s">
        <v>427</v>
      </c>
      <c r="B12" s="227"/>
      <c r="C12" s="227"/>
    </row>
    <row r="13" spans="1:13" ht="66" customHeight="1" x14ac:dyDescent="0.25">
      <c r="A13" s="223" t="s">
        <v>428</v>
      </c>
      <c r="B13" s="223"/>
      <c r="C13" s="223"/>
    </row>
    <row r="14" spans="1:13" ht="36" customHeight="1" x14ac:dyDescent="0.25">
      <c r="A14" s="223" t="s">
        <v>422</v>
      </c>
      <c r="B14" s="223"/>
      <c r="C14" s="223"/>
    </row>
    <row r="15" spans="1:13" ht="36" customHeight="1" x14ac:dyDescent="0.25">
      <c r="A15" s="168" t="s">
        <v>423</v>
      </c>
      <c r="B15" s="169"/>
      <c r="C15" s="168"/>
    </row>
    <row r="16" spans="1:13" ht="36" customHeight="1" x14ac:dyDescent="0.25">
      <c r="A16" s="168"/>
      <c r="B16" s="169">
        <f>НМЦ!E14</f>
        <v>360630370.83999997</v>
      </c>
      <c r="C16" s="168" t="s">
        <v>424</v>
      </c>
    </row>
    <row r="17" spans="1:10" ht="20.25" customHeight="1" x14ac:dyDescent="0.25">
      <c r="A17" s="124"/>
      <c r="B17" s="124"/>
      <c r="C17" s="124"/>
    </row>
    <row r="18" spans="1:10" ht="36" customHeight="1" x14ac:dyDescent="0.25">
      <c r="A18" s="224" t="s">
        <v>366</v>
      </c>
      <c r="B18" s="224"/>
      <c r="C18" s="171" t="s">
        <v>365</v>
      </c>
      <c r="D18" s="170"/>
      <c r="E18" s="170"/>
      <c r="F18" s="139"/>
      <c r="G18" s="139"/>
      <c r="H18" s="146"/>
      <c r="I18" s="159"/>
      <c r="J18" s="141"/>
    </row>
  </sheetData>
  <mergeCells count="15">
    <mergeCell ref="A6:C6"/>
    <mergeCell ref="A1:C1"/>
    <mergeCell ref="A2:C2"/>
    <mergeCell ref="A3:C3"/>
    <mergeCell ref="A4:C4"/>
    <mergeCell ref="A5:C5"/>
    <mergeCell ref="A14:C14"/>
    <mergeCell ref="A18:B18"/>
    <mergeCell ref="A7:C7"/>
    <mergeCell ref="A8:C8"/>
    <mergeCell ref="A9:C9"/>
    <mergeCell ref="A10:C10"/>
    <mergeCell ref="A12:C12"/>
    <mergeCell ref="A13:C13"/>
    <mergeCell ref="A11:C11"/>
  </mergeCells>
  <pageMargins left="0.7" right="0.7" top="0.75" bottom="0.75" header="0.3" footer="0.3"/>
  <pageSetup paperSize="9" scale="63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opLeftCell="A10" workbookViewId="0">
      <selection activeCell="B28" sqref="B28:M28"/>
    </sheetView>
  </sheetViews>
  <sheetFormatPr defaultColWidth="9.140625" defaultRowHeight="15" x14ac:dyDescent="0.25"/>
  <cols>
    <col min="1" max="1" width="4.140625" style="146" customWidth="1"/>
    <col min="2" max="6" width="9.140625" style="146"/>
    <col min="7" max="7" width="22.5703125" style="146" customWidth="1"/>
    <col min="8" max="20" width="9.140625" style="146"/>
    <col min="21" max="21" width="89.7109375" style="146" customWidth="1"/>
    <col min="22" max="16384" width="9.140625" style="146"/>
  </cols>
  <sheetData>
    <row r="1" spans="1:16" ht="15.75" x14ac:dyDescent="0.25">
      <c r="A1" s="237" t="s">
        <v>367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144"/>
      <c r="O1" s="144"/>
      <c r="P1" s="145"/>
    </row>
    <row r="2" spans="1:16" ht="15.75" x14ac:dyDescent="0.25">
      <c r="A2" s="237" t="s">
        <v>368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144"/>
      <c r="O2" s="144"/>
      <c r="P2" s="145"/>
    </row>
    <row r="3" spans="1:16" s="120" customFormat="1" ht="15.75" x14ac:dyDescent="0.25">
      <c r="A3" s="229" t="s">
        <v>352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1:16" s="120" customFormat="1" ht="36" customHeight="1" x14ac:dyDescent="0.25">
      <c r="A4" s="230" t="s">
        <v>47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</row>
    <row r="5" spans="1:16" ht="15.75" x14ac:dyDescent="0.2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5"/>
    </row>
    <row r="6" spans="1:16" ht="15.75" x14ac:dyDescent="0.25">
      <c r="A6" s="238" t="s">
        <v>369</v>
      </c>
      <c r="B6" s="238"/>
      <c r="C6" s="238"/>
      <c r="D6" s="238"/>
      <c r="E6" s="238"/>
      <c r="F6" s="238"/>
      <c r="G6" s="148">
        <f>НМЦ!E14</f>
        <v>360630370.83999997</v>
      </c>
      <c r="H6" s="144" t="s">
        <v>370</v>
      </c>
      <c r="I6" s="144"/>
      <c r="J6" s="144"/>
      <c r="K6" s="144"/>
      <c r="L6" s="149"/>
      <c r="M6" s="149"/>
      <c r="N6" s="149"/>
      <c r="O6" s="149"/>
      <c r="P6" s="145"/>
    </row>
    <row r="7" spans="1:16" ht="25.5" customHeight="1" x14ac:dyDescent="0.25">
      <c r="A7" s="236" t="str">
        <f>[1]!СуммаПрописью(G6)</f>
        <v>Триста шестьдесят миллионов шестьсот тридцать тысяч триста семьдесят рублей 84 копейки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150"/>
      <c r="O7" s="150"/>
      <c r="P7" s="145"/>
    </row>
    <row r="8" spans="1:16" ht="15.75" x14ac:dyDescent="0.25">
      <c r="A8" s="147" t="s">
        <v>371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5"/>
    </row>
    <row r="9" spans="1:16" ht="15.75" x14ac:dyDescent="0.25">
      <c r="A9" s="151" t="s">
        <v>372</v>
      </c>
      <c r="B9" s="147" t="s">
        <v>373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5"/>
    </row>
    <row r="10" spans="1:16" ht="15.75" x14ac:dyDescent="0.25">
      <c r="A10" s="151" t="s">
        <v>374</v>
      </c>
      <c r="B10" s="147" t="s">
        <v>410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5"/>
    </row>
    <row r="11" spans="1:16" ht="15.75" x14ac:dyDescent="0.25">
      <c r="A11" s="151" t="s">
        <v>375</v>
      </c>
      <c r="B11" s="147" t="s">
        <v>376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5"/>
    </row>
    <row r="12" spans="1:16" ht="15.75" x14ac:dyDescent="0.25">
      <c r="A12" s="151" t="s">
        <v>377</v>
      </c>
      <c r="B12" s="147" t="s">
        <v>378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5"/>
    </row>
    <row r="13" spans="1:16" ht="15.75" x14ac:dyDescent="0.25">
      <c r="A13" s="151" t="s">
        <v>379</v>
      </c>
      <c r="B13" s="147" t="s">
        <v>380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5"/>
    </row>
    <row r="14" spans="1:16" ht="15.75" x14ac:dyDescent="0.25">
      <c r="A14" s="151" t="s">
        <v>381</v>
      </c>
      <c r="B14" s="147" t="s">
        <v>382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5"/>
    </row>
    <row r="15" spans="1:16" ht="15.75" x14ac:dyDescent="0.25">
      <c r="A15" s="151" t="s">
        <v>383</v>
      </c>
      <c r="B15" s="147" t="s">
        <v>384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5"/>
    </row>
    <row r="16" spans="1:16" ht="15.75" x14ac:dyDescent="0.25">
      <c r="A16" s="151" t="s">
        <v>385</v>
      </c>
      <c r="B16" s="147" t="s">
        <v>386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5"/>
    </row>
    <row r="17" spans="1:21" ht="15.75" x14ac:dyDescent="0.25">
      <c r="A17" s="152" t="s">
        <v>387</v>
      </c>
      <c r="B17" s="231" t="s">
        <v>388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147"/>
      <c r="O17" s="147"/>
      <c r="P17" s="145"/>
      <c r="U17" s="164"/>
    </row>
    <row r="18" spans="1:21" ht="15.75" x14ac:dyDescent="0.25">
      <c r="A18" s="152" t="s">
        <v>389</v>
      </c>
      <c r="B18" s="231" t="s">
        <v>390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147"/>
      <c r="O18" s="147"/>
      <c r="P18" s="145"/>
      <c r="U18" s="164"/>
    </row>
    <row r="19" spans="1:21" ht="15.75" x14ac:dyDescent="0.25">
      <c r="A19" s="151" t="s">
        <v>391</v>
      </c>
      <c r="B19" s="147" t="s">
        <v>392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47"/>
      <c r="O19" s="147"/>
      <c r="P19" s="145"/>
      <c r="U19" s="164"/>
    </row>
    <row r="20" spans="1:21" ht="15.75" x14ac:dyDescent="0.25">
      <c r="A20" s="151" t="s">
        <v>393</v>
      </c>
      <c r="B20" s="235" t="s">
        <v>394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147"/>
      <c r="O20" s="147"/>
      <c r="P20" s="145"/>
      <c r="U20" s="164"/>
    </row>
    <row r="21" spans="1:21" ht="15.75" x14ac:dyDescent="0.25">
      <c r="A21" s="152" t="s">
        <v>395</v>
      </c>
      <c r="B21" s="235" t="s">
        <v>396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147"/>
      <c r="O21" s="147"/>
      <c r="P21" s="145"/>
      <c r="U21" s="165"/>
    </row>
    <row r="22" spans="1:21" ht="15.75" x14ac:dyDescent="0.25">
      <c r="A22" s="152" t="s">
        <v>397</v>
      </c>
      <c r="B22" s="235" t="s">
        <v>398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147"/>
      <c r="O22" s="147"/>
      <c r="P22" s="145"/>
      <c r="U22" s="165"/>
    </row>
    <row r="23" spans="1:21" ht="15.75" x14ac:dyDescent="0.25">
      <c r="A23" s="152" t="s">
        <v>399</v>
      </c>
      <c r="B23" s="235" t="s">
        <v>409</v>
      </c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147"/>
      <c r="O23" s="147"/>
      <c r="P23" s="145"/>
      <c r="U23" s="165"/>
    </row>
    <row r="24" spans="1:21" ht="24.75" customHeight="1" x14ac:dyDescent="0.25">
      <c r="A24" s="152" t="s">
        <v>400</v>
      </c>
      <c r="B24" s="235" t="s">
        <v>411</v>
      </c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147"/>
      <c r="O24" s="147"/>
      <c r="P24" s="145"/>
      <c r="U24" s="163"/>
    </row>
    <row r="25" spans="1:21" ht="25.5" customHeight="1" x14ac:dyDescent="0.25">
      <c r="A25" s="152" t="s">
        <v>402</v>
      </c>
      <c r="B25" s="235" t="s">
        <v>412</v>
      </c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147"/>
      <c r="O25" s="147"/>
      <c r="P25" s="145"/>
      <c r="U25" s="163"/>
    </row>
    <row r="26" spans="1:21" ht="15.75" x14ac:dyDescent="0.25">
      <c r="A26" s="151" t="s">
        <v>414</v>
      </c>
      <c r="B26" s="147" t="s">
        <v>401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5"/>
      <c r="U26" s="154"/>
    </row>
    <row r="27" spans="1:21" ht="39" customHeight="1" x14ac:dyDescent="0.25">
      <c r="A27" s="152" t="s">
        <v>415</v>
      </c>
      <c r="B27" s="231" t="s">
        <v>413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155"/>
      <c r="O27" s="147"/>
      <c r="P27" s="145"/>
      <c r="U27" s="156"/>
    </row>
    <row r="28" spans="1:21" ht="36" customHeight="1" x14ac:dyDescent="0.25">
      <c r="A28" s="152" t="s">
        <v>403</v>
      </c>
      <c r="B28" s="231" t="s">
        <v>404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147"/>
      <c r="O28" s="147"/>
      <c r="P28" s="145"/>
      <c r="U28" s="157"/>
    </row>
    <row r="29" spans="1:21" ht="15.75" x14ac:dyDescent="0.25">
      <c r="A29" s="151" t="s">
        <v>405</v>
      </c>
      <c r="B29" s="147" t="s">
        <v>406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47"/>
      <c r="O29" s="147"/>
      <c r="P29" s="145"/>
      <c r="U29" s="157"/>
    </row>
    <row r="30" spans="1:21" ht="15.75" x14ac:dyDescent="0.25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5"/>
      <c r="U30" s="157"/>
    </row>
    <row r="31" spans="1:21" ht="15.75" x14ac:dyDescent="0.25">
      <c r="A31" s="158" t="s">
        <v>407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47"/>
      <c r="M31" s="147"/>
      <c r="N31" s="147"/>
      <c r="O31" s="147"/>
      <c r="P31" s="145"/>
      <c r="U31" s="157"/>
    </row>
    <row r="32" spans="1:21" ht="15.75" x14ac:dyDescent="0.25">
      <c r="A32" s="158" t="s">
        <v>408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47"/>
      <c r="M32" s="147"/>
      <c r="N32" s="147"/>
      <c r="O32" s="147"/>
      <c r="P32" s="145"/>
      <c r="U32" s="157"/>
    </row>
    <row r="33" spans="1:21" ht="15.75" x14ac:dyDescent="0.2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47"/>
      <c r="M33" s="147"/>
      <c r="N33" s="147"/>
      <c r="O33" s="147"/>
      <c r="P33" s="145"/>
      <c r="U33" s="157"/>
    </row>
    <row r="34" spans="1:21" ht="54" customHeight="1" x14ac:dyDescent="0.25">
      <c r="A34" s="232" t="s">
        <v>366</v>
      </c>
      <c r="B34" s="232"/>
      <c r="C34" s="232"/>
      <c r="D34" s="232"/>
      <c r="E34" s="232"/>
      <c r="F34" s="232"/>
      <c r="G34" s="232"/>
      <c r="I34" s="159"/>
      <c r="J34" s="141"/>
      <c r="K34" s="233" t="s">
        <v>365</v>
      </c>
      <c r="L34" s="233"/>
      <c r="M34" s="233"/>
      <c r="N34" s="141"/>
      <c r="O34" s="141"/>
      <c r="P34" s="145"/>
      <c r="U34" s="160"/>
    </row>
    <row r="35" spans="1:21" ht="15.75" x14ac:dyDescent="0.25">
      <c r="A35" s="147"/>
      <c r="B35" s="147"/>
      <c r="C35" s="147"/>
      <c r="D35" s="147"/>
      <c r="E35" s="147"/>
      <c r="F35" s="141"/>
      <c r="G35" s="234"/>
      <c r="H35" s="234"/>
      <c r="I35" s="234"/>
      <c r="J35" s="234"/>
      <c r="K35" s="161"/>
      <c r="L35" s="147"/>
      <c r="M35" s="141"/>
      <c r="N35" s="141"/>
      <c r="O35" s="141"/>
      <c r="P35" s="145"/>
      <c r="U35" s="157"/>
    </row>
    <row r="36" spans="1:21" ht="15.75" x14ac:dyDescent="0.2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L36" s="141"/>
      <c r="M36" s="141"/>
      <c r="N36" s="141"/>
      <c r="O36" s="141"/>
      <c r="U36" s="157"/>
    </row>
    <row r="37" spans="1:21" ht="15.75" x14ac:dyDescent="0.2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U37" s="162"/>
    </row>
    <row r="38" spans="1:21" ht="15.75" x14ac:dyDescent="0.25">
      <c r="U38" s="162"/>
    </row>
    <row r="39" spans="1:21" ht="15.75" x14ac:dyDescent="0.25">
      <c r="U39" s="162"/>
    </row>
    <row r="40" spans="1:21" ht="15.75" x14ac:dyDescent="0.25">
      <c r="U40" s="162"/>
    </row>
  </sheetData>
  <mergeCells count="19">
    <mergeCell ref="A7:M7"/>
    <mergeCell ref="A1:M1"/>
    <mergeCell ref="A2:M2"/>
    <mergeCell ref="A3:M3"/>
    <mergeCell ref="A4:M4"/>
    <mergeCell ref="A6:F6"/>
    <mergeCell ref="B24:M24"/>
    <mergeCell ref="B25:M25"/>
    <mergeCell ref="B17:M17"/>
    <mergeCell ref="B18:M18"/>
    <mergeCell ref="B20:M20"/>
    <mergeCell ref="B21:M21"/>
    <mergeCell ref="B22:M22"/>
    <mergeCell ref="B23:M23"/>
    <mergeCell ref="B27:M27"/>
    <mergeCell ref="B28:M28"/>
    <mergeCell ref="A34:G34"/>
    <mergeCell ref="K34:M34"/>
    <mergeCell ref="G35:J35"/>
  </mergeCells>
  <pageMargins left="0.7" right="0.7" top="0.75" bottom="0.75" header="0.3" footer="0.3"/>
  <pageSetup paperSize="9" scale="31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A17" sqref="A17:E17"/>
    </sheetView>
  </sheetViews>
  <sheetFormatPr defaultColWidth="9.140625" defaultRowHeight="15" x14ac:dyDescent="0.25"/>
  <cols>
    <col min="1" max="1" width="9.140625" style="120"/>
    <col min="2" max="2" width="39.140625" style="120" customWidth="1"/>
    <col min="3" max="3" width="19.42578125" style="120" customWidth="1"/>
    <col min="4" max="4" width="17.42578125" style="120" customWidth="1"/>
    <col min="5" max="5" width="22.28515625" style="120" customWidth="1"/>
    <col min="6" max="6" width="9.140625" style="120"/>
    <col min="7" max="7" width="20" style="120" customWidth="1"/>
    <col min="8" max="16384" width="9.140625" style="120"/>
  </cols>
  <sheetData>
    <row r="1" spans="1:7" ht="15.75" x14ac:dyDescent="0.25">
      <c r="A1" s="239" t="s">
        <v>351</v>
      </c>
      <c r="B1" s="239"/>
      <c r="C1" s="239"/>
      <c r="D1" s="239"/>
      <c r="E1" s="239"/>
    </row>
    <row r="2" spans="1:7" ht="15.75" x14ac:dyDescent="0.25">
      <c r="A2" s="230" t="s">
        <v>352</v>
      </c>
      <c r="B2" s="230"/>
      <c r="C2" s="230"/>
      <c r="D2" s="230"/>
      <c r="E2" s="230"/>
    </row>
    <row r="3" spans="1:7" ht="15.75" x14ac:dyDescent="0.25">
      <c r="A3" s="230" t="s">
        <v>47</v>
      </c>
      <c r="B3" s="230"/>
      <c r="C3" s="230"/>
      <c r="D3" s="230"/>
      <c r="E3" s="230"/>
    </row>
    <row r="4" spans="1:7" ht="15.75" x14ac:dyDescent="0.25">
      <c r="A4" s="121"/>
      <c r="B4" s="121"/>
      <c r="C4" s="121"/>
      <c r="D4" s="121"/>
      <c r="E4" s="121"/>
    </row>
    <row r="5" spans="1:7" ht="15.75" x14ac:dyDescent="0.25">
      <c r="A5" s="122" t="s">
        <v>353</v>
      </c>
      <c r="B5" s="122"/>
      <c r="C5" s="143">
        <f>ROUNDUP((C7-C6)/30.5,1)</f>
        <v>23</v>
      </c>
      <c r="D5" s="123"/>
      <c r="E5" s="124"/>
    </row>
    <row r="6" spans="1:7" ht="15.75" x14ac:dyDescent="0.25">
      <c r="A6" s="122" t="s">
        <v>354</v>
      </c>
      <c r="B6" s="122"/>
      <c r="C6" s="125">
        <f>'Прогнозный индекс'!F7</f>
        <v>46037</v>
      </c>
      <c r="D6" s="123"/>
      <c r="E6" s="124"/>
    </row>
    <row r="7" spans="1:7" ht="15.75" x14ac:dyDescent="0.25">
      <c r="A7" s="122" t="s">
        <v>355</v>
      </c>
      <c r="B7" s="122"/>
      <c r="C7" s="125">
        <f>'Прогнозный индекс'!F31</f>
        <v>46738</v>
      </c>
      <c r="D7" s="123"/>
      <c r="E7" s="124"/>
    </row>
    <row r="8" spans="1:7" ht="15.75" x14ac:dyDescent="0.25">
      <c r="A8" s="122"/>
      <c r="B8" s="126"/>
      <c r="C8" s="126"/>
      <c r="D8" s="124"/>
      <c r="E8" s="124"/>
    </row>
    <row r="9" spans="1:7" ht="15.75" x14ac:dyDescent="0.25">
      <c r="A9" s="240" t="s">
        <v>356</v>
      </c>
      <c r="B9" s="241" t="s">
        <v>357</v>
      </c>
      <c r="C9" s="240" t="s">
        <v>358</v>
      </c>
      <c r="D9" s="240"/>
      <c r="E9" s="240"/>
    </row>
    <row r="10" spans="1:7" ht="15.75" x14ac:dyDescent="0.25">
      <c r="A10" s="240"/>
      <c r="B10" s="242"/>
      <c r="C10" s="127" t="s">
        <v>359</v>
      </c>
      <c r="D10" s="127" t="s">
        <v>360</v>
      </c>
      <c r="E10" s="127" t="s">
        <v>361</v>
      </c>
    </row>
    <row r="11" spans="1:7" ht="15.75" x14ac:dyDescent="0.25">
      <c r="A11" s="127">
        <v>1</v>
      </c>
      <c r="B11" s="127">
        <v>2</v>
      </c>
      <c r="C11" s="127">
        <v>3</v>
      </c>
      <c r="D11" s="128">
        <v>4</v>
      </c>
      <c r="E11" s="128">
        <v>5</v>
      </c>
    </row>
    <row r="12" spans="1:7" s="133" customFormat="1" ht="15.75" x14ac:dyDescent="0.25">
      <c r="A12" s="129" t="s">
        <v>65</v>
      </c>
      <c r="B12" s="130" t="s">
        <v>362</v>
      </c>
      <c r="C12" s="131">
        <f>НМЦК!$U$12</f>
        <v>14913443.189999999</v>
      </c>
      <c r="D12" s="132">
        <f>C12*0.2</f>
        <v>2982688.64</v>
      </c>
      <c r="E12" s="132">
        <f>C12+D12</f>
        <v>17896131.829999998</v>
      </c>
    </row>
    <row r="13" spans="1:7" ht="47.25" x14ac:dyDescent="0.25">
      <c r="A13" s="134" t="s">
        <v>70</v>
      </c>
      <c r="B13" s="135" t="s">
        <v>363</v>
      </c>
      <c r="C13" s="131">
        <f>НМЦК!$U$15</f>
        <v>285611865.83999997</v>
      </c>
      <c r="D13" s="132">
        <f>C13*0.2</f>
        <v>57122373.170000002</v>
      </c>
      <c r="E13" s="132">
        <f>C13+D13</f>
        <v>342734239.00999999</v>
      </c>
    </row>
    <row r="14" spans="1:7" ht="15.75" x14ac:dyDescent="0.25">
      <c r="A14" s="136"/>
      <c r="B14" s="136" t="s">
        <v>364</v>
      </c>
      <c r="C14" s="137">
        <f>C12+C13</f>
        <v>300525309.02999997</v>
      </c>
      <c r="D14" s="137">
        <f>D12+D13</f>
        <v>60105061.810000002</v>
      </c>
      <c r="E14" s="137">
        <f>E12+E13</f>
        <v>360630370.83999997</v>
      </c>
      <c r="G14" s="138">
        <f>C14*0.2</f>
        <v>60105061.810000002</v>
      </c>
    </row>
    <row r="17" spans="1:7" ht="64.5" customHeight="1" x14ac:dyDescent="0.25">
      <c r="A17" s="232" t="s">
        <v>366</v>
      </c>
      <c r="B17" s="232"/>
      <c r="C17" s="232"/>
      <c r="D17" s="139"/>
      <c r="E17" s="140" t="s">
        <v>365</v>
      </c>
    </row>
    <row r="20" spans="1:7" ht="15.75" x14ac:dyDescent="0.25">
      <c r="F20" s="141"/>
    </row>
    <row r="23" spans="1:7" x14ac:dyDescent="0.25">
      <c r="G23" s="142"/>
    </row>
    <row r="24" spans="1:7" x14ac:dyDescent="0.25">
      <c r="G24" s="138"/>
    </row>
    <row r="26" spans="1:7" x14ac:dyDescent="0.25">
      <c r="G26" s="138"/>
    </row>
    <row r="27" spans="1:7" x14ac:dyDescent="0.25">
      <c r="G27" s="138"/>
    </row>
    <row r="28" spans="1:7" x14ac:dyDescent="0.25">
      <c r="G28" s="138"/>
    </row>
    <row r="29" spans="1:7" x14ac:dyDescent="0.25">
      <c r="G29" s="138"/>
    </row>
    <row r="30" spans="1:7" x14ac:dyDescent="0.25">
      <c r="G30" s="138"/>
    </row>
    <row r="31" spans="1:7" x14ac:dyDescent="0.25">
      <c r="G31" s="138"/>
    </row>
    <row r="33" spans="7:7" x14ac:dyDescent="0.25">
      <c r="G33" s="138"/>
    </row>
  </sheetData>
  <mergeCells count="7">
    <mergeCell ref="A17:C17"/>
    <mergeCell ref="A1:E1"/>
    <mergeCell ref="A2:E2"/>
    <mergeCell ref="A3:E3"/>
    <mergeCell ref="A9:A10"/>
    <mergeCell ref="B9:B10"/>
    <mergeCell ref="C9:E9"/>
  </mergeCells>
  <pageMargins left="0.7" right="0.7" top="0.75" bottom="0.75" header="0.3" footer="0.3"/>
  <pageSetup paperSize="9" scale="64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9"/>
  <sheetViews>
    <sheetView zoomScale="90" zoomScaleNormal="90" workbookViewId="0">
      <pane ySplit="6" topLeftCell="A52" activePane="bottomLeft" state="frozen"/>
      <selection pane="bottomLeft" activeCell="A68" sqref="A68:V68"/>
    </sheetView>
  </sheetViews>
  <sheetFormatPr defaultColWidth="9.140625" defaultRowHeight="15.75" outlineLevelCol="1" x14ac:dyDescent="0.25"/>
  <cols>
    <col min="1" max="1" width="8.42578125" style="4" customWidth="1"/>
    <col min="2" max="2" width="22.28515625" style="4" hidden="1" customWidth="1" outlineLevel="1"/>
    <col min="3" max="3" width="43.85546875" style="4" customWidth="1" collapsed="1"/>
    <col min="4" max="4" width="19.85546875" style="4" customWidth="1"/>
    <col min="5" max="5" width="14.42578125" style="4" customWidth="1"/>
    <col min="6" max="8" width="19.85546875" style="4" hidden="1" customWidth="1" outlineLevel="1"/>
    <col min="9" max="10" width="19.5703125" style="1" hidden="1" customWidth="1" outlineLevel="1"/>
    <col min="11" max="11" width="15.28515625" style="1" hidden="1" customWidth="1" outlineLevel="1"/>
    <col min="12" max="12" width="7.42578125" style="1" hidden="1" customWidth="1" outlineLevel="1"/>
    <col min="13" max="13" width="15.42578125" style="1" hidden="1" customWidth="1" outlineLevel="1"/>
    <col min="14" max="14" width="8.7109375" style="1" hidden="1" customWidth="1" outlineLevel="1"/>
    <col min="15" max="15" width="14.5703125" style="1" hidden="1" customWidth="1" outlineLevel="1"/>
    <col min="16" max="16" width="22.5703125" style="1" hidden="1" customWidth="1" outlineLevel="1"/>
    <col min="17" max="17" width="25.85546875" style="1" hidden="1" customWidth="1" outlineLevel="1" collapsed="1"/>
    <col min="18" max="18" width="14.42578125" style="3" hidden="1" customWidth="1" outlineLevel="1"/>
    <col min="19" max="19" width="23.28515625" style="1" hidden="1" customWidth="1" outlineLevel="1"/>
    <col min="20" max="20" width="20.85546875" style="1" hidden="1" customWidth="1" outlineLevel="1"/>
    <col min="21" max="21" width="20.85546875" style="1" customWidth="1" collapsed="1"/>
    <col min="22" max="22" width="19.140625" style="4" customWidth="1"/>
    <col min="23" max="23" width="20.85546875" style="1" customWidth="1" collapsed="1"/>
    <col min="24" max="24" width="19.28515625" style="4" customWidth="1"/>
    <col min="25" max="25" width="15.42578125" style="4" bestFit="1" customWidth="1"/>
    <col min="26" max="16384" width="9.140625" style="4"/>
  </cols>
  <sheetData>
    <row r="1" spans="1:25" s="1" customFormat="1" x14ac:dyDescent="0.25">
      <c r="A1" s="248" t="s">
        <v>455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</row>
    <row r="2" spans="1:25" s="1" customFormat="1" ht="15.75" customHeight="1" x14ac:dyDescent="0.25">
      <c r="A2" s="249" t="s">
        <v>47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</row>
    <row r="3" spans="1:25" s="1" customFormat="1" ht="15.75" customHeight="1" x14ac:dyDescent="0.25">
      <c r="A3" s="250" t="s">
        <v>349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</row>
    <row r="4" spans="1:25" x14ac:dyDescent="0.25">
      <c r="A4" s="5"/>
      <c r="B4" s="5"/>
      <c r="C4" s="5"/>
      <c r="D4" s="2"/>
      <c r="E4" s="2"/>
      <c r="F4" s="2"/>
      <c r="G4" s="2"/>
      <c r="H4" s="2"/>
    </row>
    <row r="5" spans="1:25" ht="24" customHeight="1" x14ac:dyDescent="0.25">
      <c r="A5" s="243" t="s">
        <v>2</v>
      </c>
      <c r="B5" s="243" t="s">
        <v>3</v>
      </c>
      <c r="C5" s="243" t="s">
        <v>4</v>
      </c>
      <c r="D5" s="245" t="s">
        <v>5</v>
      </c>
      <c r="E5" s="245" t="s">
        <v>6</v>
      </c>
      <c r="F5" s="255" t="s">
        <v>7</v>
      </c>
      <c r="G5" s="256"/>
      <c r="H5" s="256"/>
      <c r="I5" s="256"/>
      <c r="J5" s="257"/>
      <c r="K5" s="258" t="s">
        <v>8</v>
      </c>
      <c r="L5" s="260" t="s">
        <v>212</v>
      </c>
      <c r="M5" s="261"/>
      <c r="N5" s="260" t="s">
        <v>213</v>
      </c>
      <c r="O5" s="261"/>
      <c r="P5" s="243" t="s">
        <v>9</v>
      </c>
      <c r="Q5" s="243" t="s">
        <v>48</v>
      </c>
      <c r="R5" s="243" t="s">
        <v>10</v>
      </c>
      <c r="S5" s="243" t="s">
        <v>11</v>
      </c>
      <c r="T5" s="252" t="s">
        <v>12</v>
      </c>
      <c r="U5" s="254" t="s">
        <v>456</v>
      </c>
      <c r="V5" s="254"/>
      <c r="W5" s="246" t="s">
        <v>14</v>
      </c>
      <c r="X5" s="247"/>
    </row>
    <row r="6" spans="1:25" ht="94.5" x14ac:dyDescent="0.25">
      <c r="A6" s="244"/>
      <c r="B6" s="244"/>
      <c r="C6" s="244"/>
      <c r="D6" s="245"/>
      <c r="E6" s="245"/>
      <c r="F6" s="172" t="s">
        <v>15</v>
      </c>
      <c r="G6" s="172" t="s">
        <v>16</v>
      </c>
      <c r="H6" s="172" t="s">
        <v>17</v>
      </c>
      <c r="I6" s="172" t="s">
        <v>18</v>
      </c>
      <c r="J6" s="172" t="s">
        <v>19</v>
      </c>
      <c r="K6" s="259"/>
      <c r="L6" s="173" t="s">
        <v>20</v>
      </c>
      <c r="M6" s="173" t="s">
        <v>21</v>
      </c>
      <c r="N6" s="173" t="s">
        <v>20</v>
      </c>
      <c r="O6" s="173" t="s">
        <v>21</v>
      </c>
      <c r="P6" s="251"/>
      <c r="Q6" s="251"/>
      <c r="R6" s="251"/>
      <c r="S6" s="251"/>
      <c r="T6" s="253"/>
      <c r="U6" s="209" t="s">
        <v>458</v>
      </c>
      <c r="V6" s="174" t="s">
        <v>457</v>
      </c>
      <c r="W6" s="209" t="s">
        <v>458</v>
      </c>
      <c r="X6" s="174" t="s">
        <v>457</v>
      </c>
    </row>
    <row r="7" spans="1:25" x14ac:dyDescent="0.25">
      <c r="A7" s="96">
        <v>1</v>
      </c>
      <c r="B7" s="96">
        <v>2</v>
      </c>
      <c r="C7" s="96">
        <v>2</v>
      </c>
      <c r="D7" s="100">
        <v>3</v>
      </c>
      <c r="E7" s="100">
        <v>4</v>
      </c>
      <c r="F7" s="97">
        <v>4</v>
      </c>
      <c r="G7" s="97">
        <v>5</v>
      </c>
      <c r="H7" s="97">
        <v>6</v>
      </c>
      <c r="I7" s="97">
        <v>7</v>
      </c>
      <c r="J7" s="97">
        <v>8</v>
      </c>
      <c r="K7" s="98"/>
      <c r="L7" s="97"/>
      <c r="M7" s="97">
        <v>9</v>
      </c>
      <c r="N7" s="97"/>
      <c r="O7" s="97">
        <v>10</v>
      </c>
      <c r="P7" s="97">
        <v>11</v>
      </c>
      <c r="Q7" s="97">
        <v>6</v>
      </c>
      <c r="R7" s="97">
        <v>7</v>
      </c>
      <c r="S7" s="97">
        <v>8</v>
      </c>
      <c r="T7" s="99">
        <v>9</v>
      </c>
      <c r="U7" s="208">
        <v>5</v>
      </c>
      <c r="V7" s="97">
        <v>6</v>
      </c>
      <c r="W7" s="208">
        <v>7</v>
      </c>
      <c r="X7" s="97">
        <v>8</v>
      </c>
    </row>
    <row r="8" spans="1:25" s="12" customFormat="1" ht="27" customHeight="1" x14ac:dyDescent="0.25">
      <c r="A8" s="74">
        <v>1</v>
      </c>
      <c r="B8" s="74"/>
      <c r="C8" s="75" t="s">
        <v>22</v>
      </c>
      <c r="D8" s="60" t="s">
        <v>23</v>
      </c>
      <c r="E8" s="61">
        <v>1</v>
      </c>
      <c r="F8" s="60"/>
      <c r="G8" s="60"/>
      <c r="H8" s="60"/>
      <c r="I8" s="60">
        <f>I9+I10</f>
        <v>14205931.68</v>
      </c>
      <c r="J8" s="60">
        <f>J9+J10</f>
        <v>14205931.68</v>
      </c>
      <c r="K8" s="60">
        <f>K9+K10</f>
        <v>14205.93</v>
      </c>
      <c r="L8" s="60"/>
      <c r="M8" s="60"/>
      <c r="N8" s="62"/>
      <c r="O8" s="60"/>
      <c r="P8" s="60"/>
      <c r="Q8" s="60">
        <f>Q9+Q10</f>
        <v>14205931.68</v>
      </c>
      <c r="R8" s="60"/>
      <c r="S8" s="60">
        <f>S9+S10</f>
        <v>14571024.130000001</v>
      </c>
      <c r="T8" s="60"/>
      <c r="U8" s="210">
        <f>V8/$E8</f>
        <v>14913443.189999999</v>
      </c>
      <c r="V8" s="210">
        <f>V9+V10</f>
        <v>14913443.189999999</v>
      </c>
      <c r="W8" s="215"/>
      <c r="X8" s="215"/>
    </row>
    <row r="9" spans="1:25" x14ac:dyDescent="0.25">
      <c r="A9" s="76" t="s">
        <v>24</v>
      </c>
      <c r="B9" s="63" t="s">
        <v>214</v>
      </c>
      <c r="C9" s="77" t="s">
        <v>22</v>
      </c>
      <c r="D9" s="63" t="s">
        <v>23</v>
      </c>
      <c r="E9" s="64">
        <v>1</v>
      </c>
      <c r="F9" s="14"/>
      <c r="G9" s="14"/>
      <c r="H9" s="14"/>
      <c r="I9" s="14">
        <v>13927384</v>
      </c>
      <c r="J9" s="14">
        <f>I9</f>
        <v>13927384</v>
      </c>
      <c r="K9" s="65">
        <v>13927.38</v>
      </c>
      <c r="L9" s="66"/>
      <c r="M9" s="14"/>
      <c r="N9" s="66"/>
      <c r="O9" s="14"/>
      <c r="P9" s="14"/>
      <c r="Q9" s="14">
        <f>J9</f>
        <v>13927384</v>
      </c>
      <c r="R9" s="92">
        <f>'Фактический индекс'!$F$30</f>
        <v>1.0257000000000001</v>
      </c>
      <c r="S9" s="14">
        <f>Q9*R9</f>
        <v>14285317.77</v>
      </c>
      <c r="T9" s="93">
        <f>'Прогнозный индекс'!$F$13</f>
        <v>1.0235000000000001</v>
      </c>
      <c r="U9" s="211">
        <f t="shared" ref="U9:W63" si="0">V9/$E9</f>
        <v>14621022.74</v>
      </c>
      <c r="V9" s="211">
        <f>S9*T9</f>
        <v>14621022.74</v>
      </c>
      <c r="W9" s="216"/>
      <c r="X9" s="216"/>
    </row>
    <row r="10" spans="1:25" ht="31.5" x14ac:dyDescent="0.25">
      <c r="A10" s="76" t="s">
        <v>25</v>
      </c>
      <c r="B10" s="63" t="s">
        <v>172</v>
      </c>
      <c r="C10" s="77" t="s">
        <v>215</v>
      </c>
      <c r="D10" s="63" t="s">
        <v>23</v>
      </c>
      <c r="E10" s="64">
        <v>1</v>
      </c>
      <c r="F10" s="14"/>
      <c r="G10" s="14"/>
      <c r="H10" s="14"/>
      <c r="I10" s="14">
        <f>I9*2%</f>
        <v>278547.68</v>
      </c>
      <c r="J10" s="14">
        <f>I10</f>
        <v>278547.68</v>
      </c>
      <c r="K10" s="65">
        <f>K9*2%</f>
        <v>278.55</v>
      </c>
      <c r="L10" s="66"/>
      <c r="M10" s="14"/>
      <c r="N10" s="66"/>
      <c r="O10" s="14"/>
      <c r="P10" s="14"/>
      <c r="Q10" s="14">
        <f>J10</f>
        <v>278547.68</v>
      </c>
      <c r="R10" s="14"/>
      <c r="S10" s="14">
        <f>S9*2%</f>
        <v>285706.36</v>
      </c>
      <c r="T10" s="14"/>
      <c r="U10" s="211">
        <f t="shared" si="0"/>
        <v>292420.45</v>
      </c>
      <c r="V10" s="211">
        <f>V9*2%</f>
        <v>292420.45</v>
      </c>
      <c r="W10" s="216"/>
      <c r="X10" s="216"/>
    </row>
    <row r="11" spans="1:25" s="12" customFormat="1" ht="48" customHeight="1" x14ac:dyDescent="0.25">
      <c r="A11" s="74">
        <v>2</v>
      </c>
      <c r="B11" s="74"/>
      <c r="C11" s="75" t="s">
        <v>363</v>
      </c>
      <c r="D11" s="60" t="s">
        <v>23</v>
      </c>
      <c r="E11" s="61">
        <v>1</v>
      </c>
      <c r="F11" s="60">
        <f t="shared" ref="F11:K11" si="1">F12+F13+F25+F26+F27+F28+F32+F38+F41+F42+F43+F44+F53+F56+F57+F58+F59+F63</f>
        <v>177442680.68000001</v>
      </c>
      <c r="G11" s="60">
        <f t="shared" si="1"/>
        <v>23774375.16</v>
      </c>
      <c r="H11" s="60">
        <f t="shared" si="1"/>
        <v>40946914.43</v>
      </c>
      <c r="I11" s="60">
        <f t="shared" si="1"/>
        <v>12258557.029999999</v>
      </c>
      <c r="J11" s="60">
        <f t="shared" si="1"/>
        <v>254422527.30000001</v>
      </c>
      <c r="K11" s="60">
        <f t="shared" si="1"/>
        <v>259064.78</v>
      </c>
      <c r="L11" s="62"/>
      <c r="M11" s="60">
        <f>M12+M13+M25+M26+M27+M28+M32+M38+M41+M42+M43+M44+M53+M56+M57+M58+M59+M63</f>
        <v>6237728.7300000004</v>
      </c>
      <c r="N11" s="62"/>
      <c r="O11" s="60">
        <f>O12+O13+O25+O26+O27+O28+O32+O38+O41+O42+O43+O44+O53+O56+O57+O58+O59+O63</f>
        <v>1037273.91</v>
      </c>
      <c r="P11" s="60">
        <f>P12+P13+P25+P26+P27+P28+P32+P38+P41+P42+P43+P44+P53+P56+P57+P58+P59+P63</f>
        <v>-935659.29</v>
      </c>
      <c r="Q11" s="60">
        <f>Q12+Q13+Q25+Q26+Q27+Q28+Q32+Q38+Q41+Q42+Q43+Q44+Q53+Q56+Q57+Q58+Q59+Q63</f>
        <v>260761870.65000001</v>
      </c>
      <c r="R11" s="60"/>
      <c r="S11" s="60">
        <f>S12+S13+S25+S26+S27+S28+S32+S38+S41+S42+S43+S44+S53+S56+S57+S58+S59+S63</f>
        <v>267258777.05000001</v>
      </c>
      <c r="T11" s="60"/>
      <c r="U11" s="210">
        <f t="shared" si="0"/>
        <v>285611865.83999997</v>
      </c>
      <c r="V11" s="210">
        <f>V12+V13+V25+V26+V27+V28+V32+V38+V41+V42+V43+V44+V53+V56+V57+V58+V59+V63</f>
        <v>285611865.83999997</v>
      </c>
      <c r="W11" s="215">
        <f t="shared" si="0"/>
        <v>44972797.030000001</v>
      </c>
      <c r="X11" s="215">
        <f>X12+X13+X25+X26+X27+X28+X32+X38+X41+X42+X43+X44+X53+X56+X57+X58+X59+X63</f>
        <v>44972797.030000001</v>
      </c>
      <c r="Y11" s="115"/>
    </row>
    <row r="12" spans="1:25" ht="31.5" x14ac:dyDescent="0.25">
      <c r="A12" s="76" t="s">
        <v>27</v>
      </c>
      <c r="B12" s="13" t="s">
        <v>66</v>
      </c>
      <c r="C12" s="13" t="s">
        <v>67</v>
      </c>
      <c r="D12" s="63" t="s">
        <v>23</v>
      </c>
      <c r="E12" s="64">
        <v>1</v>
      </c>
      <c r="F12" s="67"/>
      <c r="G12" s="67"/>
      <c r="H12" s="67"/>
      <c r="I12" s="14">
        <v>105874.58</v>
      </c>
      <c r="J12" s="14">
        <f>I12</f>
        <v>105874.58</v>
      </c>
      <c r="K12" s="65">
        <v>105.87</v>
      </c>
      <c r="L12" s="66"/>
      <c r="M12" s="14"/>
      <c r="N12" s="66"/>
      <c r="O12" s="14"/>
      <c r="P12" s="14"/>
      <c r="Q12" s="14">
        <f>J12</f>
        <v>105874.58</v>
      </c>
      <c r="R12" s="92">
        <f>'Фактический индекс'!$F$30</f>
        <v>1.0257000000000001</v>
      </c>
      <c r="S12" s="14">
        <f>Q12*R12</f>
        <v>108595.56</v>
      </c>
      <c r="T12" s="93">
        <f>'Прогнозный индекс'!$F$25</f>
        <v>1.0258</v>
      </c>
      <c r="U12" s="211">
        <f t="shared" si="0"/>
        <v>111397.33</v>
      </c>
      <c r="V12" s="211">
        <f>S12*T12</f>
        <v>111397.33</v>
      </c>
      <c r="W12" s="216">
        <f t="shared" si="0"/>
        <v>0</v>
      </c>
      <c r="X12" s="217"/>
    </row>
    <row r="13" spans="1:25" x14ac:dyDescent="0.25">
      <c r="A13" s="76" t="s">
        <v>28</v>
      </c>
      <c r="B13" s="13" t="s">
        <v>34</v>
      </c>
      <c r="C13" s="13" t="s">
        <v>71</v>
      </c>
      <c r="D13" s="63" t="s">
        <v>23</v>
      </c>
      <c r="E13" s="64">
        <v>1</v>
      </c>
      <c r="F13" s="67">
        <f>F14+F15+F16+F17+F18+F19+F20+F21+F22+F23+F24</f>
        <v>79427254.459999993</v>
      </c>
      <c r="G13" s="67">
        <f t="shared" ref="G13:H13" si="2">G14+G15+G16+G17+G18+G19+G20+G21+G22+G23+G24</f>
        <v>10172238.07</v>
      </c>
      <c r="H13" s="67">
        <f t="shared" si="2"/>
        <v>22016857.93</v>
      </c>
      <c r="I13" s="67"/>
      <c r="J13" s="67">
        <f>J14+J15+J16+J17+J18+J19+J20+J21+J22+J23+J24</f>
        <v>111616350.45999999</v>
      </c>
      <c r="K13" s="68">
        <v>116167.59</v>
      </c>
      <c r="L13" s="66"/>
      <c r="M13" s="67">
        <f>M14+M15+M16+M17+M18+M19+M20+M21+M22+M23+M24</f>
        <v>2777584.27</v>
      </c>
      <c r="N13" s="66"/>
      <c r="O13" s="67">
        <f>O14+O15+O16+O17+O18+O19+O20+O21+O22+O23+O24</f>
        <v>461885.37</v>
      </c>
      <c r="P13" s="67">
        <f>P14+P15+P16+P17+P18+P19+P20+P21+P22+P23+P24</f>
        <v>-416637.64</v>
      </c>
      <c r="Q13" s="67">
        <f>Q14+Q15+Q16+Q17+Q18+Q19+Q20+Q21+Q22+Q23+Q24</f>
        <v>114439182.45999999</v>
      </c>
      <c r="R13" s="14"/>
      <c r="S13" s="67">
        <f>S14+S15+S16+S17+S18+S19+S20+S21+S22+S23+S24</f>
        <v>117380269.44</v>
      </c>
      <c r="T13" s="14"/>
      <c r="U13" s="212">
        <f t="shared" si="0"/>
        <v>125690792.52</v>
      </c>
      <c r="V13" s="212">
        <f>V14+V15+V16+V17+V18+V19+V20+V21+V22+V23+V24</f>
        <v>125690792.52</v>
      </c>
      <c r="W13" s="217">
        <f t="shared" si="0"/>
        <v>24181545.710000001</v>
      </c>
      <c r="X13" s="217">
        <f>X14+X15+X16+X17+X18+X19+X20+X21+X22+X23+X24</f>
        <v>24181545.710000001</v>
      </c>
    </row>
    <row r="14" spans="1:25" ht="31.5" x14ac:dyDescent="0.25">
      <c r="A14" s="81" t="s">
        <v>29</v>
      </c>
      <c r="B14" s="15" t="s">
        <v>216</v>
      </c>
      <c r="C14" s="15" t="s">
        <v>230</v>
      </c>
      <c r="D14" s="16" t="s">
        <v>23</v>
      </c>
      <c r="E14" s="17">
        <v>1</v>
      </c>
      <c r="F14" s="18">
        <v>41043146.310000002</v>
      </c>
      <c r="G14" s="18"/>
      <c r="H14" s="18"/>
      <c r="I14" s="19"/>
      <c r="J14" s="19">
        <f t="shared" ref="J14:J43" si="3">I14+H14+G14+F14</f>
        <v>41043146.310000002</v>
      </c>
      <c r="K14" s="20">
        <v>41043.15</v>
      </c>
      <c r="L14" s="21">
        <v>3.1E-2</v>
      </c>
      <c r="M14" s="19">
        <f t="shared" ref="M14:M27" si="4">(F14+G14)*3.1%</f>
        <v>1272337.54</v>
      </c>
      <c r="N14" s="21">
        <v>5.0000000000000001E-3</v>
      </c>
      <c r="O14" s="19">
        <f t="shared" ref="O14:O27" si="5">(F14+G14+M14)*0.5%</f>
        <v>211577.42</v>
      </c>
      <c r="P14" s="19">
        <f t="shared" ref="P14:P27" si="6">-M14*15%</f>
        <v>-190850.63</v>
      </c>
      <c r="Q14" s="19">
        <f t="shared" ref="Q14:Q27" si="7">J14+M14+O14+P14</f>
        <v>42336210.640000001</v>
      </c>
      <c r="R14" s="94">
        <f>'Фактический индекс'!$F$30</f>
        <v>1.0257000000000001</v>
      </c>
      <c r="S14" s="19">
        <f t="shared" ref="S14:S62" si="8">Q14*R14</f>
        <v>43424251.25</v>
      </c>
      <c r="T14" s="93">
        <f>'Прогнозный индекс'!$F$43</f>
        <v>1.0708</v>
      </c>
      <c r="U14" s="213">
        <f t="shared" si="0"/>
        <v>46498688.240000002</v>
      </c>
      <c r="V14" s="213">
        <f t="shared" ref="V14:V27" si="9">S14*T14</f>
        <v>46498688.240000002</v>
      </c>
      <c r="W14" s="218">
        <f t="shared" si="0"/>
        <v>0</v>
      </c>
      <c r="X14" s="219">
        <f t="shared" ref="X14:X27" si="10">H14*R14*T14</f>
        <v>0</v>
      </c>
    </row>
    <row r="15" spans="1:25" ht="31.5" x14ac:dyDescent="0.25">
      <c r="A15" s="81" t="s">
        <v>30</v>
      </c>
      <c r="B15" s="82" t="s">
        <v>217</v>
      </c>
      <c r="C15" s="82" t="s">
        <v>231</v>
      </c>
      <c r="D15" s="16" t="s">
        <v>23</v>
      </c>
      <c r="E15" s="17">
        <v>1</v>
      </c>
      <c r="F15" s="18">
        <v>33763170.090000004</v>
      </c>
      <c r="G15" s="18"/>
      <c r="H15" s="18"/>
      <c r="I15" s="19"/>
      <c r="J15" s="19">
        <f t="shared" si="3"/>
        <v>33763170.090000004</v>
      </c>
      <c r="K15" s="20">
        <v>33763.17</v>
      </c>
      <c r="L15" s="21">
        <v>3.1E-2</v>
      </c>
      <c r="M15" s="19">
        <f t="shared" si="4"/>
        <v>1046658.27</v>
      </c>
      <c r="N15" s="21">
        <v>5.0000000000000001E-3</v>
      </c>
      <c r="O15" s="19">
        <f t="shared" si="5"/>
        <v>174049.14</v>
      </c>
      <c r="P15" s="19">
        <f t="shared" si="6"/>
        <v>-156998.74</v>
      </c>
      <c r="Q15" s="19">
        <f t="shared" si="7"/>
        <v>34826878.759999998</v>
      </c>
      <c r="R15" s="94">
        <f>'Фактический индекс'!$F$30</f>
        <v>1.0257000000000001</v>
      </c>
      <c r="S15" s="19">
        <f t="shared" si="8"/>
        <v>35721929.539999999</v>
      </c>
      <c r="T15" s="93">
        <f>'Прогнозный индекс'!$F$43</f>
        <v>1.0708</v>
      </c>
      <c r="U15" s="213">
        <f t="shared" si="0"/>
        <v>38251042.149999999</v>
      </c>
      <c r="V15" s="213">
        <f t="shared" si="9"/>
        <v>38251042.149999999</v>
      </c>
      <c r="W15" s="218">
        <f t="shared" si="0"/>
        <v>0</v>
      </c>
      <c r="X15" s="219">
        <f t="shared" si="10"/>
        <v>0</v>
      </c>
    </row>
    <row r="16" spans="1:25" ht="63" x14ac:dyDescent="0.25">
      <c r="A16" s="81" t="s">
        <v>31</v>
      </c>
      <c r="B16" s="82" t="s">
        <v>218</v>
      </c>
      <c r="C16" s="82" t="s">
        <v>232</v>
      </c>
      <c r="D16" s="16" t="s">
        <v>23</v>
      </c>
      <c r="E16" s="17">
        <v>1</v>
      </c>
      <c r="F16" s="18">
        <v>269654.77</v>
      </c>
      <c r="G16" s="18">
        <v>4998256.88</v>
      </c>
      <c r="H16" s="18">
        <v>3873958.16</v>
      </c>
      <c r="I16" s="19"/>
      <c r="J16" s="19">
        <f t="shared" si="3"/>
        <v>9141869.8100000005</v>
      </c>
      <c r="K16" s="20">
        <v>9141.8700000000008</v>
      </c>
      <c r="L16" s="21">
        <v>3.1E-2</v>
      </c>
      <c r="M16" s="19">
        <f t="shared" si="4"/>
        <v>163305.26</v>
      </c>
      <c r="N16" s="21">
        <v>5.0000000000000001E-3</v>
      </c>
      <c r="O16" s="19">
        <f t="shared" si="5"/>
        <v>27156.080000000002</v>
      </c>
      <c r="P16" s="19">
        <f t="shared" si="6"/>
        <v>-24495.79</v>
      </c>
      <c r="Q16" s="19">
        <f t="shared" si="7"/>
        <v>9307835.3599999994</v>
      </c>
      <c r="R16" s="94">
        <f>'Фактический индекс'!$F$30</f>
        <v>1.0257000000000001</v>
      </c>
      <c r="S16" s="19">
        <f t="shared" si="8"/>
        <v>9547046.7300000004</v>
      </c>
      <c r="T16" s="93">
        <f>'Прогнозный индекс'!$F$43</f>
        <v>1.0708</v>
      </c>
      <c r="U16" s="213">
        <f t="shared" si="0"/>
        <v>10222977.640000001</v>
      </c>
      <c r="V16" s="213">
        <f t="shared" si="9"/>
        <v>10222977.640000001</v>
      </c>
      <c r="W16" s="218">
        <f t="shared" si="0"/>
        <v>4254844.0199999996</v>
      </c>
      <c r="X16" s="219">
        <f t="shared" si="10"/>
        <v>4254844.0199999996</v>
      </c>
    </row>
    <row r="17" spans="1:24" ht="47.25" x14ac:dyDescent="0.25">
      <c r="A17" s="81" t="s">
        <v>32</v>
      </c>
      <c r="B17" s="83" t="s">
        <v>219</v>
      </c>
      <c r="C17" s="82" t="s">
        <v>233</v>
      </c>
      <c r="D17" s="16" t="s">
        <v>23</v>
      </c>
      <c r="E17" s="17">
        <v>1</v>
      </c>
      <c r="F17" s="18">
        <v>945022.47</v>
      </c>
      <c r="G17" s="18">
        <v>181297.76</v>
      </c>
      <c r="H17" s="18">
        <v>2876583.83</v>
      </c>
      <c r="I17" s="19"/>
      <c r="J17" s="19">
        <f t="shared" si="3"/>
        <v>4002904.06</v>
      </c>
      <c r="K17" s="20">
        <v>4002.9</v>
      </c>
      <c r="L17" s="21">
        <v>3.1E-2</v>
      </c>
      <c r="M17" s="19">
        <f t="shared" si="4"/>
        <v>34915.93</v>
      </c>
      <c r="N17" s="21">
        <v>5.0000000000000001E-3</v>
      </c>
      <c r="O17" s="19">
        <f t="shared" si="5"/>
        <v>5806.18</v>
      </c>
      <c r="P17" s="19">
        <f t="shared" si="6"/>
        <v>-5237.3900000000003</v>
      </c>
      <c r="Q17" s="19">
        <f t="shared" si="7"/>
        <v>4038388.78</v>
      </c>
      <c r="R17" s="94">
        <f>'Фактический индекс'!$F$30</f>
        <v>1.0257000000000001</v>
      </c>
      <c r="S17" s="19">
        <f t="shared" si="8"/>
        <v>4142175.37</v>
      </c>
      <c r="T17" s="93">
        <f>'Прогнозный индекс'!$F$43</f>
        <v>1.0708</v>
      </c>
      <c r="U17" s="213">
        <f t="shared" si="0"/>
        <v>4435441.3899999997</v>
      </c>
      <c r="V17" s="213">
        <f t="shared" si="9"/>
        <v>4435441.3899999997</v>
      </c>
      <c r="W17" s="218">
        <f t="shared" si="0"/>
        <v>3159408.29</v>
      </c>
      <c r="X17" s="219">
        <f t="shared" si="10"/>
        <v>3159408.29</v>
      </c>
    </row>
    <row r="18" spans="1:24" ht="31.5" x14ac:dyDescent="0.25">
      <c r="A18" s="84" t="s">
        <v>288</v>
      </c>
      <c r="B18" s="82" t="s">
        <v>220</v>
      </c>
      <c r="C18" s="82" t="s">
        <v>234</v>
      </c>
      <c r="D18" s="16" t="s">
        <v>23</v>
      </c>
      <c r="E18" s="17">
        <v>1</v>
      </c>
      <c r="F18" s="18">
        <v>749050.07</v>
      </c>
      <c r="G18" s="18"/>
      <c r="H18" s="18"/>
      <c r="I18" s="19"/>
      <c r="J18" s="19">
        <f t="shared" si="3"/>
        <v>749050.07</v>
      </c>
      <c r="K18" s="20">
        <v>749.05</v>
      </c>
      <c r="L18" s="21">
        <v>3.1E-2</v>
      </c>
      <c r="M18" s="19">
        <f t="shared" si="4"/>
        <v>23220.55</v>
      </c>
      <c r="N18" s="21">
        <v>5.0000000000000001E-3</v>
      </c>
      <c r="O18" s="19">
        <f t="shared" si="5"/>
        <v>3861.35</v>
      </c>
      <c r="P18" s="19">
        <f t="shared" si="6"/>
        <v>-3483.08</v>
      </c>
      <c r="Q18" s="19">
        <f t="shared" si="7"/>
        <v>772648.89</v>
      </c>
      <c r="R18" s="94">
        <f>'Фактический индекс'!$F$30</f>
        <v>1.0257000000000001</v>
      </c>
      <c r="S18" s="19">
        <f t="shared" si="8"/>
        <v>792505.97</v>
      </c>
      <c r="T18" s="93">
        <f>'Прогнозный индекс'!$F$43</f>
        <v>1.0708</v>
      </c>
      <c r="U18" s="213">
        <f t="shared" si="0"/>
        <v>848615.39</v>
      </c>
      <c r="V18" s="213">
        <f t="shared" si="9"/>
        <v>848615.39</v>
      </c>
      <c r="W18" s="218">
        <f t="shared" si="0"/>
        <v>0</v>
      </c>
      <c r="X18" s="219">
        <f t="shared" si="10"/>
        <v>0</v>
      </c>
    </row>
    <row r="19" spans="1:24" ht="47.25" x14ac:dyDescent="0.25">
      <c r="A19" s="84" t="s">
        <v>289</v>
      </c>
      <c r="B19" s="83" t="s">
        <v>221</v>
      </c>
      <c r="C19" s="82" t="s">
        <v>235</v>
      </c>
      <c r="D19" s="16" t="s">
        <v>23</v>
      </c>
      <c r="E19" s="17">
        <v>1</v>
      </c>
      <c r="F19" s="18">
        <v>2474471.9700000002</v>
      </c>
      <c r="G19" s="18">
        <v>244578.92</v>
      </c>
      <c r="H19" s="18">
        <v>6047217.1200000001</v>
      </c>
      <c r="I19" s="19"/>
      <c r="J19" s="19">
        <f t="shared" si="3"/>
        <v>8766268.0099999998</v>
      </c>
      <c r="K19" s="20">
        <v>8766.27</v>
      </c>
      <c r="L19" s="21">
        <v>3.1E-2</v>
      </c>
      <c r="M19" s="19">
        <f t="shared" si="4"/>
        <v>84290.58</v>
      </c>
      <c r="N19" s="21">
        <v>5.0000000000000001E-3</v>
      </c>
      <c r="O19" s="19">
        <f t="shared" si="5"/>
        <v>14016.71</v>
      </c>
      <c r="P19" s="19">
        <f t="shared" si="6"/>
        <v>-12643.59</v>
      </c>
      <c r="Q19" s="19">
        <f t="shared" si="7"/>
        <v>8851931.7100000009</v>
      </c>
      <c r="R19" s="94">
        <f>'Фактический индекс'!$F$30</f>
        <v>1.0257000000000001</v>
      </c>
      <c r="S19" s="19">
        <f t="shared" si="8"/>
        <v>9079426.3499999996</v>
      </c>
      <c r="T19" s="93">
        <f>'Прогнозный индекс'!$F$43</f>
        <v>1.0708</v>
      </c>
      <c r="U19" s="213">
        <f t="shared" si="0"/>
        <v>9722249.7400000002</v>
      </c>
      <c r="V19" s="213">
        <f t="shared" si="9"/>
        <v>9722249.7400000002</v>
      </c>
      <c r="W19" s="218">
        <f t="shared" si="0"/>
        <v>6641776.8499999996</v>
      </c>
      <c r="X19" s="219">
        <f t="shared" si="10"/>
        <v>6641776.8499999996</v>
      </c>
    </row>
    <row r="20" spans="1:24" ht="31.5" x14ac:dyDescent="0.25">
      <c r="A20" s="334" t="s">
        <v>290</v>
      </c>
      <c r="B20" s="83" t="s">
        <v>222</v>
      </c>
      <c r="C20" s="82" t="s">
        <v>236</v>
      </c>
      <c r="D20" s="16" t="s">
        <v>23</v>
      </c>
      <c r="E20" s="17">
        <v>1</v>
      </c>
      <c r="F20" s="18">
        <v>601.34</v>
      </c>
      <c r="G20" s="18">
        <v>499122.05</v>
      </c>
      <c r="H20" s="18">
        <v>770416.94</v>
      </c>
      <c r="I20" s="19"/>
      <c r="J20" s="332">
        <f t="shared" si="3"/>
        <v>1270140.33</v>
      </c>
      <c r="K20" s="20">
        <v>1437.79</v>
      </c>
      <c r="L20" s="21">
        <v>3.1E-2</v>
      </c>
      <c r="M20" s="19">
        <f t="shared" si="4"/>
        <v>15491.43</v>
      </c>
      <c r="N20" s="21">
        <v>5.0000000000000001E-3</v>
      </c>
      <c r="O20" s="19">
        <f t="shared" si="5"/>
        <v>2576.0700000000002</v>
      </c>
      <c r="P20" s="19">
        <f t="shared" si="6"/>
        <v>-2323.71</v>
      </c>
      <c r="Q20" s="19">
        <f t="shared" si="7"/>
        <v>1285884.1200000001</v>
      </c>
      <c r="R20" s="94">
        <f>'Фактический индекс'!$F$30</f>
        <v>1.0257000000000001</v>
      </c>
      <c r="S20" s="19">
        <f t="shared" si="8"/>
        <v>1318931.3400000001</v>
      </c>
      <c r="T20" s="93">
        <f>'Прогнозный индекс'!$F$43</f>
        <v>1.0708</v>
      </c>
      <c r="U20" s="213">
        <f t="shared" si="0"/>
        <v>1412311.68</v>
      </c>
      <c r="V20" s="213">
        <f t="shared" si="9"/>
        <v>1412311.68</v>
      </c>
      <c r="W20" s="218">
        <f t="shared" si="0"/>
        <v>846163.99</v>
      </c>
      <c r="X20" s="219">
        <f t="shared" si="10"/>
        <v>846163.99</v>
      </c>
    </row>
    <row r="21" spans="1:24" ht="31.5" x14ac:dyDescent="0.25">
      <c r="A21" s="84" t="s">
        <v>291</v>
      </c>
      <c r="B21" s="83" t="s">
        <v>223</v>
      </c>
      <c r="C21" s="82" t="s">
        <v>237</v>
      </c>
      <c r="D21" s="16" t="s">
        <v>23</v>
      </c>
      <c r="E21" s="17">
        <v>1</v>
      </c>
      <c r="F21" s="18">
        <v>64884.79</v>
      </c>
      <c r="G21" s="18">
        <v>167558.35</v>
      </c>
      <c r="H21" s="18">
        <v>131051.06</v>
      </c>
      <c r="I21" s="19"/>
      <c r="J21" s="19">
        <f t="shared" si="3"/>
        <v>363494.2</v>
      </c>
      <c r="K21" s="20">
        <v>363.49</v>
      </c>
      <c r="L21" s="21">
        <v>3.1E-2</v>
      </c>
      <c r="M21" s="19">
        <f t="shared" si="4"/>
        <v>7205.74</v>
      </c>
      <c r="N21" s="21">
        <v>5.0000000000000001E-3</v>
      </c>
      <c r="O21" s="19">
        <f t="shared" si="5"/>
        <v>1198.24</v>
      </c>
      <c r="P21" s="19">
        <f t="shared" si="6"/>
        <v>-1080.8599999999999</v>
      </c>
      <c r="Q21" s="19">
        <f t="shared" si="7"/>
        <v>370817.32</v>
      </c>
      <c r="R21" s="94">
        <f>'Фактический индекс'!$F$30</f>
        <v>1.0257000000000001</v>
      </c>
      <c r="S21" s="19">
        <f t="shared" si="8"/>
        <v>380347.33</v>
      </c>
      <c r="T21" s="93">
        <f>'Прогнозный индекс'!$F$43</f>
        <v>1.0708</v>
      </c>
      <c r="U21" s="213">
        <f t="shared" si="0"/>
        <v>407275.92</v>
      </c>
      <c r="V21" s="213">
        <f t="shared" si="9"/>
        <v>407275.92</v>
      </c>
      <c r="W21" s="218">
        <f t="shared" si="0"/>
        <v>143935.94</v>
      </c>
      <c r="X21" s="219">
        <f t="shared" si="10"/>
        <v>143935.94</v>
      </c>
    </row>
    <row r="22" spans="1:24" ht="47.25" x14ac:dyDescent="0.25">
      <c r="A22" s="84" t="s">
        <v>292</v>
      </c>
      <c r="B22" s="83" t="s">
        <v>224</v>
      </c>
      <c r="C22" s="82" t="s">
        <v>238</v>
      </c>
      <c r="D22" s="16" t="s">
        <v>23</v>
      </c>
      <c r="E22" s="17">
        <v>1</v>
      </c>
      <c r="F22" s="18">
        <v>100012.81</v>
      </c>
      <c r="G22" s="18">
        <v>1937675.73</v>
      </c>
      <c r="H22" s="18">
        <v>3529738.87</v>
      </c>
      <c r="I22" s="19"/>
      <c r="J22" s="19">
        <f t="shared" si="3"/>
        <v>5567427.4100000001</v>
      </c>
      <c r="K22" s="20">
        <v>5567.43</v>
      </c>
      <c r="L22" s="21">
        <v>3.1E-2</v>
      </c>
      <c r="M22" s="19">
        <f t="shared" si="4"/>
        <v>63168.34</v>
      </c>
      <c r="N22" s="21">
        <v>5.0000000000000001E-3</v>
      </c>
      <c r="O22" s="19">
        <f t="shared" si="5"/>
        <v>10504.28</v>
      </c>
      <c r="P22" s="19">
        <f t="shared" si="6"/>
        <v>-9475.25</v>
      </c>
      <c r="Q22" s="19">
        <f t="shared" si="7"/>
        <v>5631624.7800000003</v>
      </c>
      <c r="R22" s="94">
        <f>'Фактический индекс'!$F$30</f>
        <v>1.0257000000000001</v>
      </c>
      <c r="S22" s="19">
        <f t="shared" si="8"/>
        <v>5776357.54</v>
      </c>
      <c r="T22" s="93">
        <f>'Прогнозный индекс'!$F$43</f>
        <v>1.0708</v>
      </c>
      <c r="U22" s="213">
        <f t="shared" si="0"/>
        <v>6185323.6500000004</v>
      </c>
      <c r="V22" s="213">
        <f t="shared" si="9"/>
        <v>6185323.6500000004</v>
      </c>
      <c r="W22" s="218">
        <f t="shared" si="0"/>
        <v>3876781.24</v>
      </c>
      <c r="X22" s="219">
        <f t="shared" si="10"/>
        <v>3876781.24</v>
      </c>
    </row>
    <row r="23" spans="1:24" ht="47.25" x14ac:dyDescent="0.25">
      <c r="A23" s="84" t="s">
        <v>293</v>
      </c>
      <c r="B23" s="82" t="s">
        <v>225</v>
      </c>
      <c r="C23" s="82" t="s">
        <v>239</v>
      </c>
      <c r="D23" s="16" t="s">
        <v>23</v>
      </c>
      <c r="E23" s="17">
        <v>1</v>
      </c>
      <c r="F23" s="18">
        <v>1044.78</v>
      </c>
      <c r="G23" s="18">
        <v>1182006.32</v>
      </c>
      <c r="H23" s="18">
        <v>1103464.17</v>
      </c>
      <c r="I23" s="19"/>
      <c r="J23" s="19">
        <f t="shared" si="3"/>
        <v>2286515.27</v>
      </c>
      <c r="K23" s="20">
        <v>2286.5100000000002</v>
      </c>
      <c r="L23" s="21">
        <v>3.1E-2</v>
      </c>
      <c r="M23" s="19">
        <f t="shared" si="4"/>
        <v>36674.58</v>
      </c>
      <c r="N23" s="21">
        <v>5.0000000000000001E-3</v>
      </c>
      <c r="O23" s="19">
        <f t="shared" si="5"/>
        <v>6098.63</v>
      </c>
      <c r="P23" s="19">
        <f t="shared" si="6"/>
        <v>-5501.19</v>
      </c>
      <c r="Q23" s="19">
        <f t="shared" si="7"/>
        <v>2323787.29</v>
      </c>
      <c r="R23" s="94">
        <f>'Фактический индекс'!$F$30</f>
        <v>1.0257000000000001</v>
      </c>
      <c r="S23" s="19">
        <f t="shared" si="8"/>
        <v>2383508.62</v>
      </c>
      <c r="T23" s="93">
        <f>'Прогнозный индекс'!$F$43</f>
        <v>1.0708</v>
      </c>
      <c r="U23" s="213">
        <f t="shared" si="0"/>
        <v>2552261.0299999998</v>
      </c>
      <c r="V23" s="213">
        <f t="shared" si="9"/>
        <v>2552261.0299999998</v>
      </c>
      <c r="W23" s="218">
        <f t="shared" si="0"/>
        <v>1211956.28</v>
      </c>
      <c r="X23" s="219">
        <f t="shared" si="10"/>
        <v>1211956.28</v>
      </c>
    </row>
    <row r="24" spans="1:24" ht="47.25" x14ac:dyDescent="0.25">
      <c r="A24" s="334" t="s">
        <v>294</v>
      </c>
      <c r="B24" s="83" t="s">
        <v>226</v>
      </c>
      <c r="C24" s="82" t="s">
        <v>240</v>
      </c>
      <c r="D24" s="16" t="s">
        <v>23</v>
      </c>
      <c r="E24" s="17">
        <v>1</v>
      </c>
      <c r="F24" s="18">
        <v>16195.06</v>
      </c>
      <c r="G24" s="18">
        <v>961742.06</v>
      </c>
      <c r="H24" s="18">
        <v>3684427.78</v>
      </c>
      <c r="I24" s="19"/>
      <c r="J24" s="332">
        <f t="shared" si="3"/>
        <v>4662364.9000000004</v>
      </c>
      <c r="K24" s="20">
        <v>9045.9599999999991</v>
      </c>
      <c r="L24" s="21">
        <v>3.1E-2</v>
      </c>
      <c r="M24" s="19">
        <f t="shared" si="4"/>
        <v>30316.05</v>
      </c>
      <c r="N24" s="21">
        <v>5.0000000000000001E-3</v>
      </c>
      <c r="O24" s="19">
        <f t="shared" si="5"/>
        <v>5041.2700000000004</v>
      </c>
      <c r="P24" s="19">
        <f t="shared" si="6"/>
        <v>-4547.41</v>
      </c>
      <c r="Q24" s="19">
        <f t="shared" si="7"/>
        <v>4693174.8099999996</v>
      </c>
      <c r="R24" s="94">
        <f>'Фактический индекс'!$F$30</f>
        <v>1.0257000000000001</v>
      </c>
      <c r="S24" s="19">
        <f t="shared" si="8"/>
        <v>4813789.4000000004</v>
      </c>
      <c r="T24" s="93">
        <f>'Прогнозный индекс'!$F$43</f>
        <v>1.0708</v>
      </c>
      <c r="U24" s="213">
        <f t="shared" si="0"/>
        <v>5154605.6900000004</v>
      </c>
      <c r="V24" s="213">
        <f t="shared" si="9"/>
        <v>5154605.6900000004</v>
      </c>
      <c r="W24" s="218">
        <f t="shared" si="0"/>
        <v>4046679.1</v>
      </c>
      <c r="X24" s="219">
        <f t="shared" si="10"/>
        <v>4046679.1</v>
      </c>
    </row>
    <row r="25" spans="1:24" ht="31.5" x14ac:dyDescent="0.25">
      <c r="A25" s="78" t="s">
        <v>33</v>
      </c>
      <c r="B25" s="79" t="s">
        <v>73</v>
      </c>
      <c r="C25" s="77" t="s">
        <v>241</v>
      </c>
      <c r="D25" s="63" t="s">
        <v>23</v>
      </c>
      <c r="E25" s="64">
        <v>1</v>
      </c>
      <c r="F25" s="67">
        <v>7676281.9299999997</v>
      </c>
      <c r="G25" s="69"/>
      <c r="H25" s="69"/>
      <c r="I25" s="70"/>
      <c r="J25" s="14">
        <f t="shared" si="3"/>
        <v>7676281.9299999997</v>
      </c>
      <c r="K25" s="65">
        <v>7676.28</v>
      </c>
      <c r="L25" s="66">
        <v>3.1E-2</v>
      </c>
      <c r="M25" s="14">
        <f t="shared" si="4"/>
        <v>237964.74</v>
      </c>
      <c r="N25" s="66">
        <v>5.0000000000000001E-3</v>
      </c>
      <c r="O25" s="14">
        <f t="shared" si="5"/>
        <v>39571.230000000003</v>
      </c>
      <c r="P25" s="14">
        <f t="shared" si="6"/>
        <v>-35694.71</v>
      </c>
      <c r="Q25" s="14">
        <f t="shared" si="7"/>
        <v>7918123.1900000004</v>
      </c>
      <c r="R25" s="92">
        <f>'Фактический индекс'!$F$30</f>
        <v>1.0257000000000001</v>
      </c>
      <c r="S25" s="14">
        <f t="shared" si="8"/>
        <v>8121618.96</v>
      </c>
      <c r="T25" s="93">
        <f>'Прогнозный индекс'!$F$43</f>
        <v>1.0708</v>
      </c>
      <c r="U25" s="211">
        <f t="shared" si="0"/>
        <v>8696629.5800000001</v>
      </c>
      <c r="V25" s="211">
        <f t="shared" si="9"/>
        <v>8696629.5800000001</v>
      </c>
      <c r="W25" s="216">
        <f t="shared" si="0"/>
        <v>0</v>
      </c>
      <c r="X25" s="217">
        <f t="shared" si="10"/>
        <v>0</v>
      </c>
    </row>
    <row r="26" spans="1:24" ht="47.25" x14ac:dyDescent="0.25">
      <c r="A26" s="78" t="s">
        <v>35</v>
      </c>
      <c r="B26" s="79" t="s">
        <v>78</v>
      </c>
      <c r="C26" s="77" t="s">
        <v>242</v>
      </c>
      <c r="D26" s="63" t="s">
        <v>23</v>
      </c>
      <c r="E26" s="64">
        <v>1</v>
      </c>
      <c r="F26" s="67">
        <v>585554.69999999995</v>
      </c>
      <c r="G26" s="67">
        <v>2817568.16</v>
      </c>
      <c r="H26" s="67">
        <v>170318.59</v>
      </c>
      <c r="I26" s="14"/>
      <c r="J26" s="14">
        <f t="shared" si="3"/>
        <v>3573441.45</v>
      </c>
      <c r="K26" s="65">
        <v>3573.44</v>
      </c>
      <c r="L26" s="66">
        <v>3.1E-2</v>
      </c>
      <c r="M26" s="14">
        <f t="shared" si="4"/>
        <v>105496.81</v>
      </c>
      <c r="N26" s="66">
        <v>5.0000000000000001E-3</v>
      </c>
      <c r="O26" s="14">
        <f t="shared" si="5"/>
        <v>17543.099999999999</v>
      </c>
      <c r="P26" s="14">
        <f t="shared" si="6"/>
        <v>-15824.52</v>
      </c>
      <c r="Q26" s="14">
        <f t="shared" si="7"/>
        <v>3680656.84</v>
      </c>
      <c r="R26" s="92">
        <f>'Фактический индекс'!$F$30</f>
        <v>1.0257000000000001</v>
      </c>
      <c r="S26" s="14">
        <f t="shared" si="8"/>
        <v>3775249.72</v>
      </c>
      <c r="T26" s="93">
        <f>'Прогнозный индекс'!$F$43</f>
        <v>1.0708</v>
      </c>
      <c r="U26" s="211">
        <f t="shared" si="0"/>
        <v>4042537.4</v>
      </c>
      <c r="V26" s="211">
        <f t="shared" si="9"/>
        <v>4042537.4</v>
      </c>
      <c r="W26" s="216">
        <f t="shared" si="0"/>
        <v>187064.24</v>
      </c>
      <c r="X26" s="217">
        <f t="shared" si="10"/>
        <v>187064.24</v>
      </c>
    </row>
    <row r="27" spans="1:24" ht="31.5" x14ac:dyDescent="0.25">
      <c r="A27" s="78" t="s">
        <v>36</v>
      </c>
      <c r="B27" s="79" t="s">
        <v>83</v>
      </c>
      <c r="C27" s="77" t="s">
        <v>243</v>
      </c>
      <c r="D27" s="63" t="s">
        <v>23</v>
      </c>
      <c r="E27" s="64">
        <v>1</v>
      </c>
      <c r="F27" s="67">
        <v>1220775.67</v>
      </c>
      <c r="G27" s="67">
        <v>3530221.54</v>
      </c>
      <c r="H27" s="67">
        <v>12831.8</v>
      </c>
      <c r="I27" s="14"/>
      <c r="J27" s="14">
        <f t="shared" si="3"/>
        <v>4763829.01</v>
      </c>
      <c r="K27" s="65">
        <v>4763.83</v>
      </c>
      <c r="L27" s="66">
        <v>3.1E-2</v>
      </c>
      <c r="M27" s="14">
        <f t="shared" si="4"/>
        <v>147280.91</v>
      </c>
      <c r="N27" s="66">
        <v>5.0000000000000001E-3</v>
      </c>
      <c r="O27" s="14">
        <f t="shared" si="5"/>
        <v>24491.39</v>
      </c>
      <c r="P27" s="14">
        <f t="shared" si="6"/>
        <v>-22092.14</v>
      </c>
      <c r="Q27" s="14">
        <f t="shared" si="7"/>
        <v>4913509.17</v>
      </c>
      <c r="R27" s="92">
        <f>'Фактический индекс'!$F$30</f>
        <v>1.0257000000000001</v>
      </c>
      <c r="S27" s="14">
        <f t="shared" si="8"/>
        <v>5039786.3600000003</v>
      </c>
      <c r="T27" s="93">
        <f>'Прогнозный индекс'!$F$43</f>
        <v>1.0708</v>
      </c>
      <c r="U27" s="211">
        <f t="shared" si="0"/>
        <v>5396603.2300000004</v>
      </c>
      <c r="V27" s="211">
        <f t="shared" si="9"/>
        <v>5396603.2300000004</v>
      </c>
      <c r="W27" s="216">
        <f t="shared" si="0"/>
        <v>14093.42</v>
      </c>
      <c r="X27" s="217">
        <f t="shared" si="10"/>
        <v>14093.42</v>
      </c>
    </row>
    <row r="28" spans="1:24" x14ac:dyDescent="0.25">
      <c r="A28" s="78" t="s">
        <v>37</v>
      </c>
      <c r="B28" s="79" t="s">
        <v>86</v>
      </c>
      <c r="C28" s="77" t="s">
        <v>87</v>
      </c>
      <c r="D28" s="63" t="s">
        <v>23</v>
      </c>
      <c r="E28" s="64">
        <v>1</v>
      </c>
      <c r="F28" s="67">
        <f>F29+F30+F31</f>
        <v>2741006.39</v>
      </c>
      <c r="G28" s="67">
        <f>G29+G30+G31</f>
        <v>5807517.7000000002</v>
      </c>
      <c r="H28" s="67">
        <f>H29+H30+H31</f>
        <v>1146190.6299999999</v>
      </c>
      <c r="I28" s="70"/>
      <c r="J28" s="67">
        <f>J29+J30+J31</f>
        <v>9694714.7200000007</v>
      </c>
      <c r="K28" s="65">
        <v>9694.7199999999993</v>
      </c>
      <c r="L28" s="71"/>
      <c r="M28" s="67">
        <f>M29+M30+M31</f>
        <v>265004.25</v>
      </c>
      <c r="N28" s="71"/>
      <c r="O28" s="67">
        <f>O29+O30+O31</f>
        <v>44067.64</v>
      </c>
      <c r="P28" s="67">
        <f>P29+P30+P31</f>
        <v>-39750.629999999997</v>
      </c>
      <c r="Q28" s="67">
        <f>Q29+Q30+Q31</f>
        <v>9964035.9800000004</v>
      </c>
      <c r="R28" s="14"/>
      <c r="S28" s="67">
        <f>S29+S30+S31</f>
        <v>10220111.699999999</v>
      </c>
      <c r="T28" s="14"/>
      <c r="U28" s="212">
        <f t="shared" si="0"/>
        <v>10943695.6</v>
      </c>
      <c r="V28" s="212">
        <f>V29+V30+V31</f>
        <v>10943695.6</v>
      </c>
      <c r="W28" s="217">
        <f t="shared" si="0"/>
        <v>1258883.5900000001</v>
      </c>
      <c r="X28" s="217">
        <f>X29+X30+X31</f>
        <v>1258883.5900000001</v>
      </c>
    </row>
    <row r="29" spans="1:24" ht="31.5" x14ac:dyDescent="0.25">
      <c r="A29" s="84" t="s">
        <v>295</v>
      </c>
      <c r="B29" s="85" t="s">
        <v>227</v>
      </c>
      <c r="C29" s="85" t="s">
        <v>244</v>
      </c>
      <c r="D29" s="16" t="s">
        <v>23</v>
      </c>
      <c r="E29" s="17">
        <v>1</v>
      </c>
      <c r="F29" s="18">
        <v>2139562.0299999998</v>
      </c>
      <c r="G29" s="18"/>
      <c r="H29" s="18"/>
      <c r="I29" s="19"/>
      <c r="J29" s="19">
        <f t="shared" si="3"/>
        <v>2139562.0299999998</v>
      </c>
      <c r="K29" s="20">
        <v>2139.56</v>
      </c>
      <c r="L29" s="21">
        <v>3.1E-2</v>
      </c>
      <c r="M29" s="19">
        <f t="shared" ref="M29:M31" si="11">(F29+G29)*3.1%</f>
        <v>66326.42</v>
      </c>
      <c r="N29" s="21">
        <v>5.0000000000000001E-3</v>
      </c>
      <c r="O29" s="19">
        <f t="shared" ref="O29:O31" si="12">(F29+G29+M29)*0.5%</f>
        <v>11029.44</v>
      </c>
      <c r="P29" s="19">
        <f t="shared" ref="P29:P31" si="13">-M29*15%</f>
        <v>-9948.9599999999991</v>
      </c>
      <c r="Q29" s="19">
        <f t="shared" ref="Q29:Q31" si="14">J29+M29+O29+P29</f>
        <v>2206968.9300000002</v>
      </c>
      <c r="R29" s="94">
        <f>'Фактический индекс'!$F$30</f>
        <v>1.0257000000000001</v>
      </c>
      <c r="S29" s="19">
        <f t="shared" si="8"/>
        <v>2263688.0299999998</v>
      </c>
      <c r="T29" s="93">
        <f>'Прогнозный индекс'!$F$43</f>
        <v>1.0708</v>
      </c>
      <c r="U29" s="213">
        <f t="shared" si="0"/>
        <v>2423957.14</v>
      </c>
      <c r="V29" s="213">
        <f t="shared" ref="V29:V31" si="15">S29*T29</f>
        <v>2423957.14</v>
      </c>
      <c r="W29" s="218">
        <f t="shared" si="0"/>
        <v>0</v>
      </c>
      <c r="X29" s="219">
        <f>H29*R29*T29</f>
        <v>0</v>
      </c>
    </row>
    <row r="30" spans="1:24" ht="47.25" x14ac:dyDescent="0.25">
      <c r="A30" s="84" t="s">
        <v>296</v>
      </c>
      <c r="B30" s="85" t="s">
        <v>228</v>
      </c>
      <c r="C30" s="85" t="s">
        <v>245</v>
      </c>
      <c r="D30" s="16" t="s">
        <v>23</v>
      </c>
      <c r="E30" s="17">
        <v>1</v>
      </c>
      <c r="F30" s="18">
        <v>147585.12</v>
      </c>
      <c r="G30" s="18">
        <v>5626301.5999999996</v>
      </c>
      <c r="H30" s="18">
        <v>575840.22</v>
      </c>
      <c r="I30" s="19"/>
      <c r="J30" s="19">
        <f t="shared" si="3"/>
        <v>6349726.9400000004</v>
      </c>
      <c r="K30" s="20">
        <v>6349.73</v>
      </c>
      <c r="L30" s="21">
        <v>3.1E-2</v>
      </c>
      <c r="M30" s="19">
        <f t="shared" si="11"/>
        <v>178990.49</v>
      </c>
      <c r="N30" s="21">
        <v>5.0000000000000001E-3</v>
      </c>
      <c r="O30" s="19">
        <f t="shared" si="12"/>
        <v>29764.39</v>
      </c>
      <c r="P30" s="19">
        <f t="shared" si="13"/>
        <v>-26848.57</v>
      </c>
      <c r="Q30" s="19">
        <f t="shared" si="14"/>
        <v>6531633.25</v>
      </c>
      <c r="R30" s="94">
        <f>'Фактический индекс'!$F$30</f>
        <v>1.0257000000000001</v>
      </c>
      <c r="S30" s="19">
        <f t="shared" si="8"/>
        <v>6699496.2199999997</v>
      </c>
      <c r="T30" s="93">
        <f>'Прогнозный индекс'!$F$43</f>
        <v>1.0708</v>
      </c>
      <c r="U30" s="213">
        <f t="shared" si="0"/>
        <v>7173820.5499999998</v>
      </c>
      <c r="V30" s="213">
        <f t="shared" si="15"/>
        <v>7173820.5499999998</v>
      </c>
      <c r="W30" s="218">
        <f t="shared" si="0"/>
        <v>632456.57999999996</v>
      </c>
      <c r="X30" s="219">
        <f>H30*R30*T30</f>
        <v>632456.57999999996</v>
      </c>
    </row>
    <row r="31" spans="1:24" ht="47.25" x14ac:dyDescent="0.25">
      <c r="A31" s="84" t="s">
        <v>297</v>
      </c>
      <c r="B31" s="85" t="s">
        <v>229</v>
      </c>
      <c r="C31" s="85" t="s">
        <v>246</v>
      </c>
      <c r="D31" s="16" t="s">
        <v>23</v>
      </c>
      <c r="E31" s="17">
        <v>1</v>
      </c>
      <c r="F31" s="18">
        <v>453859.24</v>
      </c>
      <c r="G31" s="18">
        <v>181216.1</v>
      </c>
      <c r="H31" s="18">
        <v>570350.41</v>
      </c>
      <c r="I31" s="19"/>
      <c r="J31" s="19">
        <f t="shared" si="3"/>
        <v>1205425.75</v>
      </c>
      <c r="K31" s="20">
        <v>1205.43</v>
      </c>
      <c r="L31" s="21">
        <v>3.1E-2</v>
      </c>
      <c r="M31" s="19">
        <f t="shared" si="11"/>
        <v>19687.34</v>
      </c>
      <c r="N31" s="21">
        <v>5.0000000000000001E-3</v>
      </c>
      <c r="O31" s="19">
        <f t="shared" si="12"/>
        <v>3273.81</v>
      </c>
      <c r="P31" s="19">
        <f t="shared" si="13"/>
        <v>-2953.1</v>
      </c>
      <c r="Q31" s="19">
        <f t="shared" si="14"/>
        <v>1225433.8</v>
      </c>
      <c r="R31" s="94">
        <f>'Фактический индекс'!$F$30</f>
        <v>1.0257000000000001</v>
      </c>
      <c r="S31" s="19">
        <f t="shared" si="8"/>
        <v>1256927.45</v>
      </c>
      <c r="T31" s="93">
        <f>'Прогнозный индекс'!$F$43</f>
        <v>1.0708</v>
      </c>
      <c r="U31" s="213">
        <f t="shared" si="0"/>
        <v>1345917.91</v>
      </c>
      <c r="V31" s="213">
        <f t="shared" si="15"/>
        <v>1345917.91</v>
      </c>
      <c r="W31" s="218">
        <f t="shared" si="0"/>
        <v>626427.01</v>
      </c>
      <c r="X31" s="219">
        <f>H31*R31*T31</f>
        <v>626427.01</v>
      </c>
    </row>
    <row r="32" spans="1:24" x14ac:dyDescent="0.25">
      <c r="A32" s="78" t="s">
        <v>38</v>
      </c>
      <c r="B32" s="79" t="s">
        <v>91</v>
      </c>
      <c r="C32" s="77" t="s">
        <v>92</v>
      </c>
      <c r="D32" s="63" t="s">
        <v>23</v>
      </c>
      <c r="E32" s="64">
        <v>1</v>
      </c>
      <c r="F32" s="67">
        <f>F33+F34+F35+F36+F37</f>
        <v>18956398.329999998</v>
      </c>
      <c r="G32" s="67">
        <f>G33+G34+G35+G36+G37</f>
        <v>174793.42</v>
      </c>
      <c r="H32" s="67">
        <f>H33+H34+H35+H36+H37</f>
        <v>5275795.74</v>
      </c>
      <c r="I32" s="70"/>
      <c r="J32" s="67">
        <f>J33+J34+J35+J36+J37</f>
        <v>24406987.489999998</v>
      </c>
      <c r="K32" s="65">
        <v>24406.98</v>
      </c>
      <c r="L32" s="71"/>
      <c r="M32" s="67">
        <f>M33+M34+M35+M36+M37</f>
        <v>593066.93999999994</v>
      </c>
      <c r="N32" s="71"/>
      <c r="O32" s="67">
        <f>O33+O34+O35+O36+O37</f>
        <v>98621.3</v>
      </c>
      <c r="P32" s="67">
        <f>P33+P34+P35+P36+P37</f>
        <v>-88960.04</v>
      </c>
      <c r="Q32" s="67">
        <f>Q33+Q34+Q35+Q36+Q37</f>
        <v>25009715.690000001</v>
      </c>
      <c r="R32" s="70"/>
      <c r="S32" s="67">
        <f>S33+S34+S35+S36+S37</f>
        <v>25652465.379999999</v>
      </c>
      <c r="T32" s="70"/>
      <c r="U32" s="212">
        <f t="shared" si="0"/>
        <v>27468659.93</v>
      </c>
      <c r="V32" s="212">
        <f>V33+V34+V35+V36+V37</f>
        <v>27468659.93</v>
      </c>
      <c r="W32" s="217">
        <f t="shared" si="0"/>
        <v>5794509.6500000004</v>
      </c>
      <c r="X32" s="217">
        <f>X33+X34+X35+X36+X37</f>
        <v>5794509.6500000004</v>
      </c>
    </row>
    <row r="33" spans="1:24" ht="31.5" x14ac:dyDescent="0.25">
      <c r="A33" s="84" t="s">
        <v>298</v>
      </c>
      <c r="B33" s="83" t="s">
        <v>247</v>
      </c>
      <c r="C33" s="82" t="s">
        <v>252</v>
      </c>
      <c r="D33" s="16" t="s">
        <v>23</v>
      </c>
      <c r="E33" s="17">
        <v>1</v>
      </c>
      <c r="F33" s="18">
        <v>231010.92</v>
      </c>
      <c r="G33" s="18"/>
      <c r="H33" s="18"/>
      <c r="I33" s="19"/>
      <c r="J33" s="19">
        <f t="shared" si="3"/>
        <v>231010.92</v>
      </c>
      <c r="K33" s="20">
        <v>231.01</v>
      </c>
      <c r="L33" s="21">
        <v>3.1E-2</v>
      </c>
      <c r="M33" s="19">
        <f t="shared" ref="M33:M37" si="16">(F33+G33)*3.1%</f>
        <v>7161.34</v>
      </c>
      <c r="N33" s="21">
        <v>5.0000000000000001E-3</v>
      </c>
      <c r="O33" s="19">
        <f t="shared" ref="O33:O37" si="17">(F33+G33+M33)*0.5%</f>
        <v>1190.8599999999999</v>
      </c>
      <c r="P33" s="19">
        <f t="shared" ref="P33:P37" si="18">-M33*15%</f>
        <v>-1074.2</v>
      </c>
      <c r="Q33" s="19">
        <f t="shared" ref="Q33:Q37" si="19">J33+M33+O33+P33</f>
        <v>238288.92</v>
      </c>
      <c r="R33" s="94">
        <f>'Фактический индекс'!$F$30</f>
        <v>1.0257000000000001</v>
      </c>
      <c r="S33" s="19">
        <f t="shared" si="8"/>
        <v>244412.95</v>
      </c>
      <c r="T33" s="93">
        <f>'Прогнозный индекс'!$F$43</f>
        <v>1.0708</v>
      </c>
      <c r="U33" s="213">
        <f t="shared" si="0"/>
        <v>261717.39</v>
      </c>
      <c r="V33" s="213">
        <f t="shared" ref="V33:V37" si="20">S33*T33</f>
        <v>261717.39</v>
      </c>
      <c r="W33" s="218">
        <f t="shared" si="0"/>
        <v>0</v>
      </c>
      <c r="X33" s="219">
        <f>H33*R33*T33</f>
        <v>0</v>
      </c>
    </row>
    <row r="34" spans="1:24" ht="47.25" x14ac:dyDescent="0.25">
      <c r="A34" s="84" t="s">
        <v>299</v>
      </c>
      <c r="B34" s="83" t="s">
        <v>248</v>
      </c>
      <c r="C34" s="82" t="s">
        <v>253</v>
      </c>
      <c r="D34" s="16" t="s">
        <v>23</v>
      </c>
      <c r="E34" s="17">
        <v>1</v>
      </c>
      <c r="F34" s="18">
        <v>1966633.37</v>
      </c>
      <c r="G34" s="18"/>
      <c r="H34" s="18">
        <v>481276</v>
      </c>
      <c r="I34" s="19"/>
      <c r="J34" s="19">
        <f t="shared" si="3"/>
        <v>2447909.37</v>
      </c>
      <c r="K34" s="20">
        <v>2447.91</v>
      </c>
      <c r="L34" s="21">
        <v>3.1E-2</v>
      </c>
      <c r="M34" s="19">
        <f t="shared" si="16"/>
        <v>60965.63</v>
      </c>
      <c r="N34" s="21">
        <v>5.0000000000000001E-3</v>
      </c>
      <c r="O34" s="19">
        <f t="shared" si="17"/>
        <v>10138</v>
      </c>
      <c r="P34" s="19">
        <f t="shared" si="18"/>
        <v>-9144.84</v>
      </c>
      <c r="Q34" s="19">
        <f t="shared" si="19"/>
        <v>2509868.16</v>
      </c>
      <c r="R34" s="94">
        <f>'Фактический индекс'!$F$30</f>
        <v>1.0257000000000001</v>
      </c>
      <c r="S34" s="19">
        <f t="shared" si="8"/>
        <v>2574371.77</v>
      </c>
      <c r="T34" s="93">
        <f>'Прогнозный индекс'!$F$43</f>
        <v>1.0708</v>
      </c>
      <c r="U34" s="213">
        <f t="shared" si="0"/>
        <v>2756637.29</v>
      </c>
      <c r="V34" s="213">
        <f t="shared" si="20"/>
        <v>2756637.29</v>
      </c>
      <c r="W34" s="218">
        <f t="shared" si="0"/>
        <v>528594.84</v>
      </c>
      <c r="X34" s="219">
        <f>H34*R34*T34</f>
        <v>528594.84</v>
      </c>
    </row>
    <row r="35" spans="1:24" ht="47.25" x14ac:dyDescent="0.25">
      <c r="A35" s="84" t="s">
        <v>300</v>
      </c>
      <c r="B35" s="83" t="s">
        <v>249</v>
      </c>
      <c r="C35" s="82" t="s">
        <v>254</v>
      </c>
      <c r="D35" s="16" t="s">
        <v>23</v>
      </c>
      <c r="E35" s="17">
        <v>1</v>
      </c>
      <c r="F35" s="18">
        <v>13542091.42</v>
      </c>
      <c r="G35" s="18">
        <v>174793.42</v>
      </c>
      <c r="H35" s="18">
        <v>4794519.74</v>
      </c>
      <c r="I35" s="19"/>
      <c r="J35" s="19">
        <f t="shared" si="3"/>
        <v>18511404.579999998</v>
      </c>
      <c r="K35" s="20">
        <v>18511.400000000001</v>
      </c>
      <c r="L35" s="21">
        <v>3.1E-2</v>
      </c>
      <c r="M35" s="19">
        <f t="shared" si="16"/>
        <v>425223.43</v>
      </c>
      <c r="N35" s="21">
        <v>5.0000000000000001E-3</v>
      </c>
      <c r="O35" s="19">
        <f t="shared" si="17"/>
        <v>70710.539999999994</v>
      </c>
      <c r="P35" s="19">
        <f t="shared" si="18"/>
        <v>-63783.51</v>
      </c>
      <c r="Q35" s="19">
        <f t="shared" si="19"/>
        <v>18943555.039999999</v>
      </c>
      <c r="R35" s="94">
        <f>'Фактический индекс'!$F$30</f>
        <v>1.0257000000000001</v>
      </c>
      <c r="S35" s="19">
        <f t="shared" si="8"/>
        <v>19430404.399999999</v>
      </c>
      <c r="T35" s="93">
        <f>'Прогнозный индекс'!$F$43</f>
        <v>1.0708</v>
      </c>
      <c r="U35" s="213">
        <f t="shared" si="0"/>
        <v>20806077.030000001</v>
      </c>
      <c r="V35" s="213">
        <f t="shared" si="20"/>
        <v>20806077.030000001</v>
      </c>
      <c r="W35" s="218">
        <f t="shared" si="0"/>
        <v>5265914.8099999996</v>
      </c>
      <c r="X35" s="219">
        <f>H35*R35*T35</f>
        <v>5265914.8099999996</v>
      </c>
    </row>
    <row r="36" spans="1:24" ht="47.25" x14ac:dyDescent="0.25">
      <c r="A36" s="84" t="s">
        <v>301</v>
      </c>
      <c r="B36" s="83" t="s">
        <v>250</v>
      </c>
      <c r="C36" s="82" t="s">
        <v>255</v>
      </c>
      <c r="D36" s="16" t="s">
        <v>23</v>
      </c>
      <c r="E36" s="17">
        <v>1</v>
      </c>
      <c r="F36" s="18">
        <v>983628.96</v>
      </c>
      <c r="G36" s="18"/>
      <c r="H36" s="18"/>
      <c r="I36" s="19"/>
      <c r="J36" s="19">
        <f t="shared" si="3"/>
        <v>983628.96</v>
      </c>
      <c r="K36" s="20">
        <v>983.63</v>
      </c>
      <c r="L36" s="21">
        <v>3.1E-2</v>
      </c>
      <c r="M36" s="19">
        <f t="shared" si="16"/>
        <v>30492.5</v>
      </c>
      <c r="N36" s="21">
        <v>5.0000000000000001E-3</v>
      </c>
      <c r="O36" s="19">
        <f t="shared" si="17"/>
        <v>5070.6099999999997</v>
      </c>
      <c r="P36" s="19">
        <f t="shared" si="18"/>
        <v>-4573.88</v>
      </c>
      <c r="Q36" s="19">
        <f t="shared" si="19"/>
        <v>1014618.19</v>
      </c>
      <c r="R36" s="94">
        <f>'Фактический индекс'!$F$30</f>
        <v>1.0257000000000001</v>
      </c>
      <c r="S36" s="19">
        <f t="shared" si="8"/>
        <v>1040693.88</v>
      </c>
      <c r="T36" s="93">
        <f>'Прогнозный индекс'!$F$43</f>
        <v>1.0708</v>
      </c>
      <c r="U36" s="213">
        <f t="shared" si="0"/>
        <v>1114375.01</v>
      </c>
      <c r="V36" s="213">
        <f t="shared" si="20"/>
        <v>1114375.01</v>
      </c>
      <c r="W36" s="218">
        <f t="shared" si="0"/>
        <v>0</v>
      </c>
      <c r="X36" s="219">
        <f>H36*R36*T36</f>
        <v>0</v>
      </c>
    </row>
    <row r="37" spans="1:24" ht="31.5" x14ac:dyDescent="0.25">
      <c r="A37" s="84" t="s">
        <v>302</v>
      </c>
      <c r="B37" s="83" t="s">
        <v>251</v>
      </c>
      <c r="C37" s="82" t="s">
        <v>256</v>
      </c>
      <c r="D37" s="16" t="s">
        <v>23</v>
      </c>
      <c r="E37" s="17">
        <v>1</v>
      </c>
      <c r="F37" s="18">
        <v>2233033.66</v>
      </c>
      <c r="G37" s="18"/>
      <c r="H37" s="18"/>
      <c r="I37" s="19"/>
      <c r="J37" s="19">
        <f t="shared" si="3"/>
        <v>2233033.66</v>
      </c>
      <c r="K37" s="20">
        <v>2233.0300000000002</v>
      </c>
      <c r="L37" s="21">
        <v>3.1E-2</v>
      </c>
      <c r="M37" s="19">
        <f t="shared" si="16"/>
        <v>69224.039999999994</v>
      </c>
      <c r="N37" s="21">
        <v>5.0000000000000001E-3</v>
      </c>
      <c r="O37" s="19">
        <f t="shared" si="17"/>
        <v>11511.29</v>
      </c>
      <c r="P37" s="19">
        <f t="shared" si="18"/>
        <v>-10383.61</v>
      </c>
      <c r="Q37" s="19">
        <f t="shared" si="19"/>
        <v>2303385.38</v>
      </c>
      <c r="R37" s="94">
        <f>'Фактический индекс'!$F$30</f>
        <v>1.0257000000000001</v>
      </c>
      <c r="S37" s="19">
        <f t="shared" si="8"/>
        <v>2362582.38</v>
      </c>
      <c r="T37" s="93">
        <f>'Прогнозный индекс'!$F$43</f>
        <v>1.0708</v>
      </c>
      <c r="U37" s="213">
        <f t="shared" si="0"/>
        <v>2529853.21</v>
      </c>
      <c r="V37" s="213">
        <f t="shared" si="20"/>
        <v>2529853.21</v>
      </c>
      <c r="W37" s="218">
        <f t="shared" si="0"/>
        <v>0</v>
      </c>
      <c r="X37" s="219">
        <f>H37*R37*T37</f>
        <v>0</v>
      </c>
    </row>
    <row r="38" spans="1:24" ht="21" customHeight="1" x14ac:dyDescent="0.25">
      <c r="A38" s="78" t="s">
        <v>39</v>
      </c>
      <c r="B38" s="79" t="s">
        <v>94</v>
      </c>
      <c r="C38" s="77" t="s">
        <v>95</v>
      </c>
      <c r="D38" s="63" t="s">
        <v>23</v>
      </c>
      <c r="E38" s="64">
        <v>1</v>
      </c>
      <c r="F38" s="67">
        <f>F39+F40</f>
        <v>23921454.329999998</v>
      </c>
      <c r="G38" s="67">
        <f>G39+G40</f>
        <v>421057.05</v>
      </c>
      <c r="H38" s="67">
        <f>H39+H40</f>
        <v>11424546.24</v>
      </c>
      <c r="I38" s="70"/>
      <c r="J38" s="67">
        <f>J39+J40</f>
        <v>35767057.619999997</v>
      </c>
      <c r="K38" s="65">
        <v>35767.06</v>
      </c>
      <c r="L38" s="71"/>
      <c r="M38" s="67">
        <f>M39+M40</f>
        <v>754617.85</v>
      </c>
      <c r="N38" s="71"/>
      <c r="O38" s="67">
        <f>O39+O40</f>
        <v>125485.65</v>
      </c>
      <c r="P38" s="67">
        <f>P39+P40</f>
        <v>-113192.67</v>
      </c>
      <c r="Q38" s="67">
        <f>Q39+Q40</f>
        <v>36533968.450000003</v>
      </c>
      <c r="R38" s="70"/>
      <c r="S38" s="67">
        <f>S39+S40</f>
        <v>37472891.439999998</v>
      </c>
      <c r="T38" s="70"/>
      <c r="U38" s="212">
        <f t="shared" si="0"/>
        <v>40125972.149999999</v>
      </c>
      <c r="V38" s="212">
        <f>V39+V40</f>
        <v>40125972.149999999</v>
      </c>
      <c r="W38" s="217">
        <f t="shared" si="0"/>
        <v>12547802.6</v>
      </c>
      <c r="X38" s="217">
        <f>X39+X40</f>
        <v>12547802.6</v>
      </c>
    </row>
    <row r="39" spans="1:24" ht="56.25" customHeight="1" x14ac:dyDescent="0.25">
      <c r="A39" s="84" t="s">
        <v>303</v>
      </c>
      <c r="B39" s="83" t="s">
        <v>257</v>
      </c>
      <c r="C39" s="82" t="s">
        <v>430</v>
      </c>
      <c r="D39" s="16" t="s">
        <v>23</v>
      </c>
      <c r="E39" s="17">
        <v>1</v>
      </c>
      <c r="F39" s="18">
        <v>17051982.260000002</v>
      </c>
      <c r="G39" s="18">
        <v>421057.05</v>
      </c>
      <c r="H39" s="18">
        <v>11424546.24</v>
      </c>
      <c r="I39" s="19"/>
      <c r="J39" s="19">
        <f t="shared" si="3"/>
        <v>28897585.550000001</v>
      </c>
      <c r="K39" s="20">
        <v>28897.59</v>
      </c>
      <c r="L39" s="21">
        <v>3.1E-2</v>
      </c>
      <c r="M39" s="19">
        <f t="shared" ref="M39:M40" si="21">(F39+G39)*3.1%</f>
        <v>541664.22</v>
      </c>
      <c r="N39" s="21">
        <v>5.0000000000000001E-3</v>
      </c>
      <c r="O39" s="19">
        <f t="shared" ref="O39:O40" si="22">(F39+G39+M39)*0.5%</f>
        <v>90073.52</v>
      </c>
      <c r="P39" s="19">
        <f t="shared" ref="P39:P40" si="23">-M39*15%</f>
        <v>-81249.63</v>
      </c>
      <c r="Q39" s="19">
        <f t="shared" ref="Q39:Q40" si="24">J39+M39+O39+P39</f>
        <v>29448073.66</v>
      </c>
      <c r="R39" s="94">
        <f>'Фактический индекс'!$F$30</f>
        <v>1.0257000000000001</v>
      </c>
      <c r="S39" s="19">
        <f t="shared" si="8"/>
        <v>30204889.149999999</v>
      </c>
      <c r="T39" s="93">
        <f>'Прогнозный индекс'!$F$43</f>
        <v>1.0708</v>
      </c>
      <c r="U39" s="213">
        <f t="shared" si="0"/>
        <v>32343395.300000001</v>
      </c>
      <c r="V39" s="213">
        <f t="shared" ref="V39:V43" si="25">S39*T39</f>
        <v>32343395.300000001</v>
      </c>
      <c r="W39" s="218">
        <f t="shared" si="0"/>
        <v>12547802.6</v>
      </c>
      <c r="X39" s="219">
        <f>H39*R39*T39</f>
        <v>12547802.6</v>
      </c>
    </row>
    <row r="40" spans="1:24" ht="46.5" customHeight="1" x14ac:dyDescent="0.25">
      <c r="A40" s="84" t="s">
        <v>304</v>
      </c>
      <c r="B40" s="83" t="s">
        <v>258</v>
      </c>
      <c r="C40" s="82" t="s">
        <v>259</v>
      </c>
      <c r="D40" s="16" t="s">
        <v>23</v>
      </c>
      <c r="E40" s="17">
        <v>1</v>
      </c>
      <c r="F40" s="18">
        <v>6869472.0700000003</v>
      </c>
      <c r="G40" s="18"/>
      <c r="H40" s="18"/>
      <c r="I40" s="19"/>
      <c r="J40" s="19">
        <f t="shared" si="3"/>
        <v>6869472.0700000003</v>
      </c>
      <c r="K40" s="20">
        <v>6869.47</v>
      </c>
      <c r="L40" s="21">
        <v>3.1E-2</v>
      </c>
      <c r="M40" s="19">
        <f t="shared" si="21"/>
        <v>212953.63</v>
      </c>
      <c r="N40" s="21">
        <v>5.0000000000000001E-3</v>
      </c>
      <c r="O40" s="19">
        <f t="shared" si="22"/>
        <v>35412.129999999997</v>
      </c>
      <c r="P40" s="19">
        <f t="shared" si="23"/>
        <v>-31943.040000000001</v>
      </c>
      <c r="Q40" s="19">
        <f t="shared" si="24"/>
        <v>7085894.79</v>
      </c>
      <c r="R40" s="94">
        <f>'Фактический индекс'!$F$30</f>
        <v>1.0257000000000001</v>
      </c>
      <c r="S40" s="19">
        <f t="shared" si="8"/>
        <v>7268002.29</v>
      </c>
      <c r="T40" s="93">
        <f>'Прогнозный индекс'!$F$43</f>
        <v>1.0708</v>
      </c>
      <c r="U40" s="213">
        <f t="shared" si="0"/>
        <v>7782576.8499999996</v>
      </c>
      <c r="V40" s="213">
        <f t="shared" si="25"/>
        <v>7782576.8499999996</v>
      </c>
      <c r="W40" s="218">
        <f t="shared" si="0"/>
        <v>0</v>
      </c>
      <c r="X40" s="219">
        <f>H40*R40*T40</f>
        <v>0</v>
      </c>
    </row>
    <row r="41" spans="1:24" x14ac:dyDescent="0.25">
      <c r="A41" s="78" t="s">
        <v>40</v>
      </c>
      <c r="B41" s="79" t="s">
        <v>99</v>
      </c>
      <c r="C41" s="77" t="s">
        <v>260</v>
      </c>
      <c r="D41" s="63" t="s">
        <v>23</v>
      </c>
      <c r="E41" s="64">
        <v>1</v>
      </c>
      <c r="F41" s="67">
        <v>33217716.449999999</v>
      </c>
      <c r="G41" s="69"/>
      <c r="H41" s="69"/>
      <c r="I41" s="70"/>
      <c r="J41" s="14">
        <f t="shared" si="3"/>
        <v>33217716.449999999</v>
      </c>
      <c r="K41" s="65">
        <v>33217.72</v>
      </c>
      <c r="L41" s="66">
        <v>3.1E-2</v>
      </c>
      <c r="M41" s="14">
        <f>(F41+G41)*3.1%</f>
        <v>1029749.21</v>
      </c>
      <c r="N41" s="66">
        <v>5.0000000000000001E-3</v>
      </c>
      <c r="O41" s="14">
        <f>(F41+G41+M41)*0.5%</f>
        <v>171237.33</v>
      </c>
      <c r="P41" s="14">
        <f>-M41*15%</f>
        <v>-154462.38</v>
      </c>
      <c r="Q41" s="14">
        <f>J41+M41+O41+P41</f>
        <v>34264240.609999999</v>
      </c>
      <c r="R41" s="92">
        <f>'Фактический индекс'!$F$30</f>
        <v>1.0257000000000001</v>
      </c>
      <c r="S41" s="14">
        <f t="shared" si="8"/>
        <v>35144831.590000004</v>
      </c>
      <c r="T41" s="93">
        <f>'Прогнозный индекс'!$F$43</f>
        <v>1.0708</v>
      </c>
      <c r="U41" s="211">
        <f t="shared" si="0"/>
        <v>37633085.670000002</v>
      </c>
      <c r="V41" s="211">
        <f t="shared" si="25"/>
        <v>37633085.670000002</v>
      </c>
      <c r="W41" s="216">
        <f t="shared" si="0"/>
        <v>0</v>
      </c>
      <c r="X41" s="217">
        <f>H41*R41*T41</f>
        <v>0</v>
      </c>
    </row>
    <row r="42" spans="1:24" ht="47.25" x14ac:dyDescent="0.25">
      <c r="A42" s="78" t="s">
        <v>41</v>
      </c>
      <c r="B42" s="79" t="s">
        <v>102</v>
      </c>
      <c r="C42" s="77" t="s">
        <v>261</v>
      </c>
      <c r="D42" s="63" t="s">
        <v>23</v>
      </c>
      <c r="E42" s="64">
        <v>1</v>
      </c>
      <c r="F42" s="67">
        <v>926256.32</v>
      </c>
      <c r="G42" s="67">
        <v>384815</v>
      </c>
      <c r="H42" s="67">
        <v>97492.82</v>
      </c>
      <c r="I42" s="70"/>
      <c r="J42" s="14">
        <f t="shared" si="3"/>
        <v>1408564.14</v>
      </c>
      <c r="K42" s="65">
        <v>1408.57</v>
      </c>
      <c r="L42" s="66">
        <v>3.1E-2</v>
      </c>
      <c r="M42" s="14">
        <f>(F42+G42)*3.1%</f>
        <v>40643.21</v>
      </c>
      <c r="N42" s="66">
        <v>5.0000000000000001E-3</v>
      </c>
      <c r="O42" s="14">
        <f>(F42+G42+M42)*0.5%</f>
        <v>6758.57</v>
      </c>
      <c r="P42" s="14">
        <f>-M42*15%</f>
        <v>-6096.48</v>
      </c>
      <c r="Q42" s="14">
        <f>J42+M42+O42+P42</f>
        <v>1449869.44</v>
      </c>
      <c r="R42" s="92">
        <f>'Фактический индекс'!$F$30</f>
        <v>1.0257000000000001</v>
      </c>
      <c r="S42" s="14">
        <f t="shared" si="8"/>
        <v>1487131.08</v>
      </c>
      <c r="T42" s="93">
        <f>'Прогнозный индекс'!$F$43</f>
        <v>1.0708</v>
      </c>
      <c r="U42" s="211">
        <f t="shared" si="0"/>
        <v>1592419.96</v>
      </c>
      <c r="V42" s="211">
        <f t="shared" si="25"/>
        <v>1592419.96</v>
      </c>
      <c r="W42" s="216">
        <f t="shared" si="0"/>
        <v>107078.27</v>
      </c>
      <c r="X42" s="217">
        <f>H42*R42*T42</f>
        <v>107078.27</v>
      </c>
    </row>
    <row r="43" spans="1:24" ht="31.5" x14ac:dyDescent="0.25">
      <c r="A43" s="78" t="s">
        <v>42</v>
      </c>
      <c r="B43" s="79" t="s">
        <v>105</v>
      </c>
      <c r="C43" s="77" t="s">
        <v>262</v>
      </c>
      <c r="D43" s="63" t="s">
        <v>23</v>
      </c>
      <c r="E43" s="64">
        <v>1</v>
      </c>
      <c r="F43" s="67">
        <v>5290713.8499999996</v>
      </c>
      <c r="G43" s="69"/>
      <c r="H43" s="69"/>
      <c r="I43" s="70"/>
      <c r="J43" s="14">
        <f t="shared" si="3"/>
        <v>5290713.8499999996</v>
      </c>
      <c r="K43" s="65">
        <v>5290.71</v>
      </c>
      <c r="L43" s="66">
        <v>3.1E-2</v>
      </c>
      <c r="M43" s="14">
        <f>(F43+G43)*3.1%</f>
        <v>164012.13</v>
      </c>
      <c r="N43" s="66">
        <v>5.0000000000000001E-3</v>
      </c>
      <c r="O43" s="14">
        <f>(F43+G43+M43)*0.5%</f>
        <v>27273.63</v>
      </c>
      <c r="P43" s="14">
        <f>-M43*15%</f>
        <v>-24601.82</v>
      </c>
      <c r="Q43" s="14">
        <f>J43+M43+O43+P43</f>
        <v>5457397.79</v>
      </c>
      <c r="R43" s="92">
        <f>'Фактический индекс'!$F$30</f>
        <v>1.0257000000000001</v>
      </c>
      <c r="S43" s="14">
        <f t="shared" si="8"/>
        <v>5597652.9100000001</v>
      </c>
      <c r="T43" s="93">
        <f>'Прогнозный индекс'!$F$43</f>
        <v>1.0708</v>
      </c>
      <c r="U43" s="211">
        <f t="shared" si="0"/>
        <v>5993966.7400000002</v>
      </c>
      <c r="V43" s="211">
        <f t="shared" si="25"/>
        <v>5993966.7400000002</v>
      </c>
      <c r="W43" s="216">
        <f t="shared" si="0"/>
        <v>0</v>
      </c>
      <c r="X43" s="217">
        <f>H43*R43*T43</f>
        <v>0</v>
      </c>
    </row>
    <row r="44" spans="1:24" ht="31.5" x14ac:dyDescent="0.25">
      <c r="A44" s="78" t="s">
        <v>305</v>
      </c>
      <c r="B44" s="79" t="s">
        <v>124</v>
      </c>
      <c r="C44" s="77" t="s">
        <v>277</v>
      </c>
      <c r="D44" s="63" t="s">
        <v>23</v>
      </c>
      <c r="E44" s="64">
        <v>1</v>
      </c>
      <c r="F44" s="69"/>
      <c r="G44" s="69"/>
      <c r="H44" s="69"/>
      <c r="I44" s="14">
        <f>I45+I46+I47+I48+I49+I50+I51+I52</f>
        <v>2220720.31</v>
      </c>
      <c r="J44" s="14">
        <f>J45+J46+J47+J48+J49+J50+J51+J52</f>
        <v>2220720.31</v>
      </c>
      <c r="K44" s="65">
        <v>2220.71</v>
      </c>
      <c r="L44" s="71"/>
      <c r="M44" s="70"/>
      <c r="N44" s="71"/>
      <c r="O44" s="70"/>
      <c r="P44" s="70"/>
      <c r="Q44" s="14">
        <f>Q45+Q46+Q47+Q48+Q49+Q50+Q51+Q52</f>
        <v>2220720.31</v>
      </c>
      <c r="R44" s="70"/>
      <c r="S44" s="14">
        <f>S45+S46+S47+S48+S49+S50+S51+S52</f>
        <v>2277792.83</v>
      </c>
      <c r="T44" s="70"/>
      <c r="U44" s="211">
        <f t="shared" si="0"/>
        <v>2439060.56</v>
      </c>
      <c r="V44" s="211">
        <f>V45+V46+V47+V48+V49+V50+V51+V52</f>
        <v>2439060.56</v>
      </c>
      <c r="W44" s="216">
        <f t="shared" si="0"/>
        <v>0</v>
      </c>
      <c r="X44" s="216">
        <f>X45+X46+X47+X48+X49+X50+X51+X52</f>
        <v>0</v>
      </c>
    </row>
    <row r="45" spans="1:24" ht="63" x14ac:dyDescent="0.25">
      <c r="A45" s="84" t="s">
        <v>306</v>
      </c>
      <c r="B45" s="83" t="s">
        <v>263</v>
      </c>
      <c r="C45" s="82" t="s">
        <v>271</v>
      </c>
      <c r="D45" s="16" t="s">
        <v>23</v>
      </c>
      <c r="E45" s="17">
        <v>1</v>
      </c>
      <c r="F45" s="18"/>
      <c r="G45" s="18"/>
      <c r="H45" s="18"/>
      <c r="I45" s="19">
        <v>148833.67000000001</v>
      </c>
      <c r="J45" s="19">
        <f>I45</f>
        <v>148833.67000000001</v>
      </c>
      <c r="K45" s="20">
        <v>148.83000000000001</v>
      </c>
      <c r="L45" s="21"/>
      <c r="M45" s="19"/>
      <c r="N45" s="21"/>
      <c r="O45" s="19"/>
      <c r="P45" s="19"/>
      <c r="Q45" s="19">
        <f>J45</f>
        <v>148833.67000000001</v>
      </c>
      <c r="R45" s="94">
        <f>'Фактический индекс'!$F$30</f>
        <v>1.0257000000000001</v>
      </c>
      <c r="S45" s="19">
        <f t="shared" si="8"/>
        <v>152658.70000000001</v>
      </c>
      <c r="T45" s="93">
        <f>'Прогнозный индекс'!$F$43</f>
        <v>1.0708</v>
      </c>
      <c r="U45" s="213">
        <f t="shared" si="0"/>
        <v>163466.94</v>
      </c>
      <c r="V45" s="213">
        <f t="shared" ref="V45:V52" si="26">S45*T45</f>
        <v>163466.94</v>
      </c>
      <c r="W45" s="218">
        <f t="shared" si="0"/>
        <v>0</v>
      </c>
      <c r="X45" s="219">
        <f t="shared" ref="X45:X52" si="27">H45*R45*T45</f>
        <v>0</v>
      </c>
    </row>
    <row r="46" spans="1:24" ht="38.25" customHeight="1" x14ac:dyDescent="0.25">
      <c r="A46" s="84" t="s">
        <v>307</v>
      </c>
      <c r="B46" s="83" t="s">
        <v>264</v>
      </c>
      <c r="C46" s="82" t="s">
        <v>272</v>
      </c>
      <c r="D46" s="16" t="s">
        <v>23</v>
      </c>
      <c r="E46" s="17">
        <v>1</v>
      </c>
      <c r="F46" s="18"/>
      <c r="G46" s="18"/>
      <c r="H46" s="18"/>
      <c r="I46" s="19">
        <v>419664.57</v>
      </c>
      <c r="J46" s="19">
        <f>I46</f>
        <v>419664.57</v>
      </c>
      <c r="K46" s="20">
        <v>419.66</v>
      </c>
      <c r="L46" s="21"/>
      <c r="M46" s="19"/>
      <c r="N46" s="21"/>
      <c r="O46" s="19"/>
      <c r="P46" s="19"/>
      <c r="Q46" s="19">
        <f t="shared" ref="Q46:Q62" si="28">J46</f>
        <v>419664.57</v>
      </c>
      <c r="R46" s="94">
        <f>'Фактический индекс'!$F$30</f>
        <v>1.0257000000000001</v>
      </c>
      <c r="S46" s="19">
        <f t="shared" si="8"/>
        <v>430449.95</v>
      </c>
      <c r="T46" s="93">
        <f>'Прогнозный индекс'!$F$43</f>
        <v>1.0708</v>
      </c>
      <c r="U46" s="213">
        <f t="shared" si="0"/>
        <v>460925.81</v>
      </c>
      <c r="V46" s="213">
        <f t="shared" si="26"/>
        <v>460925.81</v>
      </c>
      <c r="W46" s="218">
        <f t="shared" si="0"/>
        <v>0</v>
      </c>
      <c r="X46" s="219">
        <f t="shared" si="27"/>
        <v>0</v>
      </c>
    </row>
    <row r="47" spans="1:24" ht="31.5" x14ac:dyDescent="0.25">
      <c r="A47" s="84" t="s">
        <v>308</v>
      </c>
      <c r="B47" s="83" t="s">
        <v>265</v>
      </c>
      <c r="C47" s="82" t="s">
        <v>273</v>
      </c>
      <c r="D47" s="16" t="s">
        <v>23</v>
      </c>
      <c r="E47" s="17">
        <v>1</v>
      </c>
      <c r="F47" s="18"/>
      <c r="G47" s="18"/>
      <c r="H47" s="18"/>
      <c r="I47" s="19">
        <v>9491.84</v>
      </c>
      <c r="J47" s="19">
        <f t="shared" ref="J47:J55" si="29">I47</f>
        <v>9491.84</v>
      </c>
      <c r="K47" s="20">
        <v>9.49</v>
      </c>
      <c r="L47" s="21"/>
      <c r="M47" s="19"/>
      <c r="N47" s="21"/>
      <c r="O47" s="19"/>
      <c r="P47" s="19"/>
      <c r="Q47" s="19">
        <f t="shared" si="28"/>
        <v>9491.84</v>
      </c>
      <c r="R47" s="94">
        <f>'Фактический индекс'!$F$30</f>
        <v>1.0257000000000001</v>
      </c>
      <c r="S47" s="19">
        <f t="shared" si="8"/>
        <v>9735.7800000000007</v>
      </c>
      <c r="T47" s="93">
        <f>'Прогнозный индекс'!$F$43</f>
        <v>1.0708</v>
      </c>
      <c r="U47" s="213">
        <f t="shared" si="0"/>
        <v>10425.07</v>
      </c>
      <c r="V47" s="213">
        <f t="shared" si="26"/>
        <v>10425.07</v>
      </c>
      <c r="W47" s="218">
        <f t="shared" si="0"/>
        <v>0</v>
      </c>
      <c r="X47" s="219">
        <f t="shared" si="27"/>
        <v>0</v>
      </c>
    </row>
    <row r="48" spans="1:24" ht="47.25" x14ac:dyDescent="0.25">
      <c r="A48" s="84" t="s">
        <v>309</v>
      </c>
      <c r="B48" s="83" t="s">
        <v>266</v>
      </c>
      <c r="C48" s="82" t="s">
        <v>274</v>
      </c>
      <c r="D48" s="16" t="s">
        <v>23</v>
      </c>
      <c r="E48" s="17">
        <v>1</v>
      </c>
      <c r="F48" s="18"/>
      <c r="G48" s="18"/>
      <c r="H48" s="18"/>
      <c r="I48" s="19">
        <v>558422.67000000004</v>
      </c>
      <c r="J48" s="19">
        <f t="shared" si="29"/>
        <v>558422.67000000004</v>
      </c>
      <c r="K48" s="20">
        <v>558.41999999999996</v>
      </c>
      <c r="L48" s="21"/>
      <c r="M48" s="19"/>
      <c r="N48" s="21"/>
      <c r="O48" s="19"/>
      <c r="P48" s="19"/>
      <c r="Q48" s="19">
        <f t="shared" si="28"/>
        <v>558422.67000000004</v>
      </c>
      <c r="R48" s="94">
        <f>'Фактический индекс'!$F$30</f>
        <v>1.0257000000000001</v>
      </c>
      <c r="S48" s="19">
        <f t="shared" si="8"/>
        <v>572774.13</v>
      </c>
      <c r="T48" s="93">
        <f>'Прогнозный индекс'!$F$43</f>
        <v>1.0708</v>
      </c>
      <c r="U48" s="213">
        <f t="shared" si="0"/>
        <v>613326.54</v>
      </c>
      <c r="V48" s="213">
        <f t="shared" si="26"/>
        <v>613326.54</v>
      </c>
      <c r="W48" s="218">
        <f t="shared" si="0"/>
        <v>0</v>
      </c>
      <c r="X48" s="219">
        <f t="shared" si="27"/>
        <v>0</v>
      </c>
    </row>
    <row r="49" spans="1:24" ht="31.5" x14ac:dyDescent="0.25">
      <c r="A49" s="84" t="s">
        <v>310</v>
      </c>
      <c r="B49" s="83" t="s">
        <v>267</v>
      </c>
      <c r="C49" s="82" t="s">
        <v>275</v>
      </c>
      <c r="D49" s="16" t="s">
        <v>23</v>
      </c>
      <c r="E49" s="17">
        <v>1</v>
      </c>
      <c r="F49" s="18"/>
      <c r="G49" s="18"/>
      <c r="H49" s="18"/>
      <c r="I49" s="19">
        <v>373489.51</v>
      </c>
      <c r="J49" s="19">
        <f t="shared" si="29"/>
        <v>373489.51</v>
      </c>
      <c r="K49" s="20">
        <v>373.49</v>
      </c>
      <c r="L49" s="21"/>
      <c r="M49" s="19"/>
      <c r="N49" s="21"/>
      <c r="O49" s="19"/>
      <c r="P49" s="19"/>
      <c r="Q49" s="19">
        <f t="shared" si="28"/>
        <v>373489.51</v>
      </c>
      <c r="R49" s="94">
        <f>'Фактический индекс'!$F$30</f>
        <v>1.0257000000000001</v>
      </c>
      <c r="S49" s="19">
        <f t="shared" si="8"/>
        <v>383088.19</v>
      </c>
      <c r="T49" s="93">
        <f>'Прогнозный индекс'!$F$43</f>
        <v>1.0708</v>
      </c>
      <c r="U49" s="213">
        <f t="shared" si="0"/>
        <v>410210.83</v>
      </c>
      <c r="V49" s="213">
        <f t="shared" si="26"/>
        <v>410210.83</v>
      </c>
      <c r="W49" s="218">
        <f t="shared" si="0"/>
        <v>0</v>
      </c>
      <c r="X49" s="219">
        <f t="shared" si="27"/>
        <v>0</v>
      </c>
    </row>
    <row r="50" spans="1:24" ht="36" customHeight="1" x14ac:dyDescent="0.25">
      <c r="A50" s="84" t="s">
        <v>311</v>
      </c>
      <c r="B50" s="83" t="s">
        <v>268</v>
      </c>
      <c r="C50" s="82" t="s">
        <v>276</v>
      </c>
      <c r="D50" s="16" t="s">
        <v>23</v>
      </c>
      <c r="E50" s="17">
        <v>1</v>
      </c>
      <c r="F50" s="18"/>
      <c r="G50" s="18"/>
      <c r="H50" s="18"/>
      <c r="I50" s="19">
        <v>84718.31</v>
      </c>
      <c r="J50" s="19">
        <f t="shared" si="29"/>
        <v>84718.31</v>
      </c>
      <c r="K50" s="20">
        <v>84.72</v>
      </c>
      <c r="L50" s="21"/>
      <c r="M50" s="19"/>
      <c r="N50" s="21"/>
      <c r="O50" s="19"/>
      <c r="P50" s="19"/>
      <c r="Q50" s="19">
        <f t="shared" si="28"/>
        <v>84718.31</v>
      </c>
      <c r="R50" s="94">
        <f>'Фактический индекс'!$F$30</f>
        <v>1.0257000000000001</v>
      </c>
      <c r="S50" s="19">
        <f t="shared" si="8"/>
        <v>86895.57</v>
      </c>
      <c r="T50" s="93">
        <f>'Прогнозный индекс'!$F$43</f>
        <v>1.0708</v>
      </c>
      <c r="U50" s="213">
        <f t="shared" si="0"/>
        <v>93047.78</v>
      </c>
      <c r="V50" s="213">
        <f t="shared" si="26"/>
        <v>93047.78</v>
      </c>
      <c r="W50" s="218">
        <f t="shared" si="0"/>
        <v>0</v>
      </c>
      <c r="X50" s="219">
        <f t="shared" si="27"/>
        <v>0</v>
      </c>
    </row>
    <row r="51" spans="1:24" ht="47.25" x14ac:dyDescent="0.25">
      <c r="A51" s="84" t="s">
        <v>312</v>
      </c>
      <c r="B51" s="83" t="s">
        <v>269</v>
      </c>
      <c r="C51" s="82" t="s">
        <v>281</v>
      </c>
      <c r="D51" s="16" t="s">
        <v>23</v>
      </c>
      <c r="E51" s="17">
        <v>1</v>
      </c>
      <c r="F51" s="18"/>
      <c r="G51" s="18"/>
      <c r="H51" s="18"/>
      <c r="I51" s="19">
        <v>46829.45</v>
      </c>
      <c r="J51" s="19">
        <f t="shared" si="29"/>
        <v>46829.45</v>
      </c>
      <c r="K51" s="20">
        <v>46.83</v>
      </c>
      <c r="L51" s="21"/>
      <c r="M51" s="19"/>
      <c r="N51" s="21"/>
      <c r="O51" s="19"/>
      <c r="P51" s="19"/>
      <c r="Q51" s="19">
        <f t="shared" si="28"/>
        <v>46829.45</v>
      </c>
      <c r="R51" s="94">
        <f>'Фактический индекс'!$F$30</f>
        <v>1.0257000000000001</v>
      </c>
      <c r="S51" s="19">
        <f t="shared" si="8"/>
        <v>48032.97</v>
      </c>
      <c r="T51" s="93">
        <f>'Прогнозный индекс'!$F$43</f>
        <v>1.0708</v>
      </c>
      <c r="U51" s="213">
        <f t="shared" si="0"/>
        <v>51433.7</v>
      </c>
      <c r="V51" s="213">
        <f t="shared" si="26"/>
        <v>51433.7</v>
      </c>
      <c r="W51" s="218">
        <f t="shared" si="0"/>
        <v>0</v>
      </c>
      <c r="X51" s="219">
        <f t="shared" si="27"/>
        <v>0</v>
      </c>
    </row>
    <row r="52" spans="1:24" ht="47.25" x14ac:dyDescent="0.25">
      <c r="A52" s="84" t="s">
        <v>313</v>
      </c>
      <c r="B52" s="83" t="s">
        <v>270</v>
      </c>
      <c r="C52" s="82" t="s">
        <v>280</v>
      </c>
      <c r="D52" s="16" t="s">
        <v>23</v>
      </c>
      <c r="E52" s="17">
        <v>1</v>
      </c>
      <c r="F52" s="18"/>
      <c r="G52" s="18"/>
      <c r="H52" s="18"/>
      <c r="I52" s="19">
        <v>579270.29</v>
      </c>
      <c r="J52" s="19">
        <f t="shared" si="29"/>
        <v>579270.29</v>
      </c>
      <c r="K52" s="20">
        <v>579.27</v>
      </c>
      <c r="L52" s="21"/>
      <c r="M52" s="19"/>
      <c r="N52" s="21"/>
      <c r="O52" s="19"/>
      <c r="P52" s="19"/>
      <c r="Q52" s="19">
        <f t="shared" si="28"/>
        <v>579270.29</v>
      </c>
      <c r="R52" s="94">
        <f>'Фактический индекс'!$F$30</f>
        <v>1.0257000000000001</v>
      </c>
      <c r="S52" s="19">
        <f t="shared" si="8"/>
        <v>594157.54</v>
      </c>
      <c r="T52" s="93">
        <f>'Прогнозный индекс'!$F$43</f>
        <v>1.0708</v>
      </c>
      <c r="U52" s="213">
        <f t="shared" si="0"/>
        <v>636223.89</v>
      </c>
      <c r="V52" s="213">
        <f t="shared" si="26"/>
        <v>636223.89</v>
      </c>
      <c r="W52" s="218">
        <f t="shared" si="0"/>
        <v>0</v>
      </c>
      <c r="X52" s="219">
        <f t="shared" si="27"/>
        <v>0</v>
      </c>
    </row>
    <row r="53" spans="1:24" x14ac:dyDescent="0.25">
      <c r="A53" s="78" t="s">
        <v>43</v>
      </c>
      <c r="B53" s="79" t="s">
        <v>127</v>
      </c>
      <c r="C53" s="77" t="s">
        <v>128</v>
      </c>
      <c r="D53" s="63" t="s">
        <v>23</v>
      </c>
      <c r="E53" s="64">
        <v>1</v>
      </c>
      <c r="F53" s="69"/>
      <c r="G53" s="69"/>
      <c r="H53" s="69"/>
      <c r="I53" s="14">
        <f>I54+I55</f>
        <v>310573.03000000003</v>
      </c>
      <c r="J53" s="14">
        <f>J54+J55</f>
        <v>310573.03000000003</v>
      </c>
      <c r="K53" s="65">
        <v>310.58</v>
      </c>
      <c r="L53" s="71"/>
      <c r="M53" s="70"/>
      <c r="N53" s="71"/>
      <c r="O53" s="70"/>
      <c r="P53" s="70"/>
      <c r="Q53" s="14">
        <f>Q54+Q55</f>
        <v>310573.03000000003</v>
      </c>
      <c r="R53" s="70"/>
      <c r="S53" s="14">
        <f>S54+S55</f>
        <v>318554.76</v>
      </c>
      <c r="T53" s="70"/>
      <c r="U53" s="211">
        <f t="shared" si="0"/>
        <v>341108.44</v>
      </c>
      <c r="V53" s="211">
        <f>V54+V55</f>
        <v>341108.44</v>
      </c>
      <c r="W53" s="216">
        <f t="shared" si="0"/>
        <v>0</v>
      </c>
      <c r="X53" s="216">
        <f>X54+X55</f>
        <v>0</v>
      </c>
    </row>
    <row r="54" spans="1:24" ht="31.5" x14ac:dyDescent="0.25">
      <c r="A54" s="84" t="s">
        <v>314</v>
      </c>
      <c r="B54" s="83" t="s">
        <v>278</v>
      </c>
      <c r="C54" s="82" t="s">
        <v>282</v>
      </c>
      <c r="D54" s="16" t="s">
        <v>23</v>
      </c>
      <c r="E54" s="17">
        <v>1</v>
      </c>
      <c r="F54" s="69"/>
      <c r="G54" s="69"/>
      <c r="H54" s="69"/>
      <c r="I54" s="19">
        <v>146087.88</v>
      </c>
      <c r="J54" s="19">
        <f t="shared" si="29"/>
        <v>146087.88</v>
      </c>
      <c r="K54" s="20">
        <v>146.09</v>
      </c>
      <c r="L54" s="71"/>
      <c r="M54" s="70"/>
      <c r="N54" s="71"/>
      <c r="O54" s="70"/>
      <c r="P54" s="70"/>
      <c r="Q54" s="19">
        <f t="shared" si="28"/>
        <v>146087.88</v>
      </c>
      <c r="R54" s="94">
        <f>'Фактический индекс'!$F$30</f>
        <v>1.0257000000000001</v>
      </c>
      <c r="S54" s="19">
        <f t="shared" si="8"/>
        <v>149842.34</v>
      </c>
      <c r="T54" s="93">
        <f>'Прогнозный индекс'!$F$43</f>
        <v>1.0708</v>
      </c>
      <c r="U54" s="213">
        <f t="shared" si="0"/>
        <v>160451.18</v>
      </c>
      <c r="V54" s="213">
        <f t="shared" ref="V54:V58" si="30">S54*T54</f>
        <v>160451.18</v>
      </c>
      <c r="W54" s="218">
        <f t="shared" si="0"/>
        <v>0</v>
      </c>
      <c r="X54" s="219">
        <f>H54*R54*T54</f>
        <v>0</v>
      </c>
    </row>
    <row r="55" spans="1:24" ht="47.25" x14ac:dyDescent="0.25">
      <c r="A55" s="84" t="s">
        <v>315</v>
      </c>
      <c r="B55" s="83" t="s">
        <v>279</v>
      </c>
      <c r="C55" s="82" t="s">
        <v>283</v>
      </c>
      <c r="D55" s="16" t="s">
        <v>23</v>
      </c>
      <c r="E55" s="17">
        <v>1</v>
      </c>
      <c r="F55" s="69"/>
      <c r="G55" s="69"/>
      <c r="H55" s="69"/>
      <c r="I55" s="19">
        <v>164485.15</v>
      </c>
      <c r="J55" s="19">
        <f t="shared" si="29"/>
        <v>164485.15</v>
      </c>
      <c r="K55" s="20">
        <v>164.49</v>
      </c>
      <c r="L55" s="71"/>
      <c r="M55" s="70"/>
      <c r="N55" s="71"/>
      <c r="O55" s="70"/>
      <c r="P55" s="70"/>
      <c r="Q55" s="19">
        <f t="shared" si="28"/>
        <v>164485.15</v>
      </c>
      <c r="R55" s="94">
        <f>'Фактический индекс'!$F$30</f>
        <v>1.0257000000000001</v>
      </c>
      <c r="S55" s="19">
        <f t="shared" si="8"/>
        <v>168712.42</v>
      </c>
      <c r="T55" s="93">
        <f>'Прогнозный индекс'!$F$43</f>
        <v>1.0708</v>
      </c>
      <c r="U55" s="213">
        <f t="shared" si="0"/>
        <v>180657.26</v>
      </c>
      <c r="V55" s="213">
        <f t="shared" si="30"/>
        <v>180657.26</v>
      </c>
      <c r="W55" s="218">
        <f t="shared" si="0"/>
        <v>0</v>
      </c>
      <c r="X55" s="219">
        <f>H55*R55*T55</f>
        <v>0</v>
      </c>
    </row>
    <row r="56" spans="1:24" x14ac:dyDescent="0.25">
      <c r="A56" s="78" t="s">
        <v>316</v>
      </c>
      <c r="B56" s="79" t="s">
        <v>130</v>
      </c>
      <c r="C56" s="77" t="s">
        <v>131</v>
      </c>
      <c r="D56" s="63" t="s">
        <v>23</v>
      </c>
      <c r="E56" s="64">
        <v>1</v>
      </c>
      <c r="F56" s="67"/>
      <c r="G56" s="67"/>
      <c r="H56" s="67"/>
      <c r="I56" s="14">
        <v>192.83</v>
      </c>
      <c r="J56" s="14">
        <f>I56</f>
        <v>192.83</v>
      </c>
      <c r="K56" s="65">
        <v>0.19</v>
      </c>
      <c r="L56" s="66"/>
      <c r="M56" s="14"/>
      <c r="N56" s="66"/>
      <c r="O56" s="14"/>
      <c r="P56" s="14"/>
      <c r="Q56" s="14">
        <f t="shared" si="28"/>
        <v>192.83</v>
      </c>
      <c r="R56" s="92">
        <f>'Фактический индекс'!$F$30</f>
        <v>1.0257000000000001</v>
      </c>
      <c r="S56" s="14">
        <f t="shared" si="8"/>
        <v>197.79</v>
      </c>
      <c r="T56" s="93">
        <f>'Прогнозный индекс'!$F$43</f>
        <v>1.0708</v>
      </c>
      <c r="U56" s="211">
        <f t="shared" si="0"/>
        <v>211.79</v>
      </c>
      <c r="V56" s="211">
        <f t="shared" si="30"/>
        <v>211.79</v>
      </c>
      <c r="W56" s="216">
        <f t="shared" si="0"/>
        <v>0</v>
      </c>
      <c r="X56" s="217">
        <f>H56*R56*T56</f>
        <v>0</v>
      </c>
    </row>
    <row r="57" spans="1:24" ht="31.5" x14ac:dyDescent="0.25">
      <c r="A57" s="78" t="s">
        <v>317</v>
      </c>
      <c r="B57" s="79" t="s">
        <v>133</v>
      </c>
      <c r="C57" s="77" t="s">
        <v>134</v>
      </c>
      <c r="D57" s="63" t="s">
        <v>23</v>
      </c>
      <c r="E57" s="64">
        <v>1</v>
      </c>
      <c r="F57" s="67"/>
      <c r="G57" s="67"/>
      <c r="H57" s="67"/>
      <c r="I57" s="14">
        <v>5978.12</v>
      </c>
      <c r="J57" s="14">
        <f t="shared" ref="J57:J59" si="31">I57</f>
        <v>5978.12</v>
      </c>
      <c r="K57" s="65">
        <v>5.98</v>
      </c>
      <c r="L57" s="66"/>
      <c r="M57" s="14"/>
      <c r="N57" s="66"/>
      <c r="O57" s="14"/>
      <c r="P57" s="14"/>
      <c r="Q57" s="14">
        <f t="shared" si="28"/>
        <v>5978.12</v>
      </c>
      <c r="R57" s="92">
        <f>'Фактический индекс'!$F$30</f>
        <v>1.0257000000000001</v>
      </c>
      <c r="S57" s="14">
        <f t="shared" si="8"/>
        <v>6131.76</v>
      </c>
      <c r="T57" s="93">
        <f>'Прогнозный индекс'!$F$43</f>
        <v>1.0708</v>
      </c>
      <c r="U57" s="211">
        <f t="shared" si="0"/>
        <v>6565.89</v>
      </c>
      <c r="V57" s="211">
        <f t="shared" si="30"/>
        <v>6565.89</v>
      </c>
      <c r="W57" s="216">
        <f t="shared" si="0"/>
        <v>0</v>
      </c>
      <c r="X57" s="217">
        <f>H57*R57*T57</f>
        <v>0</v>
      </c>
    </row>
    <row r="58" spans="1:24" ht="31.5" x14ac:dyDescent="0.25">
      <c r="A58" s="78" t="s">
        <v>318</v>
      </c>
      <c r="B58" s="79" t="s">
        <v>136</v>
      </c>
      <c r="C58" s="77" t="s">
        <v>137</v>
      </c>
      <c r="D58" s="63" t="s">
        <v>23</v>
      </c>
      <c r="E58" s="64">
        <v>1</v>
      </c>
      <c r="F58" s="67"/>
      <c r="G58" s="67"/>
      <c r="H58" s="67"/>
      <c r="I58" s="14">
        <v>76111</v>
      </c>
      <c r="J58" s="14">
        <f t="shared" si="31"/>
        <v>76111</v>
      </c>
      <c r="K58" s="65">
        <v>76.11</v>
      </c>
      <c r="L58" s="66"/>
      <c r="M58" s="14"/>
      <c r="N58" s="66"/>
      <c r="O58" s="14"/>
      <c r="P58" s="14"/>
      <c r="Q58" s="14">
        <f t="shared" si="28"/>
        <v>76111</v>
      </c>
      <c r="R58" s="92">
        <f>'Фактический индекс'!$F$30</f>
        <v>1.0257000000000001</v>
      </c>
      <c r="S58" s="14">
        <f t="shared" si="8"/>
        <v>78067.05</v>
      </c>
      <c r="T58" s="93">
        <f>'Прогнозный индекс'!$F$43</f>
        <v>1.0708</v>
      </c>
      <c r="U58" s="211">
        <f t="shared" si="0"/>
        <v>83594.2</v>
      </c>
      <c r="V58" s="211">
        <f t="shared" si="30"/>
        <v>83594.2</v>
      </c>
      <c r="W58" s="216">
        <f t="shared" si="0"/>
        <v>0</v>
      </c>
      <c r="X58" s="217">
        <f>H58*R58*T58</f>
        <v>0</v>
      </c>
    </row>
    <row r="59" spans="1:24" ht="47.25" x14ac:dyDescent="0.25">
      <c r="A59" s="78" t="s">
        <v>319</v>
      </c>
      <c r="B59" s="79" t="s">
        <v>142</v>
      </c>
      <c r="C59" s="77" t="s">
        <v>143</v>
      </c>
      <c r="D59" s="63" t="s">
        <v>23</v>
      </c>
      <c r="E59" s="64">
        <v>1</v>
      </c>
      <c r="F59" s="67"/>
      <c r="G59" s="67"/>
      <c r="H59" s="67"/>
      <c r="I59" s="14">
        <v>9298743.3000000007</v>
      </c>
      <c r="J59" s="14">
        <f t="shared" si="31"/>
        <v>9298743.3000000007</v>
      </c>
      <c r="K59" s="65">
        <v>9298.74</v>
      </c>
      <c r="L59" s="66"/>
      <c r="M59" s="14"/>
      <c r="N59" s="66"/>
      <c r="O59" s="14"/>
      <c r="P59" s="14"/>
      <c r="Q59" s="14">
        <f t="shared" si="28"/>
        <v>9298743.3000000007</v>
      </c>
      <c r="R59" s="14"/>
      <c r="S59" s="14">
        <f>S60+S61+S62</f>
        <v>9337060.5399999991</v>
      </c>
      <c r="T59" s="14"/>
      <c r="U59" s="211">
        <f t="shared" si="0"/>
        <v>9445332.1899999995</v>
      </c>
      <c r="V59" s="211">
        <f>V60+V61+V62</f>
        <v>9445332.1899999995</v>
      </c>
      <c r="W59" s="216">
        <f t="shared" si="0"/>
        <v>0</v>
      </c>
      <c r="X59" s="216">
        <f>X60+X61+X62</f>
        <v>0</v>
      </c>
    </row>
    <row r="60" spans="1:24" ht="47.25" x14ac:dyDescent="0.25">
      <c r="A60" s="84" t="s">
        <v>320</v>
      </c>
      <c r="B60" s="83"/>
      <c r="C60" s="82" t="s">
        <v>284</v>
      </c>
      <c r="D60" s="16" t="s">
        <v>23</v>
      </c>
      <c r="E60" s="17">
        <v>1</v>
      </c>
      <c r="F60" s="18"/>
      <c r="G60" s="18"/>
      <c r="H60" s="18"/>
      <c r="I60" s="19">
        <v>51547.65</v>
      </c>
      <c r="J60" s="19">
        <f>I60</f>
        <v>51547.65</v>
      </c>
      <c r="K60" s="20">
        <v>51.55</v>
      </c>
      <c r="L60" s="21"/>
      <c r="M60" s="19"/>
      <c r="N60" s="21"/>
      <c r="O60" s="19"/>
      <c r="P60" s="19"/>
      <c r="Q60" s="19">
        <f t="shared" si="28"/>
        <v>51547.65</v>
      </c>
      <c r="R60" s="94">
        <f>'Фактический индекс'!$F$30</f>
        <v>1.0257000000000001</v>
      </c>
      <c r="S60" s="19">
        <f t="shared" si="8"/>
        <v>52872.42</v>
      </c>
      <c r="T60" s="93">
        <f>'Прогнозный индекс'!$F$43</f>
        <v>1.0708</v>
      </c>
      <c r="U60" s="213">
        <f t="shared" si="0"/>
        <v>56615.79</v>
      </c>
      <c r="V60" s="213">
        <f t="shared" ref="V60:V62" si="32">S60*T60</f>
        <v>56615.79</v>
      </c>
      <c r="W60" s="218">
        <f t="shared" si="0"/>
        <v>0</v>
      </c>
      <c r="X60" s="219">
        <f>H60*R60*T60</f>
        <v>0</v>
      </c>
    </row>
    <row r="61" spans="1:24" ht="31.5" x14ac:dyDescent="0.25">
      <c r="A61" s="84" t="s">
        <v>321</v>
      </c>
      <c r="B61" s="83"/>
      <c r="C61" s="82" t="s">
        <v>285</v>
      </c>
      <c r="D61" s="16" t="s">
        <v>23</v>
      </c>
      <c r="E61" s="17">
        <v>1</v>
      </c>
      <c r="F61" s="18"/>
      <c r="G61" s="18"/>
      <c r="H61" s="18"/>
      <c r="I61" s="19">
        <v>1439395.65</v>
      </c>
      <c r="J61" s="19">
        <f>I61</f>
        <v>1439395.65</v>
      </c>
      <c r="K61" s="20">
        <v>1439.39</v>
      </c>
      <c r="L61" s="21"/>
      <c r="M61" s="19"/>
      <c r="N61" s="21"/>
      <c r="O61" s="19"/>
      <c r="P61" s="19"/>
      <c r="Q61" s="19">
        <f t="shared" si="28"/>
        <v>1439395.65</v>
      </c>
      <c r="R61" s="94">
        <f>'Фактический индекс'!$F$30</f>
        <v>1.0257000000000001</v>
      </c>
      <c r="S61" s="19">
        <f t="shared" si="8"/>
        <v>1476388.12</v>
      </c>
      <c r="T61" s="93">
        <f>'Прогнозный индекс'!$F$43</f>
        <v>1.0708</v>
      </c>
      <c r="U61" s="213">
        <f t="shared" si="0"/>
        <v>1580916.4</v>
      </c>
      <c r="V61" s="213">
        <f t="shared" si="32"/>
        <v>1580916.4</v>
      </c>
      <c r="W61" s="218">
        <f t="shared" si="0"/>
        <v>0</v>
      </c>
      <c r="X61" s="219">
        <f>H61*R61*T61</f>
        <v>0</v>
      </c>
    </row>
    <row r="62" spans="1:24" ht="63" x14ac:dyDescent="0.25">
      <c r="A62" s="84" t="s">
        <v>322</v>
      </c>
      <c r="B62" s="83"/>
      <c r="C62" s="82" t="s">
        <v>286</v>
      </c>
      <c r="D62" s="16" t="s">
        <v>23</v>
      </c>
      <c r="E62" s="17">
        <v>1</v>
      </c>
      <c r="F62" s="18"/>
      <c r="G62" s="18"/>
      <c r="H62" s="18"/>
      <c r="I62" s="19">
        <v>7807800</v>
      </c>
      <c r="J62" s="19">
        <f>I62</f>
        <v>7807800</v>
      </c>
      <c r="K62" s="20">
        <v>7807.8</v>
      </c>
      <c r="L62" s="21"/>
      <c r="M62" s="19"/>
      <c r="N62" s="21"/>
      <c r="O62" s="19"/>
      <c r="P62" s="19"/>
      <c r="Q62" s="19">
        <f t="shared" si="28"/>
        <v>7807800</v>
      </c>
      <c r="R62" s="95">
        <v>1</v>
      </c>
      <c r="S62" s="19">
        <f t="shared" si="8"/>
        <v>7807800</v>
      </c>
      <c r="T62" s="93">
        <v>1</v>
      </c>
      <c r="U62" s="213">
        <f t="shared" si="0"/>
        <v>7807800</v>
      </c>
      <c r="V62" s="213">
        <f t="shared" si="32"/>
        <v>7807800</v>
      </c>
      <c r="W62" s="218">
        <f t="shared" si="0"/>
        <v>0</v>
      </c>
      <c r="X62" s="219">
        <f>H62*R62*T62</f>
        <v>0</v>
      </c>
    </row>
    <row r="63" spans="1:24" ht="31.5" x14ac:dyDescent="0.25">
      <c r="A63" s="78" t="s">
        <v>323</v>
      </c>
      <c r="B63" s="79" t="s">
        <v>172</v>
      </c>
      <c r="C63" s="77" t="s">
        <v>287</v>
      </c>
      <c r="D63" s="63" t="s">
        <v>23</v>
      </c>
      <c r="E63" s="64">
        <v>1</v>
      </c>
      <c r="F63" s="67">
        <f t="shared" ref="F63:K63" si="33">(F12+F13+F25+F26+F27+F28+F32+F38+F41+F42+F43+F44+F53+F56+F57+F58+F59)*2%</f>
        <v>3479268.25</v>
      </c>
      <c r="G63" s="67">
        <f t="shared" si="33"/>
        <v>466164.22</v>
      </c>
      <c r="H63" s="67">
        <f t="shared" si="33"/>
        <v>802880.68</v>
      </c>
      <c r="I63" s="67">
        <f t="shared" si="33"/>
        <v>240363.86</v>
      </c>
      <c r="J63" s="67">
        <f t="shared" si="33"/>
        <v>4988677.01</v>
      </c>
      <c r="K63" s="68">
        <f t="shared" si="33"/>
        <v>5079.7</v>
      </c>
      <c r="L63" s="71"/>
      <c r="M63" s="67">
        <f>(M12+M13+M25+M26+M27+M28+M32+M38+M41+M42+M43+M44+M53+M56+M57+M58+M59)*2%</f>
        <v>122308.41</v>
      </c>
      <c r="N63" s="71"/>
      <c r="O63" s="67">
        <f>(O12+O13+O25+O26+O27+O28+O32+O38+O41+O42+O43+O44+O53+O56+O57+O58+O59)*2%</f>
        <v>20338.7</v>
      </c>
      <c r="P63" s="67">
        <f>(P12+P13+P25+P26+P27+P28+P32+P38+P41+P42+P43+P44+P53+P56+P57+P58+P59)*2%</f>
        <v>-18346.259999999998</v>
      </c>
      <c r="Q63" s="67">
        <f>(Q12+Q13+Q25+Q26+Q27+Q28+Q32+Q38+Q41+Q42+Q43+Q44+Q53+Q56+Q57+Q58+Q59)*2%</f>
        <v>5112977.8600000003</v>
      </c>
      <c r="R63" s="70"/>
      <c r="S63" s="67">
        <f>(S12+S13+S25+S26+S27+S28+S32+S38+S41+S42+S43+S44+S53+S56+S57+S58+S59)*2%</f>
        <v>5240368.18</v>
      </c>
      <c r="T63" s="70"/>
      <c r="U63" s="212">
        <f t="shared" si="0"/>
        <v>5600232.6600000001</v>
      </c>
      <c r="V63" s="212">
        <f>(V12+V13+V25+V26+V27+V28+V32+V38+V41+V42+V43+V44+V53+V56+V57+V58+V59)*2%</f>
        <v>5600232.6600000001</v>
      </c>
      <c r="W63" s="217">
        <f t="shared" si="0"/>
        <v>881819.55</v>
      </c>
      <c r="X63" s="217">
        <f>(X12+X13+X25+X26+X27+X28+X32+X38+X41+X42+X43+X44+X53+X56+X57+X58+X59)*2%</f>
        <v>881819.55</v>
      </c>
    </row>
    <row r="64" spans="1:24" x14ac:dyDescent="0.25">
      <c r="A64" s="86"/>
      <c r="B64" s="72"/>
      <c r="C64" s="72" t="s">
        <v>44</v>
      </c>
      <c r="D64" s="72"/>
      <c r="E64" s="72"/>
      <c r="F64" s="87">
        <f t="shared" ref="F64:K64" si="34">F8+F11</f>
        <v>177442680.68000001</v>
      </c>
      <c r="G64" s="87">
        <f t="shared" si="34"/>
        <v>23774375.16</v>
      </c>
      <c r="H64" s="87">
        <f t="shared" si="34"/>
        <v>40946914.43</v>
      </c>
      <c r="I64" s="87">
        <f t="shared" si="34"/>
        <v>26464488.710000001</v>
      </c>
      <c r="J64" s="87">
        <f t="shared" si="34"/>
        <v>268628458.98000002</v>
      </c>
      <c r="K64" s="87">
        <f t="shared" si="34"/>
        <v>273270.71000000002</v>
      </c>
      <c r="L64" s="80"/>
      <c r="M64" s="87">
        <f>M8+M11</f>
        <v>6237728.7300000004</v>
      </c>
      <c r="N64" s="80"/>
      <c r="O64" s="87">
        <f>O8+O11</f>
        <v>1037273.91</v>
      </c>
      <c r="P64" s="87">
        <f>P8+P11</f>
        <v>-935659.29</v>
      </c>
      <c r="Q64" s="87">
        <f>Q8+Q11</f>
        <v>274967802.32999998</v>
      </c>
      <c r="R64" s="80"/>
      <c r="S64" s="87">
        <f>S8+S11</f>
        <v>281829801.18000001</v>
      </c>
      <c r="T64" s="80"/>
      <c r="U64" s="214"/>
      <c r="V64" s="214">
        <f>V8+V11</f>
        <v>300525309.02999997</v>
      </c>
      <c r="W64" s="220"/>
      <c r="X64" s="220">
        <f>X8+X11</f>
        <v>44972797.030000001</v>
      </c>
    </row>
    <row r="65" spans="1:24" x14ac:dyDescent="0.25">
      <c r="A65" s="86"/>
      <c r="B65" s="72"/>
      <c r="C65" s="72" t="s">
        <v>45</v>
      </c>
      <c r="D65" s="72"/>
      <c r="E65" s="72"/>
      <c r="F65" s="87">
        <f t="shared" ref="F65:K65" si="35">F64*20%</f>
        <v>35488536.140000001</v>
      </c>
      <c r="G65" s="87">
        <f t="shared" si="35"/>
        <v>4754875.03</v>
      </c>
      <c r="H65" s="87">
        <f t="shared" si="35"/>
        <v>8189382.8899999997</v>
      </c>
      <c r="I65" s="87">
        <f t="shared" si="35"/>
        <v>5292897.74</v>
      </c>
      <c r="J65" s="87">
        <f t="shared" si="35"/>
        <v>53725691.799999997</v>
      </c>
      <c r="K65" s="87">
        <f t="shared" si="35"/>
        <v>54654.14</v>
      </c>
      <c r="L65" s="80"/>
      <c r="M65" s="87">
        <f>M64*20%</f>
        <v>1247545.75</v>
      </c>
      <c r="N65" s="80"/>
      <c r="O65" s="87">
        <f>O64*20%</f>
        <v>207454.78</v>
      </c>
      <c r="P65" s="87">
        <f>P64*20%</f>
        <v>-187131.86</v>
      </c>
      <c r="Q65" s="87">
        <f>Q64*20%</f>
        <v>54993560.469999999</v>
      </c>
      <c r="R65" s="80"/>
      <c r="S65" s="87">
        <f>S64*20%</f>
        <v>56365960.240000002</v>
      </c>
      <c r="T65" s="80"/>
      <c r="U65" s="214"/>
      <c r="V65" s="214">
        <f>V64*20%</f>
        <v>60105061.810000002</v>
      </c>
      <c r="W65" s="220"/>
      <c r="X65" s="220">
        <f>X64*20%</f>
        <v>8994559.4100000001</v>
      </c>
    </row>
    <row r="66" spans="1:24" x14ac:dyDescent="0.25">
      <c r="A66" s="86"/>
      <c r="B66" s="72"/>
      <c r="C66" s="72" t="s">
        <v>46</v>
      </c>
      <c r="D66" s="72"/>
      <c r="E66" s="72"/>
      <c r="F66" s="87">
        <f t="shared" ref="F66:K66" si="36">F64+F65</f>
        <v>212931216.81999999</v>
      </c>
      <c r="G66" s="87">
        <f t="shared" si="36"/>
        <v>28529250.190000001</v>
      </c>
      <c r="H66" s="87">
        <f t="shared" si="36"/>
        <v>49136297.32</v>
      </c>
      <c r="I66" s="87">
        <f t="shared" si="36"/>
        <v>31757386.449999999</v>
      </c>
      <c r="J66" s="87">
        <f t="shared" si="36"/>
        <v>322354150.77999997</v>
      </c>
      <c r="K66" s="87">
        <f t="shared" si="36"/>
        <v>327924.84999999998</v>
      </c>
      <c r="L66" s="80"/>
      <c r="M66" s="87">
        <f>M64+M65</f>
        <v>7485274.4800000004</v>
      </c>
      <c r="N66" s="80"/>
      <c r="O66" s="87">
        <f>O64+O65</f>
        <v>1244728.69</v>
      </c>
      <c r="P66" s="87">
        <f>P64+P65</f>
        <v>-1122791.1499999999</v>
      </c>
      <c r="Q66" s="87">
        <f>Q64+Q65</f>
        <v>329961362.80000001</v>
      </c>
      <c r="R66" s="80"/>
      <c r="S66" s="87">
        <f>S64+S65</f>
        <v>338195761.42000002</v>
      </c>
      <c r="T66" s="80"/>
      <c r="U66" s="214"/>
      <c r="V66" s="214">
        <f>V64+V65</f>
        <v>360630370.83999997</v>
      </c>
      <c r="W66" s="220"/>
      <c r="X66" s="220">
        <f>X64+X65</f>
        <v>53967356.439999998</v>
      </c>
    </row>
    <row r="68" spans="1:24" ht="58.5" customHeight="1" x14ac:dyDescent="0.25">
      <c r="A68" s="232" t="s">
        <v>366</v>
      </c>
      <c r="B68" s="232"/>
      <c r="C68" s="232"/>
      <c r="D68" s="232"/>
      <c r="E68" s="232"/>
      <c r="Q68" s="114"/>
      <c r="V68" s="221" t="s">
        <v>365</v>
      </c>
    </row>
    <row r="69" spans="1:24" x14ac:dyDescent="0.25">
      <c r="Q69" s="114"/>
    </row>
  </sheetData>
  <mergeCells count="20">
    <mergeCell ref="Q5:Q6"/>
    <mergeCell ref="A5:A6"/>
    <mergeCell ref="B5:B6"/>
    <mergeCell ref="A68:E68"/>
    <mergeCell ref="C5:C6"/>
    <mergeCell ref="D5:D6"/>
    <mergeCell ref="E5:E6"/>
    <mergeCell ref="W5:X5"/>
    <mergeCell ref="A1:X1"/>
    <mergeCell ref="A2:X2"/>
    <mergeCell ref="A3:X3"/>
    <mergeCell ref="R5:R6"/>
    <mergeCell ref="S5:S6"/>
    <mergeCell ref="T5:T6"/>
    <mergeCell ref="U5:V5"/>
    <mergeCell ref="F5:J5"/>
    <mergeCell ref="K5:K6"/>
    <mergeCell ref="L5:M5"/>
    <mergeCell ref="N5:O5"/>
    <mergeCell ref="P5:P6"/>
  </mergeCells>
  <pageMargins left="0.7" right="0.7" top="0.75" bottom="0.75" header="0.3" footer="0.3"/>
  <pageSetup paperSize="9" scale="52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"/>
  <sheetViews>
    <sheetView tabSelected="1" zoomScale="90" zoomScaleNormal="90" workbookViewId="0">
      <pane ySplit="10" topLeftCell="A62" activePane="bottomLeft" state="frozen"/>
      <selection pane="bottomLeft" sqref="A1:V73"/>
    </sheetView>
  </sheetViews>
  <sheetFormatPr defaultColWidth="9.140625" defaultRowHeight="15.75" outlineLevelCol="1" x14ac:dyDescent="0.25"/>
  <cols>
    <col min="1" max="1" width="8.42578125" style="4" customWidth="1"/>
    <col min="2" max="2" width="22.28515625" style="4" customWidth="1"/>
    <col min="3" max="3" width="43.85546875" style="4" customWidth="1"/>
    <col min="4" max="5" width="19.85546875" style="4" customWidth="1"/>
    <col min="6" max="8" width="19.85546875" style="4" hidden="1" customWidth="1" outlineLevel="1"/>
    <col min="9" max="10" width="19.5703125" style="1" hidden="1" customWidth="1" outlineLevel="1"/>
    <col min="11" max="11" width="15.28515625" style="1" hidden="1" customWidth="1" outlineLevel="1"/>
    <col min="12" max="12" width="7.42578125" style="1" hidden="1" customWidth="1" outlineLevel="1"/>
    <col min="13" max="13" width="15.42578125" style="1" hidden="1" customWidth="1" outlineLevel="1"/>
    <col min="14" max="14" width="8.7109375" style="1" hidden="1" customWidth="1" outlineLevel="1"/>
    <col min="15" max="15" width="14.5703125" style="1" hidden="1" customWidth="1" outlineLevel="1"/>
    <col min="16" max="16" width="22.5703125" style="1" hidden="1" customWidth="1" outlineLevel="1"/>
    <col min="17" max="17" width="25.85546875" style="1" customWidth="1" collapsed="1"/>
    <col min="18" max="18" width="14.42578125" style="3" customWidth="1"/>
    <col min="19" max="19" width="23.28515625" style="1" customWidth="1"/>
    <col min="20" max="20" width="20.85546875" style="1" customWidth="1"/>
    <col min="21" max="21" width="19.140625" style="4" customWidth="1"/>
    <col min="22" max="22" width="19.28515625" style="4" customWidth="1"/>
    <col min="23" max="23" width="15.42578125" style="4" bestFit="1" customWidth="1"/>
    <col min="24" max="16384" width="9.140625" style="4"/>
  </cols>
  <sheetData>
    <row r="1" spans="1:23" s="1" customFormat="1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3" s="1" customFormat="1" x14ac:dyDescent="0.25">
      <c r="A2" s="262" t="s">
        <v>47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</row>
    <row r="3" spans="1:23" s="1" customFormat="1" x14ac:dyDescent="0.2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</row>
    <row r="4" spans="1:23" x14ac:dyDescent="0.25">
      <c r="A4" s="5" t="s">
        <v>1</v>
      </c>
      <c r="B4" s="5"/>
      <c r="C4" s="5"/>
      <c r="D4" s="6"/>
      <c r="E4" s="6"/>
      <c r="F4" s="6"/>
      <c r="G4" s="7"/>
      <c r="H4" s="7"/>
    </row>
    <row r="5" spans="1:23" x14ac:dyDescent="0.25">
      <c r="A5" s="8" t="s">
        <v>429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3" x14ac:dyDescent="0.25">
      <c r="A6" s="263" t="s">
        <v>210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</row>
    <row r="7" spans="1:23" x14ac:dyDescent="0.25">
      <c r="A7" s="264" t="s">
        <v>211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</row>
    <row r="8" spans="1:23" x14ac:dyDescent="0.25">
      <c r="A8" s="5"/>
      <c r="B8" s="5"/>
      <c r="C8" s="5"/>
      <c r="D8" s="2"/>
      <c r="E8" s="2"/>
      <c r="F8" s="2"/>
      <c r="G8" s="2"/>
      <c r="H8" s="2"/>
    </row>
    <row r="9" spans="1:23" ht="43.5" customHeight="1" x14ac:dyDescent="0.25">
      <c r="A9" s="243" t="s">
        <v>2</v>
      </c>
      <c r="B9" s="243" t="s">
        <v>3</v>
      </c>
      <c r="C9" s="243" t="s">
        <v>4</v>
      </c>
      <c r="D9" s="245" t="s">
        <v>5</v>
      </c>
      <c r="E9" s="245" t="s">
        <v>6</v>
      </c>
      <c r="F9" s="255" t="s">
        <v>7</v>
      </c>
      <c r="G9" s="256"/>
      <c r="H9" s="256"/>
      <c r="I9" s="256"/>
      <c r="J9" s="257"/>
      <c r="K9" s="258" t="s">
        <v>8</v>
      </c>
      <c r="L9" s="260" t="s">
        <v>212</v>
      </c>
      <c r="M9" s="261"/>
      <c r="N9" s="260" t="s">
        <v>213</v>
      </c>
      <c r="O9" s="261"/>
      <c r="P9" s="243" t="s">
        <v>9</v>
      </c>
      <c r="Q9" s="243" t="s">
        <v>48</v>
      </c>
      <c r="R9" s="243" t="s">
        <v>10</v>
      </c>
      <c r="S9" s="243" t="s">
        <v>11</v>
      </c>
      <c r="T9" s="252" t="s">
        <v>12</v>
      </c>
      <c r="U9" s="243" t="s">
        <v>13</v>
      </c>
      <c r="V9" s="243" t="s">
        <v>14</v>
      </c>
    </row>
    <row r="10" spans="1:23" ht="94.5" x14ac:dyDescent="0.25">
      <c r="A10" s="244"/>
      <c r="B10" s="244"/>
      <c r="C10" s="244"/>
      <c r="D10" s="245"/>
      <c r="E10" s="245"/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259"/>
      <c r="L10" s="11" t="s">
        <v>20</v>
      </c>
      <c r="M10" s="11" t="s">
        <v>21</v>
      </c>
      <c r="N10" s="11" t="s">
        <v>20</v>
      </c>
      <c r="O10" s="11" t="s">
        <v>21</v>
      </c>
      <c r="P10" s="251"/>
      <c r="Q10" s="251"/>
      <c r="R10" s="251"/>
      <c r="S10" s="251"/>
      <c r="T10" s="253"/>
      <c r="U10" s="251"/>
      <c r="V10" s="251"/>
    </row>
    <row r="11" spans="1:23" x14ac:dyDescent="0.25">
      <c r="A11" s="96">
        <v>1</v>
      </c>
      <c r="B11" s="96">
        <v>2</v>
      </c>
      <c r="C11" s="96">
        <v>3</v>
      </c>
      <c r="D11" s="100">
        <v>4</v>
      </c>
      <c r="E11" s="100">
        <v>5</v>
      </c>
      <c r="F11" s="97">
        <v>4</v>
      </c>
      <c r="G11" s="97">
        <v>5</v>
      </c>
      <c r="H11" s="97">
        <v>6</v>
      </c>
      <c r="I11" s="97">
        <v>7</v>
      </c>
      <c r="J11" s="97">
        <v>8</v>
      </c>
      <c r="K11" s="98"/>
      <c r="L11" s="97"/>
      <c r="M11" s="97">
        <v>9</v>
      </c>
      <c r="N11" s="97"/>
      <c r="O11" s="97">
        <v>10</v>
      </c>
      <c r="P11" s="97">
        <v>11</v>
      </c>
      <c r="Q11" s="97">
        <v>6</v>
      </c>
      <c r="R11" s="97">
        <v>7</v>
      </c>
      <c r="S11" s="97">
        <v>8</v>
      </c>
      <c r="T11" s="99">
        <v>9</v>
      </c>
      <c r="U11" s="97">
        <v>10</v>
      </c>
      <c r="V11" s="97">
        <v>11</v>
      </c>
    </row>
    <row r="12" spans="1:23" s="12" customFormat="1" ht="27" customHeight="1" x14ac:dyDescent="0.25">
      <c r="A12" s="74">
        <v>1</v>
      </c>
      <c r="B12" s="74"/>
      <c r="C12" s="75" t="s">
        <v>22</v>
      </c>
      <c r="D12" s="60" t="s">
        <v>23</v>
      </c>
      <c r="E12" s="61">
        <v>1</v>
      </c>
      <c r="F12" s="60"/>
      <c r="G12" s="60"/>
      <c r="H12" s="60"/>
      <c r="I12" s="60">
        <f>I13+I14</f>
        <v>14205931.68</v>
      </c>
      <c r="J12" s="60">
        <f>J13+J14</f>
        <v>14205931.68</v>
      </c>
      <c r="K12" s="60">
        <f>K13+K14</f>
        <v>14205.93</v>
      </c>
      <c r="L12" s="60"/>
      <c r="M12" s="60"/>
      <c r="N12" s="62"/>
      <c r="O12" s="60"/>
      <c r="P12" s="60"/>
      <c r="Q12" s="60">
        <f>Q13+Q14</f>
        <v>14205931.68</v>
      </c>
      <c r="R12" s="60"/>
      <c r="S12" s="60">
        <f>S13+S14</f>
        <v>14571024.130000001</v>
      </c>
      <c r="T12" s="60"/>
      <c r="U12" s="60">
        <f>U13+U14</f>
        <v>14913443.189999999</v>
      </c>
      <c r="V12" s="60"/>
    </row>
    <row r="13" spans="1:23" x14ac:dyDescent="0.25">
      <c r="A13" s="76" t="s">
        <v>24</v>
      </c>
      <c r="B13" s="63" t="s">
        <v>214</v>
      </c>
      <c r="C13" s="77" t="s">
        <v>22</v>
      </c>
      <c r="D13" s="63" t="s">
        <v>23</v>
      </c>
      <c r="E13" s="64">
        <v>1</v>
      </c>
      <c r="F13" s="14"/>
      <c r="G13" s="14"/>
      <c r="H13" s="14"/>
      <c r="I13" s="14">
        <v>13927384</v>
      </c>
      <c r="J13" s="14">
        <f>I13</f>
        <v>13927384</v>
      </c>
      <c r="K13" s="65">
        <v>13927.38</v>
      </c>
      <c r="L13" s="66"/>
      <c r="M13" s="14"/>
      <c r="N13" s="66"/>
      <c r="O13" s="14"/>
      <c r="P13" s="14"/>
      <c r="Q13" s="14">
        <f>J13</f>
        <v>13927384</v>
      </c>
      <c r="R13" s="92">
        <f>'Фактический индекс'!$F$30</f>
        <v>1.0257000000000001</v>
      </c>
      <c r="S13" s="14">
        <f>Q13*R13</f>
        <v>14285317.77</v>
      </c>
      <c r="T13" s="93">
        <f>'Прогнозный индекс'!$F$13</f>
        <v>1.0235000000000001</v>
      </c>
      <c r="U13" s="14">
        <f>S13*T13</f>
        <v>14621022.74</v>
      </c>
      <c r="V13" s="14"/>
    </row>
    <row r="14" spans="1:23" ht="31.5" x14ac:dyDescent="0.25">
      <c r="A14" s="76" t="s">
        <v>25</v>
      </c>
      <c r="B14" s="63" t="s">
        <v>172</v>
      </c>
      <c r="C14" s="77" t="s">
        <v>215</v>
      </c>
      <c r="D14" s="63" t="s">
        <v>23</v>
      </c>
      <c r="E14" s="64">
        <v>1</v>
      </c>
      <c r="F14" s="14"/>
      <c r="G14" s="14"/>
      <c r="H14" s="14"/>
      <c r="I14" s="14">
        <f>I13*2%</f>
        <v>278547.68</v>
      </c>
      <c r="J14" s="14">
        <f>I14</f>
        <v>278547.68</v>
      </c>
      <c r="K14" s="65">
        <f>K13*2%</f>
        <v>278.55</v>
      </c>
      <c r="L14" s="66"/>
      <c r="M14" s="14"/>
      <c r="N14" s="66"/>
      <c r="O14" s="14"/>
      <c r="P14" s="14"/>
      <c r="Q14" s="14">
        <f>J14</f>
        <v>278547.68</v>
      </c>
      <c r="R14" s="14"/>
      <c r="S14" s="14">
        <f>S13*2%</f>
        <v>285706.36</v>
      </c>
      <c r="T14" s="14"/>
      <c r="U14" s="14">
        <f>U13*2%</f>
        <v>292420.45</v>
      </c>
      <c r="V14" s="14"/>
    </row>
    <row r="15" spans="1:23" s="12" customFormat="1" ht="48" customHeight="1" x14ac:dyDescent="0.25">
      <c r="A15" s="74">
        <v>2</v>
      </c>
      <c r="B15" s="74"/>
      <c r="C15" s="75" t="s">
        <v>363</v>
      </c>
      <c r="D15" s="60" t="s">
        <v>23</v>
      </c>
      <c r="E15" s="61">
        <v>1</v>
      </c>
      <c r="F15" s="60">
        <f t="shared" ref="F15:K15" si="0">F16+F17+F29+F30+F31+F32+F36+F42+F45+F46+F47+F48+F57+F60+F61+F62+F63+F67</f>
        <v>177442680.68000001</v>
      </c>
      <c r="G15" s="60">
        <f t="shared" si="0"/>
        <v>23774375.16</v>
      </c>
      <c r="H15" s="60">
        <f t="shared" si="0"/>
        <v>40946914.43</v>
      </c>
      <c r="I15" s="60">
        <f t="shared" si="0"/>
        <v>12258557.029999999</v>
      </c>
      <c r="J15" s="60">
        <f t="shared" si="0"/>
        <v>254422527.30000001</v>
      </c>
      <c r="K15" s="60">
        <f t="shared" si="0"/>
        <v>259064.78</v>
      </c>
      <c r="L15" s="62"/>
      <c r="M15" s="60">
        <f>M16+M17+M29+M30+M31+M32+M36+M42+M45+M46+M47+M48+M57+M60+M61+M62+M63+M67</f>
        <v>6237728.7300000004</v>
      </c>
      <c r="N15" s="62"/>
      <c r="O15" s="60">
        <f>O16+O17+O29+O30+O31+O32+O36+O42+O45+O46+O47+O48+O57+O60+O61+O62+O63+O67</f>
        <v>1037273.91</v>
      </c>
      <c r="P15" s="60">
        <f>P16+P17+P29+P30+P31+P32+P36+P42+P45+P46+P47+P48+P57+P60+P61+P62+P63+P67</f>
        <v>-935659.29</v>
      </c>
      <c r="Q15" s="60">
        <f>Q16+Q17+Q29+Q30+Q31+Q32+Q36+Q42+Q45+Q46+Q47+Q48+Q57+Q60+Q61+Q62+Q63+Q67</f>
        <v>260761870.65000001</v>
      </c>
      <c r="R15" s="60"/>
      <c r="S15" s="60">
        <f>S16+S17+S29+S30+S31+S32+S36+S42+S45+S46+S47+S48+S57+S60+S61+S62+S63+S67</f>
        <v>267258777.05000001</v>
      </c>
      <c r="T15" s="60"/>
      <c r="U15" s="60">
        <f>U16+U17+U29+U30+U31+U32+U36+U42+U45+U46+U47+U48+U57+U60+U61+U62+U63+U67</f>
        <v>285611865.83999997</v>
      </c>
      <c r="V15" s="60">
        <f>V16+V17+V29+V30+V31+V32+V36+V42+V45+V46+V47+V48+V57+V60+V61+V62+V63+V67</f>
        <v>44972797.030000001</v>
      </c>
      <c r="W15" s="115"/>
    </row>
    <row r="16" spans="1:23" ht="31.5" x14ac:dyDescent="0.25">
      <c r="A16" s="76" t="s">
        <v>27</v>
      </c>
      <c r="B16" s="13" t="s">
        <v>66</v>
      </c>
      <c r="C16" s="13" t="s">
        <v>67</v>
      </c>
      <c r="D16" s="63" t="s">
        <v>23</v>
      </c>
      <c r="E16" s="64">
        <v>1</v>
      </c>
      <c r="F16" s="67"/>
      <c r="G16" s="67"/>
      <c r="H16" s="67"/>
      <c r="I16" s="14">
        <v>105874.58</v>
      </c>
      <c r="J16" s="14">
        <f>I16</f>
        <v>105874.58</v>
      </c>
      <c r="K16" s="65">
        <v>105.87</v>
      </c>
      <c r="L16" s="66"/>
      <c r="M16" s="14"/>
      <c r="N16" s="66"/>
      <c r="O16" s="14"/>
      <c r="P16" s="14"/>
      <c r="Q16" s="14">
        <f>J16</f>
        <v>105874.58</v>
      </c>
      <c r="R16" s="92">
        <f>'Фактический индекс'!$F$30</f>
        <v>1.0257000000000001</v>
      </c>
      <c r="S16" s="14">
        <f>Q16*R16</f>
        <v>108595.56</v>
      </c>
      <c r="T16" s="93">
        <f>'Прогнозный индекс'!$F$25</f>
        <v>1.0258</v>
      </c>
      <c r="U16" s="14">
        <f>S16*T16</f>
        <v>111397.33</v>
      </c>
      <c r="V16" s="67"/>
    </row>
    <row r="17" spans="1:22" x14ac:dyDescent="0.25">
      <c r="A17" s="76" t="s">
        <v>28</v>
      </c>
      <c r="B17" s="13" t="s">
        <v>34</v>
      </c>
      <c r="C17" s="13" t="s">
        <v>71</v>
      </c>
      <c r="D17" s="63" t="s">
        <v>23</v>
      </c>
      <c r="E17" s="64">
        <v>1</v>
      </c>
      <c r="F17" s="67">
        <f>F18+F19+F20+F21+F22+F23+F24+F25+F26+F27+F28</f>
        <v>79427254.459999993</v>
      </c>
      <c r="G17" s="67">
        <f t="shared" ref="G17:H17" si="1">G18+G19+G20+G21+G22+G23+G24+G25+G26+G27+G28</f>
        <v>10172238.07</v>
      </c>
      <c r="H17" s="67">
        <f t="shared" si="1"/>
        <v>22016857.93</v>
      </c>
      <c r="I17" s="67"/>
      <c r="J17" s="67">
        <f>J18+J19+J20+J21+J22+J23+J24+J25+J26+J27+J28</f>
        <v>111616350.45999999</v>
      </c>
      <c r="K17" s="68">
        <v>116167.59</v>
      </c>
      <c r="L17" s="66"/>
      <c r="M17" s="67">
        <f>M18+M19+M20+M21+M22+M23+M24+M25+M26+M27+M28</f>
        <v>2777584.27</v>
      </c>
      <c r="N17" s="66"/>
      <c r="O17" s="67">
        <f>O18+O19+O20+O21+O22+O23+O24+O25+O26+O27+O28</f>
        <v>461885.37</v>
      </c>
      <c r="P17" s="67">
        <f>P18+P19+P20+P21+P22+P23+P24+P25+P26+P27+P28</f>
        <v>-416637.64</v>
      </c>
      <c r="Q17" s="67">
        <f>Q18+Q19+Q20+Q21+Q22+Q23+Q24+Q25+Q26+Q27+Q28</f>
        <v>114439182.45999999</v>
      </c>
      <c r="R17" s="14"/>
      <c r="S17" s="67">
        <f>S18+S19+S20+S21+S22+S23+S24+S25+S26+S27+S28</f>
        <v>117380269.44</v>
      </c>
      <c r="T17" s="14"/>
      <c r="U17" s="67">
        <f>U18+U19+U20+U21+U22+U23+U24+U25+U26+U27+U28</f>
        <v>125690792.52</v>
      </c>
      <c r="V17" s="67">
        <f>V18+V19+V20+V21+V22+V23+V24+V25+V26+V27+V28</f>
        <v>24181545.710000001</v>
      </c>
    </row>
    <row r="18" spans="1:22" ht="31.5" x14ac:dyDescent="0.25">
      <c r="A18" s="81" t="s">
        <v>29</v>
      </c>
      <c r="B18" s="15" t="s">
        <v>216</v>
      </c>
      <c r="C18" s="15" t="s">
        <v>230</v>
      </c>
      <c r="D18" s="16" t="s">
        <v>23</v>
      </c>
      <c r="E18" s="17">
        <v>1</v>
      </c>
      <c r="F18" s="18">
        <v>41043146.310000002</v>
      </c>
      <c r="G18" s="18"/>
      <c r="H18" s="18"/>
      <c r="I18" s="19"/>
      <c r="J18" s="19">
        <f t="shared" ref="J18:J26" si="2">I18+H18+G18+F18</f>
        <v>41043146.310000002</v>
      </c>
      <c r="K18" s="20">
        <v>41043.15</v>
      </c>
      <c r="L18" s="21">
        <v>3.1E-2</v>
      </c>
      <c r="M18" s="19">
        <f t="shared" ref="M18:M31" si="3">(F18+G18)*3.1%</f>
        <v>1272337.54</v>
      </c>
      <c r="N18" s="21">
        <v>5.0000000000000001E-3</v>
      </c>
      <c r="O18" s="19">
        <f t="shared" ref="O18:O31" si="4">(F18+G18+M18)*0.5%</f>
        <v>211577.42</v>
      </c>
      <c r="P18" s="19">
        <f t="shared" ref="P18:P31" si="5">-M18*15%</f>
        <v>-190850.63</v>
      </c>
      <c r="Q18" s="19">
        <f t="shared" ref="Q18:Q31" si="6">J18+M18+O18+P18</f>
        <v>42336210.640000001</v>
      </c>
      <c r="R18" s="94">
        <f>'Фактический индекс'!$F$30</f>
        <v>1.0257000000000001</v>
      </c>
      <c r="S18" s="19">
        <f t="shared" ref="S18:S66" si="7">Q18*R18</f>
        <v>43424251.25</v>
      </c>
      <c r="T18" s="93">
        <f>'Прогнозный индекс'!$F$43</f>
        <v>1.0708</v>
      </c>
      <c r="U18" s="19">
        <f t="shared" ref="U18:U28" si="8">S18*T18</f>
        <v>46498688.240000002</v>
      </c>
      <c r="V18" s="18">
        <f>H18*R18*T18</f>
        <v>0</v>
      </c>
    </row>
    <row r="19" spans="1:22" ht="31.5" x14ac:dyDescent="0.25">
      <c r="A19" s="81" t="s">
        <v>30</v>
      </c>
      <c r="B19" s="82" t="s">
        <v>217</v>
      </c>
      <c r="C19" s="82" t="s">
        <v>231</v>
      </c>
      <c r="D19" s="16" t="s">
        <v>23</v>
      </c>
      <c r="E19" s="17">
        <v>1</v>
      </c>
      <c r="F19" s="18">
        <v>33763170.090000004</v>
      </c>
      <c r="G19" s="18"/>
      <c r="H19" s="18"/>
      <c r="I19" s="19"/>
      <c r="J19" s="19">
        <f t="shared" si="2"/>
        <v>33763170.090000004</v>
      </c>
      <c r="K19" s="20">
        <v>33763.17</v>
      </c>
      <c r="L19" s="21">
        <v>3.1E-2</v>
      </c>
      <c r="M19" s="19">
        <f t="shared" si="3"/>
        <v>1046658.27</v>
      </c>
      <c r="N19" s="21">
        <v>5.0000000000000001E-3</v>
      </c>
      <c r="O19" s="19">
        <f t="shared" si="4"/>
        <v>174049.14</v>
      </c>
      <c r="P19" s="19">
        <f t="shared" si="5"/>
        <v>-156998.74</v>
      </c>
      <c r="Q19" s="19">
        <f t="shared" si="6"/>
        <v>34826878.759999998</v>
      </c>
      <c r="R19" s="94">
        <f>'Фактический индекс'!$F$30</f>
        <v>1.0257000000000001</v>
      </c>
      <c r="S19" s="19">
        <f t="shared" si="7"/>
        <v>35721929.539999999</v>
      </c>
      <c r="T19" s="93">
        <f>'Прогнозный индекс'!$F$43</f>
        <v>1.0708</v>
      </c>
      <c r="U19" s="19">
        <f t="shared" si="8"/>
        <v>38251042.149999999</v>
      </c>
      <c r="V19" s="18">
        <f t="shared" ref="V19:V28" si="9">H19*R19*T19</f>
        <v>0</v>
      </c>
    </row>
    <row r="20" spans="1:22" ht="63" x14ac:dyDescent="0.25">
      <c r="A20" s="81" t="s">
        <v>31</v>
      </c>
      <c r="B20" s="82" t="s">
        <v>218</v>
      </c>
      <c r="C20" s="82" t="s">
        <v>232</v>
      </c>
      <c r="D20" s="16" t="s">
        <v>23</v>
      </c>
      <c r="E20" s="17">
        <v>1</v>
      </c>
      <c r="F20" s="18">
        <v>269654.77</v>
      </c>
      <c r="G20" s="18">
        <v>4998256.88</v>
      </c>
      <c r="H20" s="18">
        <v>3873958.16</v>
      </c>
      <c r="I20" s="19"/>
      <c r="J20" s="19">
        <f t="shared" si="2"/>
        <v>9141869.8100000005</v>
      </c>
      <c r="K20" s="20">
        <v>9141.8700000000008</v>
      </c>
      <c r="L20" s="21">
        <v>3.1E-2</v>
      </c>
      <c r="M20" s="19">
        <f t="shared" si="3"/>
        <v>163305.26</v>
      </c>
      <c r="N20" s="21">
        <v>5.0000000000000001E-3</v>
      </c>
      <c r="O20" s="19">
        <f t="shared" si="4"/>
        <v>27156.080000000002</v>
      </c>
      <c r="P20" s="19">
        <f t="shared" si="5"/>
        <v>-24495.79</v>
      </c>
      <c r="Q20" s="19">
        <f t="shared" si="6"/>
        <v>9307835.3599999994</v>
      </c>
      <c r="R20" s="94">
        <f>'Фактический индекс'!$F$30</f>
        <v>1.0257000000000001</v>
      </c>
      <c r="S20" s="19">
        <f t="shared" si="7"/>
        <v>9547046.7300000004</v>
      </c>
      <c r="T20" s="93">
        <f>'Прогнозный индекс'!$F$43</f>
        <v>1.0708</v>
      </c>
      <c r="U20" s="19">
        <f t="shared" si="8"/>
        <v>10222977.640000001</v>
      </c>
      <c r="V20" s="18">
        <f t="shared" si="9"/>
        <v>4254844.0199999996</v>
      </c>
    </row>
    <row r="21" spans="1:22" ht="47.25" x14ac:dyDescent="0.25">
      <c r="A21" s="81" t="s">
        <v>32</v>
      </c>
      <c r="B21" s="83" t="s">
        <v>219</v>
      </c>
      <c r="C21" s="82" t="s">
        <v>233</v>
      </c>
      <c r="D21" s="16" t="s">
        <v>23</v>
      </c>
      <c r="E21" s="17">
        <v>1</v>
      </c>
      <c r="F21" s="18">
        <v>945022.47</v>
      </c>
      <c r="G21" s="18">
        <v>181297.76</v>
      </c>
      <c r="H21" s="18">
        <v>2876583.83</v>
      </c>
      <c r="I21" s="19"/>
      <c r="J21" s="19">
        <f t="shared" si="2"/>
        <v>4002904.06</v>
      </c>
      <c r="K21" s="20">
        <v>4002.9</v>
      </c>
      <c r="L21" s="21">
        <v>3.1E-2</v>
      </c>
      <c r="M21" s="19">
        <f t="shared" si="3"/>
        <v>34915.93</v>
      </c>
      <c r="N21" s="21">
        <v>5.0000000000000001E-3</v>
      </c>
      <c r="O21" s="19">
        <f t="shared" si="4"/>
        <v>5806.18</v>
      </c>
      <c r="P21" s="19">
        <f t="shared" si="5"/>
        <v>-5237.3900000000003</v>
      </c>
      <c r="Q21" s="19">
        <f t="shared" si="6"/>
        <v>4038388.78</v>
      </c>
      <c r="R21" s="94">
        <f>'Фактический индекс'!$F$30</f>
        <v>1.0257000000000001</v>
      </c>
      <c r="S21" s="19">
        <f t="shared" si="7"/>
        <v>4142175.37</v>
      </c>
      <c r="T21" s="93">
        <f>'Прогнозный индекс'!$F$43</f>
        <v>1.0708</v>
      </c>
      <c r="U21" s="19">
        <f t="shared" si="8"/>
        <v>4435441.3899999997</v>
      </c>
      <c r="V21" s="18">
        <f t="shared" si="9"/>
        <v>3159408.29</v>
      </c>
    </row>
    <row r="22" spans="1:22" ht="31.5" x14ac:dyDescent="0.25">
      <c r="A22" s="84" t="s">
        <v>288</v>
      </c>
      <c r="B22" s="82" t="s">
        <v>220</v>
      </c>
      <c r="C22" s="82" t="s">
        <v>234</v>
      </c>
      <c r="D22" s="16" t="s">
        <v>23</v>
      </c>
      <c r="E22" s="17">
        <v>1</v>
      </c>
      <c r="F22" s="18">
        <v>749050.07</v>
      </c>
      <c r="G22" s="18"/>
      <c r="H22" s="18"/>
      <c r="I22" s="19"/>
      <c r="J22" s="19">
        <f t="shared" si="2"/>
        <v>749050.07</v>
      </c>
      <c r="K22" s="20">
        <v>749.05</v>
      </c>
      <c r="L22" s="21">
        <v>3.1E-2</v>
      </c>
      <c r="M22" s="19">
        <f t="shared" si="3"/>
        <v>23220.55</v>
      </c>
      <c r="N22" s="21">
        <v>5.0000000000000001E-3</v>
      </c>
      <c r="O22" s="19">
        <f t="shared" si="4"/>
        <v>3861.35</v>
      </c>
      <c r="P22" s="19">
        <f t="shared" si="5"/>
        <v>-3483.08</v>
      </c>
      <c r="Q22" s="19">
        <f t="shared" si="6"/>
        <v>772648.89</v>
      </c>
      <c r="R22" s="94">
        <f>'Фактический индекс'!$F$30</f>
        <v>1.0257000000000001</v>
      </c>
      <c r="S22" s="19">
        <f t="shared" si="7"/>
        <v>792505.97</v>
      </c>
      <c r="T22" s="93">
        <f>'Прогнозный индекс'!$F$43</f>
        <v>1.0708</v>
      </c>
      <c r="U22" s="19">
        <f t="shared" si="8"/>
        <v>848615.39</v>
      </c>
      <c r="V22" s="18">
        <f t="shared" si="9"/>
        <v>0</v>
      </c>
    </row>
    <row r="23" spans="1:22" ht="47.25" x14ac:dyDescent="0.25">
      <c r="A23" s="84" t="s">
        <v>289</v>
      </c>
      <c r="B23" s="83" t="s">
        <v>221</v>
      </c>
      <c r="C23" s="82" t="s">
        <v>235</v>
      </c>
      <c r="D23" s="16" t="s">
        <v>23</v>
      </c>
      <c r="E23" s="17">
        <v>1</v>
      </c>
      <c r="F23" s="18">
        <v>2474471.9700000002</v>
      </c>
      <c r="G23" s="18">
        <v>244578.92</v>
      </c>
      <c r="H23" s="18">
        <v>6047217.1200000001</v>
      </c>
      <c r="I23" s="19"/>
      <c r="J23" s="19">
        <f t="shared" si="2"/>
        <v>8766268.0099999998</v>
      </c>
      <c r="K23" s="20">
        <v>8766.27</v>
      </c>
      <c r="L23" s="21">
        <v>3.1E-2</v>
      </c>
      <c r="M23" s="19">
        <f t="shared" si="3"/>
        <v>84290.58</v>
      </c>
      <c r="N23" s="21">
        <v>5.0000000000000001E-3</v>
      </c>
      <c r="O23" s="19">
        <f t="shared" si="4"/>
        <v>14016.71</v>
      </c>
      <c r="P23" s="19">
        <f t="shared" si="5"/>
        <v>-12643.59</v>
      </c>
      <c r="Q23" s="19">
        <f t="shared" si="6"/>
        <v>8851931.7100000009</v>
      </c>
      <c r="R23" s="94">
        <f>'Фактический индекс'!$F$30</f>
        <v>1.0257000000000001</v>
      </c>
      <c r="S23" s="19">
        <f t="shared" si="7"/>
        <v>9079426.3499999996</v>
      </c>
      <c r="T23" s="93">
        <f>'Прогнозный индекс'!$F$43</f>
        <v>1.0708</v>
      </c>
      <c r="U23" s="19">
        <f t="shared" si="8"/>
        <v>9722249.7400000002</v>
      </c>
      <c r="V23" s="18">
        <f t="shared" si="9"/>
        <v>6641776.8499999996</v>
      </c>
    </row>
    <row r="24" spans="1:22" ht="31.5" x14ac:dyDescent="0.25">
      <c r="A24" s="84" t="s">
        <v>290</v>
      </c>
      <c r="B24" s="333" t="s">
        <v>222</v>
      </c>
      <c r="C24" s="82" t="s">
        <v>236</v>
      </c>
      <c r="D24" s="16" t="s">
        <v>23</v>
      </c>
      <c r="E24" s="17">
        <v>1</v>
      </c>
      <c r="F24" s="18">
        <v>601.34</v>
      </c>
      <c r="G24" s="18">
        <v>499122.05</v>
      </c>
      <c r="H24" s="18">
        <v>770416.94</v>
      </c>
      <c r="I24" s="19"/>
      <c r="J24" s="332">
        <f t="shared" si="2"/>
        <v>1270140.33</v>
      </c>
      <c r="K24" s="20">
        <v>1437.79</v>
      </c>
      <c r="L24" s="21">
        <v>3.1E-2</v>
      </c>
      <c r="M24" s="19">
        <f t="shared" si="3"/>
        <v>15491.43</v>
      </c>
      <c r="N24" s="21">
        <v>5.0000000000000001E-3</v>
      </c>
      <c r="O24" s="19">
        <f t="shared" si="4"/>
        <v>2576.0700000000002</v>
      </c>
      <c r="P24" s="19">
        <f t="shared" si="5"/>
        <v>-2323.71</v>
      </c>
      <c r="Q24" s="19">
        <f t="shared" si="6"/>
        <v>1285884.1200000001</v>
      </c>
      <c r="R24" s="94">
        <f>'Фактический индекс'!$F$30</f>
        <v>1.0257000000000001</v>
      </c>
      <c r="S24" s="19">
        <f t="shared" si="7"/>
        <v>1318931.3400000001</v>
      </c>
      <c r="T24" s="93">
        <f>'Прогнозный индекс'!$F$43</f>
        <v>1.0708</v>
      </c>
      <c r="U24" s="19">
        <f t="shared" si="8"/>
        <v>1412311.68</v>
      </c>
      <c r="V24" s="18">
        <f t="shared" si="9"/>
        <v>846163.99</v>
      </c>
    </row>
    <row r="25" spans="1:22" ht="31.5" x14ac:dyDescent="0.25">
      <c r="A25" s="84" t="s">
        <v>291</v>
      </c>
      <c r="B25" s="83" t="s">
        <v>223</v>
      </c>
      <c r="C25" s="82" t="s">
        <v>237</v>
      </c>
      <c r="D25" s="16" t="s">
        <v>23</v>
      </c>
      <c r="E25" s="17">
        <v>1</v>
      </c>
      <c r="F25" s="18">
        <v>64884.79</v>
      </c>
      <c r="G25" s="18">
        <v>167558.35</v>
      </c>
      <c r="H25" s="18">
        <v>131051.06</v>
      </c>
      <c r="I25" s="19"/>
      <c r="J25" s="19">
        <f t="shared" si="2"/>
        <v>363494.2</v>
      </c>
      <c r="K25" s="20">
        <v>363.49</v>
      </c>
      <c r="L25" s="21">
        <v>3.1E-2</v>
      </c>
      <c r="M25" s="19">
        <f t="shared" si="3"/>
        <v>7205.74</v>
      </c>
      <c r="N25" s="21">
        <v>5.0000000000000001E-3</v>
      </c>
      <c r="O25" s="19">
        <f t="shared" si="4"/>
        <v>1198.24</v>
      </c>
      <c r="P25" s="19">
        <f t="shared" si="5"/>
        <v>-1080.8599999999999</v>
      </c>
      <c r="Q25" s="19">
        <f t="shared" si="6"/>
        <v>370817.32</v>
      </c>
      <c r="R25" s="94">
        <f>'Фактический индекс'!$F$30</f>
        <v>1.0257000000000001</v>
      </c>
      <c r="S25" s="19">
        <f t="shared" si="7"/>
        <v>380347.33</v>
      </c>
      <c r="T25" s="93">
        <f>'Прогнозный индекс'!$F$43</f>
        <v>1.0708</v>
      </c>
      <c r="U25" s="19">
        <f t="shared" si="8"/>
        <v>407275.92</v>
      </c>
      <c r="V25" s="18">
        <f t="shared" si="9"/>
        <v>143935.94</v>
      </c>
    </row>
    <row r="26" spans="1:22" ht="47.25" x14ac:dyDescent="0.25">
      <c r="A26" s="84" t="s">
        <v>292</v>
      </c>
      <c r="B26" s="83" t="s">
        <v>224</v>
      </c>
      <c r="C26" s="82" t="s">
        <v>238</v>
      </c>
      <c r="D26" s="16" t="s">
        <v>23</v>
      </c>
      <c r="E26" s="17">
        <v>1</v>
      </c>
      <c r="F26" s="18">
        <v>100012.81</v>
      </c>
      <c r="G26" s="18">
        <v>1937675.73</v>
      </c>
      <c r="H26" s="18">
        <v>3529738.87</v>
      </c>
      <c r="I26" s="19"/>
      <c r="J26" s="19">
        <f t="shared" si="2"/>
        <v>5567427.4100000001</v>
      </c>
      <c r="K26" s="20">
        <v>5567.43</v>
      </c>
      <c r="L26" s="21">
        <v>3.1E-2</v>
      </c>
      <c r="M26" s="19">
        <f t="shared" si="3"/>
        <v>63168.34</v>
      </c>
      <c r="N26" s="21">
        <v>5.0000000000000001E-3</v>
      </c>
      <c r="O26" s="19">
        <f t="shared" si="4"/>
        <v>10504.28</v>
      </c>
      <c r="P26" s="19">
        <f t="shared" si="5"/>
        <v>-9475.25</v>
      </c>
      <c r="Q26" s="19">
        <f t="shared" si="6"/>
        <v>5631624.7800000003</v>
      </c>
      <c r="R26" s="94">
        <f>'Фактический индекс'!$F$30</f>
        <v>1.0257000000000001</v>
      </c>
      <c r="S26" s="19">
        <f t="shared" si="7"/>
        <v>5776357.54</v>
      </c>
      <c r="T26" s="93">
        <f>'Прогнозный индекс'!$F$43</f>
        <v>1.0708</v>
      </c>
      <c r="U26" s="19">
        <f t="shared" si="8"/>
        <v>6185323.6500000004</v>
      </c>
      <c r="V26" s="18">
        <f t="shared" si="9"/>
        <v>3876781.24</v>
      </c>
    </row>
    <row r="27" spans="1:22" ht="47.25" x14ac:dyDescent="0.25">
      <c r="A27" s="84" t="s">
        <v>293</v>
      </c>
      <c r="B27" s="82" t="s">
        <v>225</v>
      </c>
      <c r="C27" s="82" t="s">
        <v>239</v>
      </c>
      <c r="D27" s="16" t="s">
        <v>23</v>
      </c>
      <c r="E27" s="17">
        <v>1</v>
      </c>
      <c r="F27" s="18">
        <v>1044.78</v>
      </c>
      <c r="G27" s="18">
        <v>1182006.32</v>
      </c>
      <c r="H27" s="18">
        <v>1103464.17</v>
      </c>
      <c r="I27" s="19"/>
      <c r="J27" s="19">
        <f t="shared" ref="J27:J47" si="10">I27+H27+G27+F27</f>
        <v>2286515.27</v>
      </c>
      <c r="K27" s="20">
        <v>2286.5100000000002</v>
      </c>
      <c r="L27" s="21">
        <v>3.1E-2</v>
      </c>
      <c r="M27" s="19">
        <f t="shared" si="3"/>
        <v>36674.58</v>
      </c>
      <c r="N27" s="21">
        <v>5.0000000000000001E-3</v>
      </c>
      <c r="O27" s="19">
        <f t="shared" si="4"/>
        <v>6098.63</v>
      </c>
      <c r="P27" s="19">
        <f t="shared" si="5"/>
        <v>-5501.19</v>
      </c>
      <c r="Q27" s="19">
        <f t="shared" si="6"/>
        <v>2323787.29</v>
      </c>
      <c r="R27" s="94">
        <f>'Фактический индекс'!$F$30</f>
        <v>1.0257000000000001</v>
      </c>
      <c r="S27" s="19">
        <f t="shared" si="7"/>
        <v>2383508.62</v>
      </c>
      <c r="T27" s="93">
        <f>'Прогнозный индекс'!$F$43</f>
        <v>1.0708</v>
      </c>
      <c r="U27" s="19">
        <f t="shared" si="8"/>
        <v>2552261.0299999998</v>
      </c>
      <c r="V27" s="18">
        <f t="shared" si="9"/>
        <v>1211956.28</v>
      </c>
    </row>
    <row r="28" spans="1:22" ht="47.25" x14ac:dyDescent="0.25">
      <c r="A28" s="84" t="s">
        <v>294</v>
      </c>
      <c r="B28" s="333" t="s">
        <v>226</v>
      </c>
      <c r="C28" s="82" t="s">
        <v>240</v>
      </c>
      <c r="D28" s="16" t="s">
        <v>23</v>
      </c>
      <c r="E28" s="17">
        <v>1</v>
      </c>
      <c r="F28" s="18">
        <v>16195.06</v>
      </c>
      <c r="G28" s="18">
        <v>961742.06</v>
      </c>
      <c r="H28" s="18">
        <v>3684427.78</v>
      </c>
      <c r="I28" s="19"/>
      <c r="J28" s="332">
        <f t="shared" si="10"/>
        <v>4662364.9000000004</v>
      </c>
      <c r="K28" s="20">
        <v>9045.9599999999991</v>
      </c>
      <c r="L28" s="21">
        <v>3.1E-2</v>
      </c>
      <c r="M28" s="19">
        <f t="shared" si="3"/>
        <v>30316.05</v>
      </c>
      <c r="N28" s="21">
        <v>5.0000000000000001E-3</v>
      </c>
      <c r="O28" s="19">
        <f t="shared" si="4"/>
        <v>5041.2700000000004</v>
      </c>
      <c r="P28" s="19">
        <f t="shared" si="5"/>
        <v>-4547.41</v>
      </c>
      <c r="Q28" s="19">
        <f t="shared" si="6"/>
        <v>4693174.8099999996</v>
      </c>
      <c r="R28" s="94">
        <f>'Фактический индекс'!$F$30</f>
        <v>1.0257000000000001</v>
      </c>
      <c r="S28" s="19">
        <f t="shared" si="7"/>
        <v>4813789.4000000004</v>
      </c>
      <c r="T28" s="93">
        <f>'Прогнозный индекс'!$F$43</f>
        <v>1.0708</v>
      </c>
      <c r="U28" s="19">
        <f t="shared" si="8"/>
        <v>5154605.6900000004</v>
      </c>
      <c r="V28" s="18">
        <f t="shared" si="9"/>
        <v>4046679.1</v>
      </c>
    </row>
    <row r="29" spans="1:22" ht="31.5" x14ac:dyDescent="0.25">
      <c r="A29" s="78" t="s">
        <v>33</v>
      </c>
      <c r="B29" s="79" t="s">
        <v>73</v>
      </c>
      <c r="C29" s="77" t="s">
        <v>241</v>
      </c>
      <c r="D29" s="63" t="s">
        <v>23</v>
      </c>
      <c r="E29" s="64">
        <v>1</v>
      </c>
      <c r="F29" s="67">
        <v>7676281.9299999997</v>
      </c>
      <c r="G29" s="69"/>
      <c r="H29" s="69"/>
      <c r="I29" s="70"/>
      <c r="J29" s="14">
        <f t="shared" si="10"/>
        <v>7676281.9299999997</v>
      </c>
      <c r="K29" s="65">
        <v>7676.28</v>
      </c>
      <c r="L29" s="66">
        <v>3.1E-2</v>
      </c>
      <c r="M29" s="14">
        <f t="shared" si="3"/>
        <v>237964.74</v>
      </c>
      <c r="N29" s="66">
        <v>5.0000000000000001E-3</v>
      </c>
      <c r="O29" s="14">
        <f t="shared" si="4"/>
        <v>39571.230000000003</v>
      </c>
      <c r="P29" s="14">
        <f t="shared" si="5"/>
        <v>-35694.71</v>
      </c>
      <c r="Q29" s="14">
        <f t="shared" si="6"/>
        <v>7918123.1900000004</v>
      </c>
      <c r="R29" s="92">
        <f>'Фактический индекс'!$F$30</f>
        <v>1.0257000000000001</v>
      </c>
      <c r="S29" s="14">
        <f t="shared" si="7"/>
        <v>8121618.96</v>
      </c>
      <c r="T29" s="93">
        <f>'Прогнозный индекс'!$F$43</f>
        <v>1.0708</v>
      </c>
      <c r="U29" s="14">
        <f t="shared" ref="U29:U31" si="11">S29*T29</f>
        <v>8696629.5800000001</v>
      </c>
      <c r="V29" s="67">
        <f t="shared" ref="V29:V31" si="12">H29*R29*T29</f>
        <v>0</v>
      </c>
    </row>
    <row r="30" spans="1:22" ht="47.25" x14ac:dyDescent="0.25">
      <c r="A30" s="78" t="s">
        <v>35</v>
      </c>
      <c r="B30" s="79" t="s">
        <v>78</v>
      </c>
      <c r="C30" s="77" t="s">
        <v>242</v>
      </c>
      <c r="D30" s="63" t="s">
        <v>23</v>
      </c>
      <c r="E30" s="64">
        <v>1</v>
      </c>
      <c r="F30" s="67">
        <v>585554.69999999995</v>
      </c>
      <c r="G30" s="67">
        <v>2817568.16</v>
      </c>
      <c r="H30" s="67">
        <v>170318.59</v>
      </c>
      <c r="I30" s="14"/>
      <c r="J30" s="14">
        <f t="shared" si="10"/>
        <v>3573441.45</v>
      </c>
      <c r="K30" s="65">
        <v>3573.44</v>
      </c>
      <c r="L30" s="66">
        <v>3.1E-2</v>
      </c>
      <c r="M30" s="14">
        <f t="shared" si="3"/>
        <v>105496.81</v>
      </c>
      <c r="N30" s="66">
        <v>5.0000000000000001E-3</v>
      </c>
      <c r="O30" s="14">
        <f t="shared" si="4"/>
        <v>17543.099999999999</v>
      </c>
      <c r="P30" s="14">
        <f t="shared" si="5"/>
        <v>-15824.52</v>
      </c>
      <c r="Q30" s="14">
        <f t="shared" si="6"/>
        <v>3680656.84</v>
      </c>
      <c r="R30" s="92">
        <f>'Фактический индекс'!$F$30</f>
        <v>1.0257000000000001</v>
      </c>
      <c r="S30" s="14">
        <f t="shared" si="7"/>
        <v>3775249.72</v>
      </c>
      <c r="T30" s="93">
        <f>'Прогнозный индекс'!$F$43</f>
        <v>1.0708</v>
      </c>
      <c r="U30" s="14">
        <f t="shared" si="11"/>
        <v>4042537.4</v>
      </c>
      <c r="V30" s="67">
        <f t="shared" si="12"/>
        <v>187064.24</v>
      </c>
    </row>
    <row r="31" spans="1:22" ht="31.5" x14ac:dyDescent="0.25">
      <c r="A31" s="78" t="s">
        <v>36</v>
      </c>
      <c r="B31" s="79" t="s">
        <v>83</v>
      </c>
      <c r="C31" s="77" t="s">
        <v>243</v>
      </c>
      <c r="D31" s="63" t="s">
        <v>23</v>
      </c>
      <c r="E31" s="64">
        <v>1</v>
      </c>
      <c r="F31" s="67">
        <v>1220775.67</v>
      </c>
      <c r="G31" s="67">
        <v>3530221.54</v>
      </c>
      <c r="H31" s="67">
        <v>12831.8</v>
      </c>
      <c r="I31" s="14"/>
      <c r="J31" s="14">
        <f t="shared" si="10"/>
        <v>4763829.01</v>
      </c>
      <c r="K31" s="65">
        <v>4763.83</v>
      </c>
      <c r="L31" s="66">
        <v>3.1E-2</v>
      </c>
      <c r="M31" s="14">
        <f t="shared" si="3"/>
        <v>147280.91</v>
      </c>
      <c r="N31" s="66">
        <v>5.0000000000000001E-3</v>
      </c>
      <c r="O31" s="14">
        <f t="shared" si="4"/>
        <v>24491.39</v>
      </c>
      <c r="P31" s="14">
        <f t="shared" si="5"/>
        <v>-22092.14</v>
      </c>
      <c r="Q31" s="14">
        <f t="shared" si="6"/>
        <v>4913509.17</v>
      </c>
      <c r="R31" s="92">
        <f>'Фактический индекс'!$F$30</f>
        <v>1.0257000000000001</v>
      </c>
      <c r="S31" s="14">
        <f t="shared" si="7"/>
        <v>5039786.3600000003</v>
      </c>
      <c r="T31" s="93">
        <f>'Прогнозный индекс'!$F$43</f>
        <v>1.0708</v>
      </c>
      <c r="U31" s="14">
        <f t="shared" si="11"/>
        <v>5396603.2300000004</v>
      </c>
      <c r="V31" s="67">
        <f t="shared" si="12"/>
        <v>14093.42</v>
      </c>
    </row>
    <row r="32" spans="1:22" x14ac:dyDescent="0.25">
      <c r="A32" s="78" t="s">
        <v>37</v>
      </c>
      <c r="B32" s="79" t="s">
        <v>86</v>
      </c>
      <c r="C32" s="77" t="s">
        <v>87</v>
      </c>
      <c r="D32" s="63" t="s">
        <v>23</v>
      </c>
      <c r="E32" s="64">
        <v>1</v>
      </c>
      <c r="F32" s="67">
        <f>F33+F34+F35</f>
        <v>2741006.39</v>
      </c>
      <c r="G32" s="67">
        <f>G33+G34+G35</f>
        <v>5807517.7000000002</v>
      </c>
      <c r="H32" s="67">
        <f>H33+H34+H35</f>
        <v>1146190.6299999999</v>
      </c>
      <c r="I32" s="70"/>
      <c r="J32" s="67">
        <f>J33+J34+J35</f>
        <v>9694714.7200000007</v>
      </c>
      <c r="K32" s="65">
        <v>9694.7199999999993</v>
      </c>
      <c r="L32" s="71"/>
      <c r="M32" s="67">
        <f>M33+M34+M35</f>
        <v>265004.25</v>
      </c>
      <c r="N32" s="71"/>
      <c r="O32" s="67">
        <f>O33+O34+O35</f>
        <v>44067.64</v>
      </c>
      <c r="P32" s="67">
        <f>P33+P34+P35</f>
        <v>-39750.629999999997</v>
      </c>
      <c r="Q32" s="67">
        <f>Q33+Q34+Q35</f>
        <v>9964035.9800000004</v>
      </c>
      <c r="R32" s="14"/>
      <c r="S32" s="67">
        <f>S33+S34+S35</f>
        <v>10220111.699999999</v>
      </c>
      <c r="T32" s="14"/>
      <c r="U32" s="67">
        <f>U33+U34+U35</f>
        <v>10943695.6</v>
      </c>
      <c r="V32" s="67">
        <f>V33+V34+V35</f>
        <v>1258883.5900000001</v>
      </c>
    </row>
    <row r="33" spans="1:22" ht="31.5" x14ac:dyDescent="0.25">
      <c r="A33" s="84" t="s">
        <v>295</v>
      </c>
      <c r="B33" s="85" t="s">
        <v>227</v>
      </c>
      <c r="C33" s="85" t="s">
        <v>244</v>
      </c>
      <c r="D33" s="16" t="s">
        <v>23</v>
      </c>
      <c r="E33" s="17">
        <v>1</v>
      </c>
      <c r="F33" s="18">
        <v>2139562.0299999998</v>
      </c>
      <c r="G33" s="18"/>
      <c r="H33" s="18"/>
      <c r="I33" s="19"/>
      <c r="J33" s="19">
        <f t="shared" si="10"/>
        <v>2139562.0299999998</v>
      </c>
      <c r="K33" s="20">
        <v>2139.56</v>
      </c>
      <c r="L33" s="21">
        <v>3.1E-2</v>
      </c>
      <c r="M33" s="19">
        <f t="shared" ref="M33:M35" si="13">(F33+G33)*3.1%</f>
        <v>66326.42</v>
      </c>
      <c r="N33" s="21">
        <v>5.0000000000000001E-3</v>
      </c>
      <c r="O33" s="19">
        <f t="shared" ref="O33:O35" si="14">(F33+G33+M33)*0.5%</f>
        <v>11029.44</v>
      </c>
      <c r="P33" s="19">
        <f t="shared" ref="P33:P35" si="15">-M33*15%</f>
        <v>-9948.9599999999991</v>
      </c>
      <c r="Q33" s="19">
        <f t="shared" ref="Q33:Q35" si="16">J33+M33+O33+P33</f>
        <v>2206968.9300000002</v>
      </c>
      <c r="R33" s="94">
        <f>'Фактический индекс'!$F$30</f>
        <v>1.0257000000000001</v>
      </c>
      <c r="S33" s="19">
        <f t="shared" si="7"/>
        <v>2263688.0299999998</v>
      </c>
      <c r="T33" s="93">
        <f>'Прогнозный индекс'!$F$43</f>
        <v>1.0708</v>
      </c>
      <c r="U33" s="19">
        <f t="shared" ref="U33:U35" si="17">S33*T33</f>
        <v>2423957.14</v>
      </c>
      <c r="V33" s="18">
        <f t="shared" ref="V33:V35" si="18">H33*R33*T33</f>
        <v>0</v>
      </c>
    </row>
    <row r="34" spans="1:22" ht="47.25" x14ac:dyDescent="0.25">
      <c r="A34" s="84" t="s">
        <v>296</v>
      </c>
      <c r="B34" s="85" t="s">
        <v>228</v>
      </c>
      <c r="C34" s="85" t="s">
        <v>245</v>
      </c>
      <c r="D34" s="16" t="s">
        <v>23</v>
      </c>
      <c r="E34" s="17">
        <v>1</v>
      </c>
      <c r="F34" s="18">
        <v>147585.12</v>
      </c>
      <c r="G34" s="18">
        <v>5626301.5999999996</v>
      </c>
      <c r="H34" s="18">
        <v>575840.22</v>
      </c>
      <c r="I34" s="19"/>
      <c r="J34" s="19">
        <f t="shared" si="10"/>
        <v>6349726.9400000004</v>
      </c>
      <c r="K34" s="20">
        <v>6349.73</v>
      </c>
      <c r="L34" s="21">
        <v>3.1E-2</v>
      </c>
      <c r="M34" s="19">
        <f t="shared" si="13"/>
        <v>178990.49</v>
      </c>
      <c r="N34" s="21">
        <v>5.0000000000000001E-3</v>
      </c>
      <c r="O34" s="19">
        <f t="shared" si="14"/>
        <v>29764.39</v>
      </c>
      <c r="P34" s="19">
        <f t="shared" si="15"/>
        <v>-26848.57</v>
      </c>
      <c r="Q34" s="19">
        <f t="shared" si="16"/>
        <v>6531633.25</v>
      </c>
      <c r="R34" s="94">
        <f>'Фактический индекс'!$F$30</f>
        <v>1.0257000000000001</v>
      </c>
      <c r="S34" s="19">
        <f t="shared" si="7"/>
        <v>6699496.2199999997</v>
      </c>
      <c r="T34" s="93">
        <f>'Прогнозный индекс'!$F$43</f>
        <v>1.0708</v>
      </c>
      <c r="U34" s="19">
        <f t="shared" si="17"/>
        <v>7173820.5499999998</v>
      </c>
      <c r="V34" s="18">
        <f t="shared" si="18"/>
        <v>632456.57999999996</v>
      </c>
    </row>
    <row r="35" spans="1:22" ht="47.25" x14ac:dyDescent="0.25">
      <c r="A35" s="84" t="s">
        <v>297</v>
      </c>
      <c r="B35" s="85" t="s">
        <v>229</v>
      </c>
      <c r="C35" s="85" t="s">
        <v>246</v>
      </c>
      <c r="D35" s="16" t="s">
        <v>23</v>
      </c>
      <c r="E35" s="17">
        <v>1</v>
      </c>
      <c r="F35" s="18">
        <v>453859.24</v>
      </c>
      <c r="G35" s="18">
        <v>181216.1</v>
      </c>
      <c r="H35" s="18">
        <v>570350.41</v>
      </c>
      <c r="I35" s="19"/>
      <c r="J35" s="19">
        <f t="shared" si="10"/>
        <v>1205425.75</v>
      </c>
      <c r="K35" s="20">
        <v>1205.43</v>
      </c>
      <c r="L35" s="21">
        <v>3.1E-2</v>
      </c>
      <c r="M35" s="19">
        <f t="shared" si="13"/>
        <v>19687.34</v>
      </c>
      <c r="N35" s="21">
        <v>5.0000000000000001E-3</v>
      </c>
      <c r="O35" s="19">
        <f t="shared" si="14"/>
        <v>3273.81</v>
      </c>
      <c r="P35" s="19">
        <f t="shared" si="15"/>
        <v>-2953.1</v>
      </c>
      <c r="Q35" s="19">
        <f t="shared" si="16"/>
        <v>1225433.8</v>
      </c>
      <c r="R35" s="94">
        <f>'Фактический индекс'!$F$30</f>
        <v>1.0257000000000001</v>
      </c>
      <c r="S35" s="19">
        <f t="shared" si="7"/>
        <v>1256927.45</v>
      </c>
      <c r="T35" s="93">
        <f>'Прогнозный индекс'!$F$43</f>
        <v>1.0708</v>
      </c>
      <c r="U35" s="19">
        <f t="shared" si="17"/>
        <v>1345917.91</v>
      </c>
      <c r="V35" s="18">
        <f t="shared" si="18"/>
        <v>626427.01</v>
      </c>
    </row>
    <row r="36" spans="1:22" x14ac:dyDescent="0.25">
      <c r="A36" s="78" t="s">
        <v>38</v>
      </c>
      <c r="B36" s="79" t="s">
        <v>91</v>
      </c>
      <c r="C36" s="77" t="s">
        <v>92</v>
      </c>
      <c r="D36" s="63" t="s">
        <v>23</v>
      </c>
      <c r="E36" s="64">
        <v>1</v>
      </c>
      <c r="F36" s="67">
        <f>F37+F38+F39+F40+F41</f>
        <v>18956398.329999998</v>
      </c>
      <c r="G36" s="67">
        <f>G37+G38+G39+G40+G41</f>
        <v>174793.42</v>
      </c>
      <c r="H36" s="67">
        <f>H37+H38+H39+H40+H41</f>
        <v>5275795.74</v>
      </c>
      <c r="I36" s="70"/>
      <c r="J36" s="67">
        <f>J37+J38+J39+J40+J41</f>
        <v>24406987.489999998</v>
      </c>
      <c r="K36" s="65">
        <v>24406.98</v>
      </c>
      <c r="L36" s="71"/>
      <c r="M36" s="67">
        <f>M37+M38+M39+M40+M41</f>
        <v>593066.93999999994</v>
      </c>
      <c r="N36" s="71"/>
      <c r="O36" s="67">
        <f>O37+O38+O39+O40+O41</f>
        <v>98621.3</v>
      </c>
      <c r="P36" s="67">
        <f>P37+P38+P39+P40+P41</f>
        <v>-88960.04</v>
      </c>
      <c r="Q36" s="67">
        <f>Q37+Q38+Q39+Q40+Q41</f>
        <v>25009715.690000001</v>
      </c>
      <c r="R36" s="70"/>
      <c r="S36" s="67">
        <f>S37+S38+S39+S40+S41</f>
        <v>25652465.379999999</v>
      </c>
      <c r="T36" s="70"/>
      <c r="U36" s="67">
        <f>U37+U38+U39+U40+U41</f>
        <v>27468659.93</v>
      </c>
      <c r="V36" s="67">
        <f>V37+V38+V39+V40+V41</f>
        <v>5794509.6500000004</v>
      </c>
    </row>
    <row r="37" spans="1:22" ht="31.5" x14ac:dyDescent="0.25">
      <c r="A37" s="84" t="s">
        <v>298</v>
      </c>
      <c r="B37" s="83" t="s">
        <v>247</v>
      </c>
      <c r="C37" s="82" t="s">
        <v>252</v>
      </c>
      <c r="D37" s="16" t="s">
        <v>23</v>
      </c>
      <c r="E37" s="17">
        <v>1</v>
      </c>
      <c r="F37" s="18">
        <v>231010.92</v>
      </c>
      <c r="G37" s="18"/>
      <c r="H37" s="18"/>
      <c r="I37" s="19"/>
      <c r="J37" s="19">
        <f t="shared" si="10"/>
        <v>231010.92</v>
      </c>
      <c r="K37" s="20">
        <v>231.01</v>
      </c>
      <c r="L37" s="21">
        <v>3.1E-2</v>
      </c>
      <c r="M37" s="19">
        <f t="shared" ref="M37:M41" si="19">(F37+G37)*3.1%</f>
        <v>7161.34</v>
      </c>
      <c r="N37" s="21">
        <v>5.0000000000000001E-3</v>
      </c>
      <c r="O37" s="19">
        <f t="shared" ref="O37:O41" si="20">(F37+G37+M37)*0.5%</f>
        <v>1190.8599999999999</v>
      </c>
      <c r="P37" s="19">
        <f t="shared" ref="P37:P41" si="21">-M37*15%</f>
        <v>-1074.2</v>
      </c>
      <c r="Q37" s="19">
        <f t="shared" ref="Q37:Q41" si="22">J37+M37+O37+P37</f>
        <v>238288.92</v>
      </c>
      <c r="R37" s="94">
        <f>'Фактический индекс'!$F$30</f>
        <v>1.0257000000000001</v>
      </c>
      <c r="S37" s="19">
        <f t="shared" si="7"/>
        <v>244412.95</v>
      </c>
      <c r="T37" s="93">
        <f>'Прогнозный индекс'!$F$43</f>
        <v>1.0708</v>
      </c>
      <c r="U37" s="19">
        <f t="shared" ref="U37:U41" si="23">S37*T37</f>
        <v>261717.39</v>
      </c>
      <c r="V37" s="18">
        <f t="shared" ref="V37:V41" si="24">H37*R37*T37</f>
        <v>0</v>
      </c>
    </row>
    <row r="38" spans="1:22" ht="47.25" x14ac:dyDescent="0.25">
      <c r="A38" s="84" t="s">
        <v>299</v>
      </c>
      <c r="B38" s="83" t="s">
        <v>248</v>
      </c>
      <c r="C38" s="82" t="s">
        <v>253</v>
      </c>
      <c r="D38" s="16" t="s">
        <v>23</v>
      </c>
      <c r="E38" s="17">
        <v>1</v>
      </c>
      <c r="F38" s="18">
        <v>1966633.37</v>
      </c>
      <c r="G38" s="18"/>
      <c r="H38" s="18">
        <v>481276</v>
      </c>
      <c r="I38" s="19"/>
      <c r="J38" s="19">
        <f t="shared" si="10"/>
        <v>2447909.37</v>
      </c>
      <c r="K38" s="20">
        <v>2447.91</v>
      </c>
      <c r="L38" s="21">
        <v>3.1E-2</v>
      </c>
      <c r="M38" s="19">
        <f t="shared" si="19"/>
        <v>60965.63</v>
      </c>
      <c r="N38" s="21">
        <v>5.0000000000000001E-3</v>
      </c>
      <c r="O38" s="19">
        <f t="shared" si="20"/>
        <v>10138</v>
      </c>
      <c r="P38" s="19">
        <f t="shared" si="21"/>
        <v>-9144.84</v>
      </c>
      <c r="Q38" s="19">
        <f t="shared" si="22"/>
        <v>2509868.16</v>
      </c>
      <c r="R38" s="94">
        <f>'Фактический индекс'!$F$30</f>
        <v>1.0257000000000001</v>
      </c>
      <c r="S38" s="19">
        <f t="shared" si="7"/>
        <v>2574371.77</v>
      </c>
      <c r="T38" s="93">
        <f>'Прогнозный индекс'!$F$43</f>
        <v>1.0708</v>
      </c>
      <c r="U38" s="19">
        <f t="shared" si="23"/>
        <v>2756637.29</v>
      </c>
      <c r="V38" s="18">
        <f t="shared" si="24"/>
        <v>528594.84</v>
      </c>
    </row>
    <row r="39" spans="1:22" ht="47.25" x14ac:dyDescent="0.25">
      <c r="A39" s="84" t="s">
        <v>300</v>
      </c>
      <c r="B39" s="83" t="s">
        <v>249</v>
      </c>
      <c r="C39" s="82" t="s">
        <v>254</v>
      </c>
      <c r="D39" s="16" t="s">
        <v>23</v>
      </c>
      <c r="E39" s="17">
        <v>1</v>
      </c>
      <c r="F39" s="18">
        <v>13542091.42</v>
      </c>
      <c r="G39" s="18">
        <v>174793.42</v>
      </c>
      <c r="H39" s="18">
        <v>4794519.74</v>
      </c>
      <c r="I39" s="19"/>
      <c r="J39" s="19">
        <f t="shared" si="10"/>
        <v>18511404.579999998</v>
      </c>
      <c r="K39" s="20">
        <v>18511.400000000001</v>
      </c>
      <c r="L39" s="21">
        <v>3.1E-2</v>
      </c>
      <c r="M39" s="19">
        <f t="shared" si="19"/>
        <v>425223.43</v>
      </c>
      <c r="N39" s="21">
        <v>5.0000000000000001E-3</v>
      </c>
      <c r="O39" s="19">
        <f t="shared" si="20"/>
        <v>70710.539999999994</v>
      </c>
      <c r="P39" s="19">
        <f t="shared" si="21"/>
        <v>-63783.51</v>
      </c>
      <c r="Q39" s="19">
        <f t="shared" si="22"/>
        <v>18943555.039999999</v>
      </c>
      <c r="R39" s="94">
        <f>'Фактический индекс'!$F$30</f>
        <v>1.0257000000000001</v>
      </c>
      <c r="S39" s="19">
        <f t="shared" si="7"/>
        <v>19430404.399999999</v>
      </c>
      <c r="T39" s="93">
        <f>'Прогнозный индекс'!$F$43</f>
        <v>1.0708</v>
      </c>
      <c r="U39" s="19">
        <f t="shared" si="23"/>
        <v>20806077.030000001</v>
      </c>
      <c r="V39" s="18">
        <f t="shared" si="24"/>
        <v>5265914.8099999996</v>
      </c>
    </row>
    <row r="40" spans="1:22" ht="47.25" x14ac:dyDescent="0.25">
      <c r="A40" s="84" t="s">
        <v>301</v>
      </c>
      <c r="B40" s="83" t="s">
        <v>250</v>
      </c>
      <c r="C40" s="82" t="s">
        <v>255</v>
      </c>
      <c r="D40" s="16" t="s">
        <v>23</v>
      </c>
      <c r="E40" s="17">
        <v>1</v>
      </c>
      <c r="F40" s="18">
        <v>983628.96</v>
      </c>
      <c r="G40" s="18"/>
      <c r="H40" s="18"/>
      <c r="I40" s="19"/>
      <c r="J40" s="19">
        <f t="shared" si="10"/>
        <v>983628.96</v>
      </c>
      <c r="K40" s="20">
        <v>983.63</v>
      </c>
      <c r="L40" s="21">
        <v>3.1E-2</v>
      </c>
      <c r="M40" s="19">
        <f t="shared" si="19"/>
        <v>30492.5</v>
      </c>
      <c r="N40" s="21">
        <v>5.0000000000000001E-3</v>
      </c>
      <c r="O40" s="19">
        <f t="shared" si="20"/>
        <v>5070.6099999999997</v>
      </c>
      <c r="P40" s="19">
        <f t="shared" si="21"/>
        <v>-4573.88</v>
      </c>
      <c r="Q40" s="19">
        <f t="shared" si="22"/>
        <v>1014618.19</v>
      </c>
      <c r="R40" s="94">
        <f>'Фактический индекс'!$F$30</f>
        <v>1.0257000000000001</v>
      </c>
      <c r="S40" s="19">
        <f t="shared" si="7"/>
        <v>1040693.88</v>
      </c>
      <c r="T40" s="93">
        <f>'Прогнозный индекс'!$F$43</f>
        <v>1.0708</v>
      </c>
      <c r="U40" s="19">
        <f t="shared" si="23"/>
        <v>1114375.01</v>
      </c>
      <c r="V40" s="18">
        <f t="shared" si="24"/>
        <v>0</v>
      </c>
    </row>
    <row r="41" spans="1:22" ht="31.5" x14ac:dyDescent="0.25">
      <c r="A41" s="84" t="s">
        <v>302</v>
      </c>
      <c r="B41" s="83" t="s">
        <v>251</v>
      </c>
      <c r="C41" s="82" t="s">
        <v>256</v>
      </c>
      <c r="D41" s="16" t="s">
        <v>23</v>
      </c>
      <c r="E41" s="17">
        <v>1</v>
      </c>
      <c r="F41" s="18">
        <v>2233033.66</v>
      </c>
      <c r="G41" s="18"/>
      <c r="H41" s="18"/>
      <c r="I41" s="19"/>
      <c r="J41" s="19">
        <f t="shared" si="10"/>
        <v>2233033.66</v>
      </c>
      <c r="K41" s="20">
        <v>2233.0300000000002</v>
      </c>
      <c r="L41" s="21">
        <v>3.1E-2</v>
      </c>
      <c r="M41" s="19">
        <f t="shared" si="19"/>
        <v>69224.039999999994</v>
      </c>
      <c r="N41" s="21">
        <v>5.0000000000000001E-3</v>
      </c>
      <c r="O41" s="19">
        <f t="shared" si="20"/>
        <v>11511.29</v>
      </c>
      <c r="P41" s="19">
        <f t="shared" si="21"/>
        <v>-10383.61</v>
      </c>
      <c r="Q41" s="19">
        <f t="shared" si="22"/>
        <v>2303385.38</v>
      </c>
      <c r="R41" s="94">
        <f>'Фактический индекс'!$F$30</f>
        <v>1.0257000000000001</v>
      </c>
      <c r="S41" s="19">
        <f t="shared" si="7"/>
        <v>2362582.38</v>
      </c>
      <c r="T41" s="93">
        <f>'Прогнозный индекс'!$F$43</f>
        <v>1.0708</v>
      </c>
      <c r="U41" s="19">
        <f t="shared" si="23"/>
        <v>2529853.21</v>
      </c>
      <c r="V41" s="18">
        <f t="shared" si="24"/>
        <v>0</v>
      </c>
    </row>
    <row r="42" spans="1:22" ht="21" customHeight="1" x14ac:dyDescent="0.25">
      <c r="A42" s="78" t="s">
        <v>39</v>
      </c>
      <c r="B42" s="79" t="s">
        <v>94</v>
      </c>
      <c r="C42" s="77" t="s">
        <v>95</v>
      </c>
      <c r="D42" s="63" t="s">
        <v>23</v>
      </c>
      <c r="E42" s="64">
        <v>1</v>
      </c>
      <c r="F42" s="67">
        <f>F43+F44</f>
        <v>23921454.329999998</v>
      </c>
      <c r="G42" s="67">
        <f>G43+G44</f>
        <v>421057.05</v>
      </c>
      <c r="H42" s="67">
        <f>H43+H44</f>
        <v>11424546.24</v>
      </c>
      <c r="I42" s="70"/>
      <c r="J42" s="67">
        <f>J43+J44</f>
        <v>35767057.619999997</v>
      </c>
      <c r="K42" s="65">
        <v>35767.06</v>
      </c>
      <c r="L42" s="71"/>
      <c r="M42" s="67">
        <f>M43+M44</f>
        <v>754617.85</v>
      </c>
      <c r="N42" s="71"/>
      <c r="O42" s="67">
        <f>O43+O44</f>
        <v>125485.65</v>
      </c>
      <c r="P42" s="67">
        <f>P43+P44</f>
        <v>-113192.67</v>
      </c>
      <c r="Q42" s="67">
        <f>Q43+Q44</f>
        <v>36533968.450000003</v>
      </c>
      <c r="R42" s="70"/>
      <c r="S42" s="67">
        <f>S43+S44</f>
        <v>37472891.439999998</v>
      </c>
      <c r="T42" s="70"/>
      <c r="U42" s="67">
        <f>U43+U44</f>
        <v>40125972.149999999</v>
      </c>
      <c r="V42" s="67">
        <f>V43+V44</f>
        <v>12547802.6</v>
      </c>
    </row>
    <row r="43" spans="1:22" ht="56.25" customHeight="1" x14ac:dyDescent="0.25">
      <c r="A43" s="84" t="s">
        <v>303</v>
      </c>
      <c r="B43" s="83" t="s">
        <v>257</v>
      </c>
      <c r="C43" s="82" t="s">
        <v>430</v>
      </c>
      <c r="D43" s="16" t="s">
        <v>23</v>
      </c>
      <c r="E43" s="17">
        <v>1</v>
      </c>
      <c r="F43" s="18">
        <v>17051982.260000002</v>
      </c>
      <c r="G43" s="18">
        <v>421057.05</v>
      </c>
      <c r="H43" s="18">
        <v>11424546.24</v>
      </c>
      <c r="I43" s="19"/>
      <c r="J43" s="19">
        <f t="shared" si="10"/>
        <v>28897585.550000001</v>
      </c>
      <c r="K43" s="20">
        <v>28897.59</v>
      </c>
      <c r="L43" s="21">
        <v>3.1E-2</v>
      </c>
      <c r="M43" s="19">
        <f t="shared" ref="M43:M44" si="25">(F43+G43)*3.1%</f>
        <v>541664.22</v>
      </c>
      <c r="N43" s="21">
        <v>5.0000000000000001E-3</v>
      </c>
      <c r="O43" s="19">
        <f t="shared" ref="O43:O44" si="26">(F43+G43+M43)*0.5%</f>
        <v>90073.52</v>
      </c>
      <c r="P43" s="19">
        <f t="shared" ref="P43:P44" si="27">-M43*15%</f>
        <v>-81249.63</v>
      </c>
      <c r="Q43" s="19">
        <f t="shared" ref="Q43:Q44" si="28">J43+M43+O43+P43</f>
        <v>29448073.66</v>
      </c>
      <c r="R43" s="94">
        <f>'Фактический индекс'!$F$30</f>
        <v>1.0257000000000001</v>
      </c>
      <c r="S43" s="19">
        <f t="shared" si="7"/>
        <v>30204889.149999999</v>
      </c>
      <c r="T43" s="93">
        <f>'Прогнозный индекс'!$F$43</f>
        <v>1.0708</v>
      </c>
      <c r="U43" s="19">
        <f t="shared" ref="U43:U47" si="29">S43*T43</f>
        <v>32343395.300000001</v>
      </c>
      <c r="V43" s="18">
        <f t="shared" ref="V43:V47" si="30">H43*R43*T43</f>
        <v>12547802.6</v>
      </c>
    </row>
    <row r="44" spans="1:22" ht="46.5" customHeight="1" x14ac:dyDescent="0.25">
      <c r="A44" s="84" t="s">
        <v>304</v>
      </c>
      <c r="B44" s="83" t="s">
        <v>258</v>
      </c>
      <c r="C44" s="82" t="s">
        <v>259</v>
      </c>
      <c r="D44" s="16" t="s">
        <v>23</v>
      </c>
      <c r="E44" s="17">
        <v>1</v>
      </c>
      <c r="F44" s="18">
        <v>6869472.0700000003</v>
      </c>
      <c r="G44" s="18"/>
      <c r="H44" s="18"/>
      <c r="I44" s="19"/>
      <c r="J44" s="19">
        <f t="shared" si="10"/>
        <v>6869472.0700000003</v>
      </c>
      <c r="K44" s="20">
        <v>6869.47</v>
      </c>
      <c r="L44" s="21">
        <v>3.1E-2</v>
      </c>
      <c r="M44" s="19">
        <f t="shared" si="25"/>
        <v>212953.63</v>
      </c>
      <c r="N44" s="21">
        <v>5.0000000000000001E-3</v>
      </c>
      <c r="O44" s="19">
        <f t="shared" si="26"/>
        <v>35412.129999999997</v>
      </c>
      <c r="P44" s="19">
        <f t="shared" si="27"/>
        <v>-31943.040000000001</v>
      </c>
      <c r="Q44" s="19">
        <f t="shared" si="28"/>
        <v>7085894.79</v>
      </c>
      <c r="R44" s="94">
        <f>'Фактический индекс'!$F$30</f>
        <v>1.0257000000000001</v>
      </c>
      <c r="S44" s="19">
        <f t="shared" si="7"/>
        <v>7268002.29</v>
      </c>
      <c r="T44" s="93">
        <f>'Прогнозный индекс'!$F$43</f>
        <v>1.0708</v>
      </c>
      <c r="U44" s="19">
        <f t="shared" si="29"/>
        <v>7782576.8499999996</v>
      </c>
      <c r="V44" s="18">
        <f t="shared" si="30"/>
        <v>0</v>
      </c>
    </row>
    <row r="45" spans="1:22" x14ac:dyDescent="0.25">
      <c r="A45" s="78" t="s">
        <v>40</v>
      </c>
      <c r="B45" s="79" t="s">
        <v>99</v>
      </c>
      <c r="C45" s="77" t="s">
        <v>260</v>
      </c>
      <c r="D45" s="63" t="s">
        <v>23</v>
      </c>
      <c r="E45" s="64">
        <v>1</v>
      </c>
      <c r="F45" s="67">
        <v>33217716.449999999</v>
      </c>
      <c r="G45" s="69"/>
      <c r="H45" s="69"/>
      <c r="I45" s="70"/>
      <c r="J45" s="14">
        <f t="shared" si="10"/>
        <v>33217716.449999999</v>
      </c>
      <c r="K45" s="65">
        <v>33217.72</v>
      </c>
      <c r="L45" s="66">
        <v>3.1E-2</v>
      </c>
      <c r="M45" s="14">
        <f>(F45+G45)*3.1%</f>
        <v>1029749.21</v>
      </c>
      <c r="N45" s="66">
        <v>5.0000000000000001E-3</v>
      </c>
      <c r="O45" s="14">
        <f>(F45+G45+M45)*0.5%</f>
        <v>171237.33</v>
      </c>
      <c r="P45" s="14">
        <f>-M45*15%</f>
        <v>-154462.38</v>
      </c>
      <c r="Q45" s="14">
        <f>J45+M45+O45+P45</f>
        <v>34264240.609999999</v>
      </c>
      <c r="R45" s="92">
        <f>'Фактический индекс'!$F$30</f>
        <v>1.0257000000000001</v>
      </c>
      <c r="S45" s="14">
        <f t="shared" si="7"/>
        <v>35144831.590000004</v>
      </c>
      <c r="T45" s="93">
        <f>'Прогнозный индекс'!$F$43</f>
        <v>1.0708</v>
      </c>
      <c r="U45" s="14">
        <f t="shared" si="29"/>
        <v>37633085.670000002</v>
      </c>
      <c r="V45" s="67">
        <f t="shared" si="30"/>
        <v>0</v>
      </c>
    </row>
    <row r="46" spans="1:22" ht="47.25" x14ac:dyDescent="0.25">
      <c r="A46" s="78" t="s">
        <v>41</v>
      </c>
      <c r="B46" s="79" t="s">
        <v>102</v>
      </c>
      <c r="C46" s="77" t="s">
        <v>261</v>
      </c>
      <c r="D46" s="63" t="s">
        <v>23</v>
      </c>
      <c r="E46" s="64">
        <v>1</v>
      </c>
      <c r="F46" s="67">
        <v>926256.32</v>
      </c>
      <c r="G46" s="67">
        <v>384815</v>
      </c>
      <c r="H46" s="67">
        <v>97492.82</v>
      </c>
      <c r="I46" s="70"/>
      <c r="J46" s="14">
        <f t="shared" si="10"/>
        <v>1408564.14</v>
      </c>
      <c r="K46" s="65">
        <v>1408.57</v>
      </c>
      <c r="L46" s="66">
        <v>3.1E-2</v>
      </c>
      <c r="M46" s="14">
        <f>(F46+G46)*3.1%</f>
        <v>40643.21</v>
      </c>
      <c r="N46" s="66">
        <v>5.0000000000000001E-3</v>
      </c>
      <c r="O46" s="14">
        <f>(F46+G46+M46)*0.5%</f>
        <v>6758.57</v>
      </c>
      <c r="P46" s="14">
        <f>-M46*15%</f>
        <v>-6096.48</v>
      </c>
      <c r="Q46" s="14">
        <f>J46+M46+O46+P46</f>
        <v>1449869.44</v>
      </c>
      <c r="R46" s="92">
        <f>'Фактический индекс'!$F$30</f>
        <v>1.0257000000000001</v>
      </c>
      <c r="S46" s="14">
        <f t="shared" si="7"/>
        <v>1487131.08</v>
      </c>
      <c r="T46" s="93">
        <f>'Прогнозный индекс'!$F$43</f>
        <v>1.0708</v>
      </c>
      <c r="U46" s="14">
        <f t="shared" si="29"/>
        <v>1592419.96</v>
      </c>
      <c r="V46" s="67">
        <f t="shared" si="30"/>
        <v>107078.27</v>
      </c>
    </row>
    <row r="47" spans="1:22" ht="31.5" x14ac:dyDescent="0.25">
      <c r="A47" s="78" t="s">
        <v>42</v>
      </c>
      <c r="B47" s="79" t="s">
        <v>105</v>
      </c>
      <c r="C47" s="77" t="s">
        <v>262</v>
      </c>
      <c r="D47" s="63" t="s">
        <v>23</v>
      </c>
      <c r="E47" s="64">
        <v>1</v>
      </c>
      <c r="F47" s="67">
        <v>5290713.8499999996</v>
      </c>
      <c r="G47" s="69"/>
      <c r="H47" s="69"/>
      <c r="I47" s="70"/>
      <c r="J47" s="14">
        <f t="shared" si="10"/>
        <v>5290713.8499999996</v>
      </c>
      <c r="K47" s="65">
        <v>5290.71</v>
      </c>
      <c r="L47" s="66">
        <v>3.1E-2</v>
      </c>
      <c r="M47" s="14">
        <f>(F47+G47)*3.1%</f>
        <v>164012.13</v>
      </c>
      <c r="N47" s="66">
        <v>5.0000000000000001E-3</v>
      </c>
      <c r="O47" s="14">
        <f>(F47+G47+M47)*0.5%</f>
        <v>27273.63</v>
      </c>
      <c r="P47" s="14">
        <f>-M47*15%</f>
        <v>-24601.82</v>
      </c>
      <c r="Q47" s="14">
        <f>J47+M47+O47+P47</f>
        <v>5457397.79</v>
      </c>
      <c r="R47" s="92">
        <f>'Фактический индекс'!$F$30</f>
        <v>1.0257000000000001</v>
      </c>
      <c r="S47" s="14">
        <f t="shared" si="7"/>
        <v>5597652.9100000001</v>
      </c>
      <c r="T47" s="93">
        <f>'Прогнозный индекс'!$F$43</f>
        <v>1.0708</v>
      </c>
      <c r="U47" s="14">
        <f t="shared" si="29"/>
        <v>5993966.7400000002</v>
      </c>
      <c r="V47" s="67">
        <f t="shared" si="30"/>
        <v>0</v>
      </c>
    </row>
    <row r="48" spans="1:22" ht="31.5" x14ac:dyDescent="0.25">
      <c r="A48" s="78" t="s">
        <v>305</v>
      </c>
      <c r="B48" s="79" t="s">
        <v>124</v>
      </c>
      <c r="C48" s="77" t="s">
        <v>277</v>
      </c>
      <c r="D48" s="63" t="s">
        <v>23</v>
      </c>
      <c r="E48" s="64">
        <v>1</v>
      </c>
      <c r="F48" s="69"/>
      <c r="G48" s="69"/>
      <c r="H48" s="69"/>
      <c r="I48" s="14">
        <f>I49+I50+I51+I52+I53+I54+I55+I56</f>
        <v>2220720.31</v>
      </c>
      <c r="J48" s="14">
        <f>J49+J50+J51+J52+J53+J54+J55+J56</f>
        <v>2220720.31</v>
      </c>
      <c r="K48" s="65">
        <v>2220.71</v>
      </c>
      <c r="L48" s="71"/>
      <c r="M48" s="70"/>
      <c r="N48" s="71"/>
      <c r="O48" s="70"/>
      <c r="P48" s="70"/>
      <c r="Q48" s="14">
        <f>Q49+Q50+Q51+Q52+Q53+Q54+Q55+Q56</f>
        <v>2220720.31</v>
      </c>
      <c r="R48" s="70"/>
      <c r="S48" s="14">
        <f>S49+S50+S51+S52+S53+S54+S55+S56</f>
        <v>2277792.83</v>
      </c>
      <c r="T48" s="70"/>
      <c r="U48" s="14">
        <f>U49+U50+U51+U52+U53+U54+U55+U56</f>
        <v>2439060.56</v>
      </c>
      <c r="V48" s="14">
        <f>V49+V50+V51+V52+V53+V54+V55+V56</f>
        <v>0</v>
      </c>
    </row>
    <row r="49" spans="1:22" ht="63" x14ac:dyDescent="0.25">
      <c r="A49" s="84" t="s">
        <v>306</v>
      </c>
      <c r="B49" s="83" t="s">
        <v>263</v>
      </c>
      <c r="C49" s="82" t="s">
        <v>271</v>
      </c>
      <c r="D49" s="16" t="s">
        <v>23</v>
      </c>
      <c r="E49" s="17">
        <v>1</v>
      </c>
      <c r="F49" s="18"/>
      <c r="G49" s="18"/>
      <c r="H49" s="18"/>
      <c r="I49" s="19">
        <v>148833.67000000001</v>
      </c>
      <c r="J49" s="19">
        <f>I49</f>
        <v>148833.67000000001</v>
      </c>
      <c r="K49" s="20">
        <v>148.83000000000001</v>
      </c>
      <c r="L49" s="21"/>
      <c r="M49" s="19"/>
      <c r="N49" s="21"/>
      <c r="O49" s="19"/>
      <c r="P49" s="19"/>
      <c r="Q49" s="19">
        <f>J49</f>
        <v>148833.67000000001</v>
      </c>
      <c r="R49" s="94">
        <f>'Фактический индекс'!$F$30</f>
        <v>1.0257000000000001</v>
      </c>
      <c r="S49" s="19">
        <f t="shared" si="7"/>
        <v>152658.70000000001</v>
      </c>
      <c r="T49" s="93">
        <f>'Прогнозный индекс'!$F$43</f>
        <v>1.0708</v>
      </c>
      <c r="U49" s="19">
        <f t="shared" ref="U49:U56" si="31">S49*T49</f>
        <v>163466.94</v>
      </c>
      <c r="V49" s="18">
        <f t="shared" ref="V49:V56" si="32">H49*R49*T49</f>
        <v>0</v>
      </c>
    </row>
    <row r="50" spans="1:22" ht="38.25" customHeight="1" x14ac:dyDescent="0.25">
      <c r="A50" s="84" t="s">
        <v>307</v>
      </c>
      <c r="B50" s="83" t="s">
        <v>264</v>
      </c>
      <c r="C50" s="82" t="s">
        <v>272</v>
      </c>
      <c r="D50" s="16" t="s">
        <v>23</v>
      </c>
      <c r="E50" s="17">
        <v>1</v>
      </c>
      <c r="F50" s="18"/>
      <c r="G50" s="18"/>
      <c r="H50" s="18"/>
      <c r="I50" s="19">
        <v>419664.57</v>
      </c>
      <c r="J50" s="19">
        <f>I50</f>
        <v>419664.57</v>
      </c>
      <c r="K50" s="20">
        <v>419.66</v>
      </c>
      <c r="L50" s="21"/>
      <c r="M50" s="19"/>
      <c r="N50" s="21"/>
      <c r="O50" s="19"/>
      <c r="P50" s="19"/>
      <c r="Q50" s="19">
        <f t="shared" ref="Q50:Q64" si="33">J50</f>
        <v>419664.57</v>
      </c>
      <c r="R50" s="94">
        <f>'Фактический индекс'!$F$30</f>
        <v>1.0257000000000001</v>
      </c>
      <c r="S50" s="19">
        <f t="shared" si="7"/>
        <v>430449.95</v>
      </c>
      <c r="T50" s="93">
        <f>'Прогнозный индекс'!$F$43</f>
        <v>1.0708</v>
      </c>
      <c r="U50" s="19">
        <f t="shared" si="31"/>
        <v>460925.81</v>
      </c>
      <c r="V50" s="18">
        <f t="shared" si="32"/>
        <v>0</v>
      </c>
    </row>
    <row r="51" spans="1:22" ht="31.5" x14ac:dyDescent="0.25">
      <c r="A51" s="84" t="s">
        <v>308</v>
      </c>
      <c r="B51" s="83" t="s">
        <v>265</v>
      </c>
      <c r="C51" s="82" t="s">
        <v>273</v>
      </c>
      <c r="D51" s="16" t="s">
        <v>23</v>
      </c>
      <c r="E51" s="17">
        <v>1</v>
      </c>
      <c r="F51" s="18"/>
      <c r="G51" s="18"/>
      <c r="H51" s="18"/>
      <c r="I51" s="19">
        <v>9491.84</v>
      </c>
      <c r="J51" s="19">
        <f t="shared" ref="J51:J59" si="34">I51</f>
        <v>9491.84</v>
      </c>
      <c r="K51" s="20">
        <v>9.49</v>
      </c>
      <c r="L51" s="21"/>
      <c r="M51" s="19"/>
      <c r="N51" s="21"/>
      <c r="O51" s="19"/>
      <c r="P51" s="19"/>
      <c r="Q51" s="19">
        <f t="shared" si="33"/>
        <v>9491.84</v>
      </c>
      <c r="R51" s="94">
        <f>'Фактический индекс'!$F$30</f>
        <v>1.0257000000000001</v>
      </c>
      <c r="S51" s="19">
        <f t="shared" si="7"/>
        <v>9735.7800000000007</v>
      </c>
      <c r="T51" s="93">
        <f>'Прогнозный индекс'!$F$43</f>
        <v>1.0708</v>
      </c>
      <c r="U51" s="19">
        <f t="shared" si="31"/>
        <v>10425.07</v>
      </c>
      <c r="V51" s="18">
        <f t="shared" si="32"/>
        <v>0</v>
      </c>
    </row>
    <row r="52" spans="1:22" ht="47.25" x14ac:dyDescent="0.25">
      <c r="A52" s="84" t="s">
        <v>309</v>
      </c>
      <c r="B52" s="83" t="s">
        <v>266</v>
      </c>
      <c r="C52" s="82" t="s">
        <v>274</v>
      </c>
      <c r="D52" s="16" t="s">
        <v>23</v>
      </c>
      <c r="E52" s="17">
        <v>1</v>
      </c>
      <c r="F52" s="18"/>
      <c r="G52" s="18"/>
      <c r="H52" s="18"/>
      <c r="I52" s="19">
        <v>558422.67000000004</v>
      </c>
      <c r="J52" s="19">
        <f t="shared" si="34"/>
        <v>558422.67000000004</v>
      </c>
      <c r="K52" s="20">
        <v>558.41999999999996</v>
      </c>
      <c r="L52" s="21"/>
      <c r="M52" s="19"/>
      <c r="N52" s="21"/>
      <c r="O52" s="19"/>
      <c r="P52" s="19"/>
      <c r="Q52" s="19">
        <f t="shared" si="33"/>
        <v>558422.67000000004</v>
      </c>
      <c r="R52" s="94">
        <f>'Фактический индекс'!$F$30</f>
        <v>1.0257000000000001</v>
      </c>
      <c r="S52" s="19">
        <f t="shared" si="7"/>
        <v>572774.13</v>
      </c>
      <c r="T52" s="93">
        <f>'Прогнозный индекс'!$F$43</f>
        <v>1.0708</v>
      </c>
      <c r="U52" s="19">
        <f t="shared" si="31"/>
        <v>613326.54</v>
      </c>
      <c r="V52" s="18">
        <f t="shared" si="32"/>
        <v>0</v>
      </c>
    </row>
    <row r="53" spans="1:22" ht="31.5" x14ac:dyDescent="0.25">
      <c r="A53" s="84" t="s">
        <v>310</v>
      </c>
      <c r="B53" s="83" t="s">
        <v>267</v>
      </c>
      <c r="C53" s="82" t="s">
        <v>275</v>
      </c>
      <c r="D53" s="16" t="s">
        <v>23</v>
      </c>
      <c r="E53" s="17">
        <v>1</v>
      </c>
      <c r="F53" s="18"/>
      <c r="G53" s="18"/>
      <c r="H53" s="18"/>
      <c r="I53" s="19">
        <v>373489.51</v>
      </c>
      <c r="J53" s="19">
        <f t="shared" si="34"/>
        <v>373489.51</v>
      </c>
      <c r="K53" s="20">
        <v>373.49</v>
      </c>
      <c r="L53" s="21"/>
      <c r="M53" s="19"/>
      <c r="N53" s="21"/>
      <c r="O53" s="19"/>
      <c r="P53" s="19"/>
      <c r="Q53" s="19">
        <f t="shared" si="33"/>
        <v>373489.51</v>
      </c>
      <c r="R53" s="94">
        <f>'Фактический индекс'!$F$30</f>
        <v>1.0257000000000001</v>
      </c>
      <c r="S53" s="19">
        <f t="shared" si="7"/>
        <v>383088.19</v>
      </c>
      <c r="T53" s="93">
        <f>'Прогнозный индекс'!$F$43</f>
        <v>1.0708</v>
      </c>
      <c r="U53" s="19">
        <f t="shared" si="31"/>
        <v>410210.83</v>
      </c>
      <c r="V53" s="18">
        <f t="shared" si="32"/>
        <v>0</v>
      </c>
    </row>
    <row r="54" spans="1:22" ht="36" customHeight="1" x14ac:dyDescent="0.25">
      <c r="A54" s="84" t="s">
        <v>311</v>
      </c>
      <c r="B54" s="83" t="s">
        <v>268</v>
      </c>
      <c r="C54" s="82" t="s">
        <v>276</v>
      </c>
      <c r="D54" s="16" t="s">
        <v>23</v>
      </c>
      <c r="E54" s="17">
        <v>1</v>
      </c>
      <c r="F54" s="18"/>
      <c r="G54" s="18"/>
      <c r="H54" s="18"/>
      <c r="I54" s="19">
        <v>84718.31</v>
      </c>
      <c r="J54" s="19">
        <f t="shared" si="34"/>
        <v>84718.31</v>
      </c>
      <c r="K54" s="20">
        <v>84.72</v>
      </c>
      <c r="L54" s="21"/>
      <c r="M54" s="19"/>
      <c r="N54" s="21"/>
      <c r="O54" s="19"/>
      <c r="P54" s="19"/>
      <c r="Q54" s="19">
        <f t="shared" si="33"/>
        <v>84718.31</v>
      </c>
      <c r="R54" s="94">
        <f>'Фактический индекс'!$F$30</f>
        <v>1.0257000000000001</v>
      </c>
      <c r="S54" s="19">
        <f t="shared" si="7"/>
        <v>86895.57</v>
      </c>
      <c r="T54" s="93">
        <f>'Прогнозный индекс'!$F$43</f>
        <v>1.0708</v>
      </c>
      <c r="U54" s="19">
        <f t="shared" si="31"/>
        <v>93047.78</v>
      </c>
      <c r="V54" s="18">
        <f t="shared" si="32"/>
        <v>0</v>
      </c>
    </row>
    <row r="55" spans="1:22" ht="47.25" x14ac:dyDescent="0.25">
      <c r="A55" s="84" t="s">
        <v>312</v>
      </c>
      <c r="B55" s="83" t="s">
        <v>269</v>
      </c>
      <c r="C55" s="82" t="s">
        <v>281</v>
      </c>
      <c r="D55" s="16" t="s">
        <v>23</v>
      </c>
      <c r="E55" s="17">
        <v>1</v>
      </c>
      <c r="F55" s="18"/>
      <c r="G55" s="18"/>
      <c r="H55" s="18"/>
      <c r="I55" s="19">
        <v>46829.45</v>
      </c>
      <c r="J55" s="19">
        <f t="shared" si="34"/>
        <v>46829.45</v>
      </c>
      <c r="K55" s="20">
        <v>46.83</v>
      </c>
      <c r="L55" s="21"/>
      <c r="M55" s="19"/>
      <c r="N55" s="21"/>
      <c r="O55" s="19"/>
      <c r="P55" s="19"/>
      <c r="Q55" s="19">
        <f t="shared" si="33"/>
        <v>46829.45</v>
      </c>
      <c r="R55" s="94">
        <f>'Фактический индекс'!$F$30</f>
        <v>1.0257000000000001</v>
      </c>
      <c r="S55" s="19">
        <f t="shared" si="7"/>
        <v>48032.97</v>
      </c>
      <c r="T55" s="93">
        <f>'Прогнозный индекс'!$F$43</f>
        <v>1.0708</v>
      </c>
      <c r="U55" s="19">
        <f t="shared" si="31"/>
        <v>51433.7</v>
      </c>
      <c r="V55" s="18">
        <f t="shared" si="32"/>
        <v>0</v>
      </c>
    </row>
    <row r="56" spans="1:22" ht="47.25" x14ac:dyDescent="0.25">
      <c r="A56" s="84" t="s">
        <v>313</v>
      </c>
      <c r="B56" s="83" t="s">
        <v>270</v>
      </c>
      <c r="C56" s="82" t="s">
        <v>280</v>
      </c>
      <c r="D56" s="16" t="s">
        <v>23</v>
      </c>
      <c r="E56" s="17">
        <v>1</v>
      </c>
      <c r="F56" s="18"/>
      <c r="G56" s="18"/>
      <c r="H56" s="18"/>
      <c r="I56" s="19">
        <v>579270.29</v>
      </c>
      <c r="J56" s="19">
        <f t="shared" si="34"/>
        <v>579270.29</v>
      </c>
      <c r="K56" s="20">
        <v>579.27</v>
      </c>
      <c r="L56" s="21"/>
      <c r="M56" s="19"/>
      <c r="N56" s="21"/>
      <c r="O56" s="19"/>
      <c r="P56" s="19"/>
      <c r="Q56" s="19">
        <f t="shared" si="33"/>
        <v>579270.29</v>
      </c>
      <c r="R56" s="94">
        <f>'Фактический индекс'!$F$30</f>
        <v>1.0257000000000001</v>
      </c>
      <c r="S56" s="19">
        <f t="shared" si="7"/>
        <v>594157.54</v>
      </c>
      <c r="T56" s="93">
        <f>'Прогнозный индекс'!$F$43</f>
        <v>1.0708</v>
      </c>
      <c r="U56" s="19">
        <f t="shared" si="31"/>
        <v>636223.89</v>
      </c>
      <c r="V56" s="18">
        <f t="shared" si="32"/>
        <v>0</v>
      </c>
    </row>
    <row r="57" spans="1:22" x14ac:dyDescent="0.25">
      <c r="A57" s="78" t="s">
        <v>43</v>
      </c>
      <c r="B57" s="79" t="s">
        <v>127</v>
      </c>
      <c r="C57" s="77" t="s">
        <v>128</v>
      </c>
      <c r="D57" s="63" t="s">
        <v>23</v>
      </c>
      <c r="E57" s="64">
        <v>1</v>
      </c>
      <c r="F57" s="69"/>
      <c r="G57" s="69"/>
      <c r="H57" s="69"/>
      <c r="I57" s="14">
        <f>I58+I59</f>
        <v>310573.03000000003</v>
      </c>
      <c r="J57" s="14">
        <f>J58+J59</f>
        <v>310573.03000000003</v>
      </c>
      <c r="K57" s="65">
        <v>310.58</v>
      </c>
      <c r="L57" s="71"/>
      <c r="M57" s="70"/>
      <c r="N57" s="71"/>
      <c r="O57" s="70"/>
      <c r="P57" s="70"/>
      <c r="Q57" s="14">
        <f>Q58+Q59</f>
        <v>310573.03000000003</v>
      </c>
      <c r="R57" s="70"/>
      <c r="S57" s="14">
        <f>S58+S59</f>
        <v>318554.76</v>
      </c>
      <c r="T57" s="70"/>
      <c r="U57" s="14">
        <f>U58+U59</f>
        <v>341108.44</v>
      </c>
      <c r="V57" s="14">
        <f>V58+V59</f>
        <v>0</v>
      </c>
    </row>
    <row r="58" spans="1:22" ht="31.5" x14ac:dyDescent="0.25">
      <c r="A58" s="84" t="s">
        <v>314</v>
      </c>
      <c r="B58" s="83" t="s">
        <v>278</v>
      </c>
      <c r="C58" s="82" t="s">
        <v>282</v>
      </c>
      <c r="D58" s="16" t="s">
        <v>23</v>
      </c>
      <c r="E58" s="17">
        <v>1</v>
      </c>
      <c r="F58" s="69"/>
      <c r="G58" s="69"/>
      <c r="H58" s="69"/>
      <c r="I58" s="19">
        <v>146087.88</v>
      </c>
      <c r="J58" s="19">
        <f t="shared" si="34"/>
        <v>146087.88</v>
      </c>
      <c r="K58" s="20">
        <v>146.09</v>
      </c>
      <c r="L58" s="71"/>
      <c r="M58" s="70"/>
      <c r="N58" s="71"/>
      <c r="O58" s="70"/>
      <c r="P58" s="70"/>
      <c r="Q58" s="19">
        <f t="shared" si="33"/>
        <v>146087.88</v>
      </c>
      <c r="R58" s="94">
        <f>'Фактический индекс'!$F$30</f>
        <v>1.0257000000000001</v>
      </c>
      <c r="S58" s="19">
        <f t="shared" si="7"/>
        <v>149842.34</v>
      </c>
      <c r="T58" s="93">
        <f>'Прогнозный индекс'!$F$43</f>
        <v>1.0708</v>
      </c>
      <c r="U58" s="19">
        <f t="shared" ref="U58:U62" si="35">S58*T58</f>
        <v>160451.18</v>
      </c>
      <c r="V58" s="18">
        <f t="shared" ref="V58:V62" si="36">H58*R58*T58</f>
        <v>0</v>
      </c>
    </row>
    <row r="59" spans="1:22" ht="47.25" x14ac:dyDescent="0.25">
      <c r="A59" s="84" t="s">
        <v>315</v>
      </c>
      <c r="B59" s="83" t="s">
        <v>279</v>
      </c>
      <c r="C59" s="82" t="s">
        <v>283</v>
      </c>
      <c r="D59" s="16" t="s">
        <v>23</v>
      </c>
      <c r="E59" s="17">
        <v>1</v>
      </c>
      <c r="F59" s="69"/>
      <c r="G59" s="69"/>
      <c r="H59" s="69"/>
      <c r="I59" s="19">
        <v>164485.15</v>
      </c>
      <c r="J59" s="19">
        <f t="shared" si="34"/>
        <v>164485.15</v>
      </c>
      <c r="K59" s="20">
        <v>164.49</v>
      </c>
      <c r="L59" s="71"/>
      <c r="M59" s="70"/>
      <c r="N59" s="71"/>
      <c r="O59" s="70"/>
      <c r="P59" s="70"/>
      <c r="Q59" s="19">
        <f t="shared" si="33"/>
        <v>164485.15</v>
      </c>
      <c r="R59" s="94">
        <f>'Фактический индекс'!$F$30</f>
        <v>1.0257000000000001</v>
      </c>
      <c r="S59" s="19">
        <f t="shared" si="7"/>
        <v>168712.42</v>
      </c>
      <c r="T59" s="93">
        <f>'Прогнозный индекс'!$F$43</f>
        <v>1.0708</v>
      </c>
      <c r="U59" s="19">
        <f t="shared" si="35"/>
        <v>180657.26</v>
      </c>
      <c r="V59" s="18">
        <f t="shared" si="36"/>
        <v>0</v>
      </c>
    </row>
    <row r="60" spans="1:22" x14ac:dyDescent="0.25">
      <c r="A60" s="78" t="s">
        <v>316</v>
      </c>
      <c r="B60" s="79" t="s">
        <v>130</v>
      </c>
      <c r="C60" s="77" t="s">
        <v>131</v>
      </c>
      <c r="D60" s="63" t="s">
        <v>23</v>
      </c>
      <c r="E60" s="64">
        <v>1</v>
      </c>
      <c r="F60" s="67"/>
      <c r="G60" s="67"/>
      <c r="H60" s="67"/>
      <c r="I60" s="14">
        <v>192.83</v>
      </c>
      <c r="J60" s="14">
        <f>I60</f>
        <v>192.83</v>
      </c>
      <c r="K60" s="65">
        <v>0.19</v>
      </c>
      <c r="L60" s="66"/>
      <c r="M60" s="14"/>
      <c r="N60" s="66"/>
      <c r="O60" s="14"/>
      <c r="P60" s="14"/>
      <c r="Q60" s="14">
        <f t="shared" si="33"/>
        <v>192.83</v>
      </c>
      <c r="R60" s="92">
        <f>'Фактический индекс'!$F$30</f>
        <v>1.0257000000000001</v>
      </c>
      <c r="S60" s="14">
        <f t="shared" si="7"/>
        <v>197.79</v>
      </c>
      <c r="T60" s="93">
        <f>'Прогнозный индекс'!$F$43</f>
        <v>1.0708</v>
      </c>
      <c r="U60" s="14">
        <f t="shared" si="35"/>
        <v>211.79</v>
      </c>
      <c r="V60" s="67">
        <f t="shared" si="36"/>
        <v>0</v>
      </c>
    </row>
    <row r="61" spans="1:22" ht="31.5" x14ac:dyDescent="0.25">
      <c r="A61" s="78" t="s">
        <v>317</v>
      </c>
      <c r="B61" s="79" t="s">
        <v>133</v>
      </c>
      <c r="C61" s="77" t="s">
        <v>134</v>
      </c>
      <c r="D61" s="63" t="s">
        <v>23</v>
      </c>
      <c r="E61" s="64">
        <v>1</v>
      </c>
      <c r="F61" s="67"/>
      <c r="G61" s="67"/>
      <c r="H61" s="67"/>
      <c r="I61" s="14">
        <v>5978.12</v>
      </c>
      <c r="J61" s="14">
        <f t="shared" ref="J61:J63" si="37">I61</f>
        <v>5978.12</v>
      </c>
      <c r="K61" s="65">
        <v>5.98</v>
      </c>
      <c r="L61" s="66"/>
      <c r="M61" s="14"/>
      <c r="N61" s="66"/>
      <c r="O61" s="14"/>
      <c r="P61" s="14"/>
      <c r="Q61" s="14">
        <f t="shared" si="33"/>
        <v>5978.12</v>
      </c>
      <c r="R61" s="92">
        <f>'Фактический индекс'!$F$30</f>
        <v>1.0257000000000001</v>
      </c>
      <c r="S61" s="14">
        <f t="shared" si="7"/>
        <v>6131.76</v>
      </c>
      <c r="T61" s="93">
        <f>'Прогнозный индекс'!$F$43</f>
        <v>1.0708</v>
      </c>
      <c r="U61" s="14">
        <f t="shared" si="35"/>
        <v>6565.89</v>
      </c>
      <c r="V61" s="67">
        <f t="shared" si="36"/>
        <v>0</v>
      </c>
    </row>
    <row r="62" spans="1:22" ht="31.5" x14ac:dyDescent="0.25">
      <c r="A62" s="78" t="s">
        <v>318</v>
      </c>
      <c r="B62" s="79" t="s">
        <v>136</v>
      </c>
      <c r="C62" s="77" t="s">
        <v>137</v>
      </c>
      <c r="D62" s="63" t="s">
        <v>23</v>
      </c>
      <c r="E62" s="64">
        <v>1</v>
      </c>
      <c r="F62" s="67"/>
      <c r="G62" s="67"/>
      <c r="H62" s="67"/>
      <c r="I62" s="14">
        <v>76111</v>
      </c>
      <c r="J62" s="14">
        <f t="shared" si="37"/>
        <v>76111</v>
      </c>
      <c r="K62" s="65">
        <v>76.11</v>
      </c>
      <c r="L62" s="66"/>
      <c r="M62" s="14"/>
      <c r="N62" s="66"/>
      <c r="O62" s="14"/>
      <c r="P62" s="14"/>
      <c r="Q62" s="14">
        <f t="shared" si="33"/>
        <v>76111</v>
      </c>
      <c r="R62" s="92">
        <f>'Фактический индекс'!$F$30</f>
        <v>1.0257000000000001</v>
      </c>
      <c r="S62" s="14">
        <f t="shared" si="7"/>
        <v>78067.05</v>
      </c>
      <c r="T62" s="93">
        <f>'Прогнозный индекс'!$F$43</f>
        <v>1.0708</v>
      </c>
      <c r="U62" s="14">
        <f t="shared" si="35"/>
        <v>83594.2</v>
      </c>
      <c r="V62" s="67">
        <f t="shared" si="36"/>
        <v>0</v>
      </c>
    </row>
    <row r="63" spans="1:22" ht="47.25" x14ac:dyDescent="0.25">
      <c r="A63" s="78" t="s">
        <v>319</v>
      </c>
      <c r="B63" s="79" t="s">
        <v>142</v>
      </c>
      <c r="C63" s="77" t="s">
        <v>143</v>
      </c>
      <c r="D63" s="63" t="s">
        <v>23</v>
      </c>
      <c r="E63" s="64">
        <v>1</v>
      </c>
      <c r="F63" s="67"/>
      <c r="G63" s="67"/>
      <c r="H63" s="67"/>
      <c r="I63" s="14">
        <v>9298743.3000000007</v>
      </c>
      <c r="J63" s="14">
        <f t="shared" si="37"/>
        <v>9298743.3000000007</v>
      </c>
      <c r="K63" s="65">
        <v>9298.74</v>
      </c>
      <c r="L63" s="66"/>
      <c r="M63" s="14"/>
      <c r="N63" s="66"/>
      <c r="O63" s="14"/>
      <c r="P63" s="14"/>
      <c r="Q63" s="14">
        <f t="shared" si="33"/>
        <v>9298743.3000000007</v>
      </c>
      <c r="R63" s="14"/>
      <c r="S63" s="14">
        <f>S64+S65+S66</f>
        <v>9337060.5399999991</v>
      </c>
      <c r="T63" s="14"/>
      <c r="U63" s="14">
        <f>U64+U65+U66</f>
        <v>9445332.1899999995</v>
      </c>
      <c r="V63" s="14">
        <f>V64+V65+V66</f>
        <v>0</v>
      </c>
    </row>
    <row r="64" spans="1:22" ht="47.25" x14ac:dyDescent="0.25">
      <c r="A64" s="84" t="s">
        <v>320</v>
      </c>
      <c r="B64" s="83"/>
      <c r="C64" s="82" t="s">
        <v>284</v>
      </c>
      <c r="D64" s="16" t="s">
        <v>23</v>
      </c>
      <c r="E64" s="17">
        <v>1</v>
      </c>
      <c r="F64" s="18"/>
      <c r="G64" s="18"/>
      <c r="H64" s="18"/>
      <c r="I64" s="19">
        <v>51547.65</v>
      </c>
      <c r="J64" s="19">
        <f>I64</f>
        <v>51547.65</v>
      </c>
      <c r="K64" s="20">
        <v>51.55</v>
      </c>
      <c r="L64" s="21"/>
      <c r="M64" s="19"/>
      <c r="N64" s="21"/>
      <c r="O64" s="19"/>
      <c r="P64" s="19"/>
      <c r="Q64" s="19">
        <f t="shared" si="33"/>
        <v>51547.65</v>
      </c>
      <c r="R64" s="94">
        <f>'Фактический индекс'!$F$30</f>
        <v>1.0257000000000001</v>
      </c>
      <c r="S64" s="19">
        <f t="shared" si="7"/>
        <v>52872.42</v>
      </c>
      <c r="T64" s="93">
        <f>'Прогнозный индекс'!$F$43</f>
        <v>1.0708</v>
      </c>
      <c r="U64" s="19">
        <f t="shared" ref="U64:U66" si="38">S64*T64</f>
        <v>56615.79</v>
      </c>
      <c r="V64" s="18">
        <f t="shared" ref="V64:V66" si="39">H64*R64*T64</f>
        <v>0</v>
      </c>
    </row>
    <row r="65" spans="1:22" ht="31.5" x14ac:dyDescent="0.25">
      <c r="A65" s="84" t="s">
        <v>321</v>
      </c>
      <c r="B65" s="83"/>
      <c r="C65" s="82" t="s">
        <v>285</v>
      </c>
      <c r="D65" s="16" t="s">
        <v>23</v>
      </c>
      <c r="E65" s="17">
        <v>1</v>
      </c>
      <c r="F65" s="18"/>
      <c r="G65" s="18"/>
      <c r="H65" s="18"/>
      <c r="I65" s="19">
        <v>1439395.65</v>
      </c>
      <c r="J65" s="19">
        <f>I65</f>
        <v>1439395.65</v>
      </c>
      <c r="K65" s="20">
        <v>1439.39</v>
      </c>
      <c r="L65" s="21"/>
      <c r="M65" s="19"/>
      <c r="N65" s="21"/>
      <c r="O65" s="19"/>
      <c r="P65" s="19"/>
      <c r="Q65" s="19">
        <f t="shared" ref="Q65" si="40">J65</f>
        <v>1439395.65</v>
      </c>
      <c r="R65" s="94">
        <f>'Фактический индекс'!$F$30</f>
        <v>1.0257000000000001</v>
      </c>
      <c r="S65" s="19">
        <f t="shared" si="7"/>
        <v>1476388.12</v>
      </c>
      <c r="T65" s="93">
        <f>'Прогнозный индекс'!$F$43</f>
        <v>1.0708</v>
      </c>
      <c r="U65" s="19">
        <f t="shared" si="38"/>
        <v>1580916.4</v>
      </c>
      <c r="V65" s="18">
        <f t="shared" si="39"/>
        <v>0</v>
      </c>
    </row>
    <row r="66" spans="1:22" ht="63" x14ac:dyDescent="0.25">
      <c r="A66" s="84" t="s">
        <v>322</v>
      </c>
      <c r="B66" s="83"/>
      <c r="C66" s="82" t="s">
        <v>286</v>
      </c>
      <c r="D66" s="16" t="s">
        <v>23</v>
      </c>
      <c r="E66" s="17">
        <v>1</v>
      </c>
      <c r="F66" s="18"/>
      <c r="G66" s="18"/>
      <c r="H66" s="18"/>
      <c r="I66" s="19">
        <v>7807800</v>
      </c>
      <c r="J66" s="19">
        <f>I66</f>
        <v>7807800</v>
      </c>
      <c r="K66" s="20">
        <v>7807.8</v>
      </c>
      <c r="L66" s="21"/>
      <c r="M66" s="19"/>
      <c r="N66" s="21"/>
      <c r="O66" s="19"/>
      <c r="P66" s="19"/>
      <c r="Q66" s="19">
        <f t="shared" ref="Q66" si="41">J66</f>
        <v>7807800</v>
      </c>
      <c r="R66" s="95">
        <v>1</v>
      </c>
      <c r="S66" s="19">
        <f t="shared" si="7"/>
        <v>7807800</v>
      </c>
      <c r="T66" s="93">
        <v>1</v>
      </c>
      <c r="U66" s="19">
        <f t="shared" si="38"/>
        <v>7807800</v>
      </c>
      <c r="V66" s="18">
        <f t="shared" si="39"/>
        <v>0</v>
      </c>
    </row>
    <row r="67" spans="1:22" ht="31.5" x14ac:dyDescent="0.25">
      <c r="A67" s="78" t="s">
        <v>323</v>
      </c>
      <c r="B67" s="79" t="s">
        <v>172</v>
      </c>
      <c r="C67" s="77" t="s">
        <v>287</v>
      </c>
      <c r="D67" s="63" t="s">
        <v>23</v>
      </c>
      <c r="E67" s="64">
        <v>1</v>
      </c>
      <c r="F67" s="67">
        <f t="shared" ref="F67:K67" si="42">(F16+F17+F29+F30+F31+F32+F36+F42+F45+F46+F47+F48+F57+F60+F61+F62+F63)*2%</f>
        <v>3479268.25</v>
      </c>
      <c r="G67" s="67">
        <f t="shared" si="42"/>
        <v>466164.22</v>
      </c>
      <c r="H67" s="67">
        <f t="shared" si="42"/>
        <v>802880.68</v>
      </c>
      <c r="I67" s="67">
        <f t="shared" si="42"/>
        <v>240363.86</v>
      </c>
      <c r="J67" s="67">
        <f t="shared" si="42"/>
        <v>4988677.01</v>
      </c>
      <c r="K67" s="68">
        <f t="shared" si="42"/>
        <v>5079.7</v>
      </c>
      <c r="L67" s="71"/>
      <c r="M67" s="67">
        <f>(M16+M17+M29+M30+M31+M32+M36+M42+M45+M46+M47+M48+M57+M60+M61+M62+M63)*2%</f>
        <v>122308.41</v>
      </c>
      <c r="N67" s="71"/>
      <c r="O67" s="67">
        <f>(O16+O17+O29+O30+O31+O32+O36+O42+O45+O46+O47+O48+O57+O60+O61+O62+O63)*2%</f>
        <v>20338.7</v>
      </c>
      <c r="P67" s="67">
        <f>(P16+P17+P29+P30+P31+P32+P36+P42+P45+P46+P47+P48+P57+P60+P61+P62+P63)*2%</f>
        <v>-18346.259999999998</v>
      </c>
      <c r="Q67" s="67">
        <f>(Q16+Q17+Q29+Q30+Q31+Q32+Q36+Q42+Q45+Q46+Q47+Q48+Q57+Q60+Q61+Q62+Q63)*2%</f>
        <v>5112977.8600000003</v>
      </c>
      <c r="R67" s="70"/>
      <c r="S67" s="67">
        <f>(S16+S17+S29+S30+S31+S32+S36+S42+S45+S46+S47+S48+S57+S60+S61+S62+S63)*2%</f>
        <v>5240368.18</v>
      </c>
      <c r="T67" s="70"/>
      <c r="U67" s="67">
        <f>(U16+U17+U29+U30+U31+U32+U36+U42+U45+U46+U47+U48+U57+U60+U61+U62+U63)*2%</f>
        <v>5600232.6600000001</v>
      </c>
      <c r="V67" s="67">
        <f>(V16+V17+V29+V30+V31+V32+V36+V42+V45+V46+V47+V48+V57+V60+V61+V62+V63)*2%</f>
        <v>881819.55</v>
      </c>
    </row>
    <row r="68" spans="1:22" x14ac:dyDescent="0.25">
      <c r="A68" s="86"/>
      <c r="B68" s="72"/>
      <c r="C68" s="72" t="s">
        <v>44</v>
      </c>
      <c r="D68" s="72"/>
      <c r="E68" s="72"/>
      <c r="F68" s="87">
        <f t="shared" ref="F68:K68" si="43">F12+F15</f>
        <v>177442680.68000001</v>
      </c>
      <c r="G68" s="87">
        <f t="shared" si="43"/>
        <v>23774375.16</v>
      </c>
      <c r="H68" s="87">
        <f t="shared" si="43"/>
        <v>40946914.43</v>
      </c>
      <c r="I68" s="87">
        <f t="shared" si="43"/>
        <v>26464488.710000001</v>
      </c>
      <c r="J68" s="87">
        <f t="shared" si="43"/>
        <v>268628458.98000002</v>
      </c>
      <c r="K68" s="87">
        <f t="shared" si="43"/>
        <v>273270.71000000002</v>
      </c>
      <c r="L68" s="80"/>
      <c r="M68" s="87">
        <f>M12+M15</f>
        <v>6237728.7300000004</v>
      </c>
      <c r="N68" s="80"/>
      <c r="O68" s="87">
        <f>O12+O15</f>
        <v>1037273.91</v>
      </c>
      <c r="P68" s="87">
        <f>P12+P15</f>
        <v>-935659.29</v>
      </c>
      <c r="Q68" s="87">
        <f>Q12+Q15</f>
        <v>274967802.32999998</v>
      </c>
      <c r="R68" s="80"/>
      <c r="S68" s="87">
        <f>S12+S15</f>
        <v>281829801.18000001</v>
      </c>
      <c r="T68" s="80"/>
      <c r="U68" s="87">
        <f>U12+U15</f>
        <v>300525309.02999997</v>
      </c>
      <c r="V68" s="87">
        <f>V12+V15</f>
        <v>44972797.030000001</v>
      </c>
    </row>
    <row r="69" spans="1:22" x14ac:dyDescent="0.25">
      <c r="A69" s="86"/>
      <c r="B69" s="72"/>
      <c r="C69" s="72" t="s">
        <v>45</v>
      </c>
      <c r="D69" s="72"/>
      <c r="E69" s="72"/>
      <c r="F69" s="87">
        <f t="shared" ref="F69:K69" si="44">F68*20%</f>
        <v>35488536.140000001</v>
      </c>
      <c r="G69" s="87">
        <f t="shared" si="44"/>
        <v>4754875.03</v>
      </c>
      <c r="H69" s="87">
        <f t="shared" si="44"/>
        <v>8189382.8899999997</v>
      </c>
      <c r="I69" s="87">
        <f t="shared" si="44"/>
        <v>5292897.74</v>
      </c>
      <c r="J69" s="87">
        <f t="shared" si="44"/>
        <v>53725691.799999997</v>
      </c>
      <c r="K69" s="87">
        <f t="shared" si="44"/>
        <v>54654.14</v>
      </c>
      <c r="L69" s="80"/>
      <c r="M69" s="87">
        <f>M68*20%</f>
        <v>1247545.75</v>
      </c>
      <c r="N69" s="80"/>
      <c r="O69" s="87">
        <f>O68*20%</f>
        <v>207454.78</v>
      </c>
      <c r="P69" s="87">
        <f>P68*20%</f>
        <v>-187131.86</v>
      </c>
      <c r="Q69" s="87">
        <f>Q68*20%</f>
        <v>54993560.469999999</v>
      </c>
      <c r="R69" s="80"/>
      <c r="S69" s="87">
        <f>S68*20%</f>
        <v>56365960.240000002</v>
      </c>
      <c r="T69" s="80"/>
      <c r="U69" s="87">
        <f>U68*20%</f>
        <v>60105061.810000002</v>
      </c>
      <c r="V69" s="87">
        <f>V68*20%</f>
        <v>8994559.4100000001</v>
      </c>
    </row>
    <row r="70" spans="1:22" x14ac:dyDescent="0.25">
      <c r="A70" s="86"/>
      <c r="B70" s="72"/>
      <c r="C70" s="72" t="s">
        <v>46</v>
      </c>
      <c r="D70" s="72"/>
      <c r="E70" s="72"/>
      <c r="F70" s="87">
        <f t="shared" ref="F70:K70" si="45">F68+F69</f>
        <v>212931216.81999999</v>
      </c>
      <c r="G70" s="87">
        <f t="shared" si="45"/>
        <v>28529250.190000001</v>
      </c>
      <c r="H70" s="87">
        <f t="shared" si="45"/>
        <v>49136297.32</v>
      </c>
      <c r="I70" s="87">
        <f t="shared" si="45"/>
        <v>31757386.449999999</v>
      </c>
      <c r="J70" s="87">
        <f t="shared" si="45"/>
        <v>322354150.77999997</v>
      </c>
      <c r="K70" s="87">
        <f t="shared" si="45"/>
        <v>327924.84999999998</v>
      </c>
      <c r="L70" s="80"/>
      <c r="M70" s="87">
        <f>M68+M69</f>
        <v>7485274.4800000004</v>
      </c>
      <c r="N70" s="80"/>
      <c r="O70" s="87">
        <f>O68+O69</f>
        <v>1244728.69</v>
      </c>
      <c r="P70" s="87">
        <f>P68+P69</f>
        <v>-1122791.1499999999</v>
      </c>
      <c r="Q70" s="87">
        <f>Q68+Q69</f>
        <v>329961362.80000001</v>
      </c>
      <c r="R70" s="80"/>
      <c r="S70" s="87">
        <f>S68+S69</f>
        <v>338195761.42000002</v>
      </c>
      <c r="T70" s="80"/>
      <c r="U70" s="87">
        <f>U68+U69</f>
        <v>360630370.83999997</v>
      </c>
      <c r="V70" s="87">
        <f>V68+V69</f>
        <v>53967356.439999998</v>
      </c>
    </row>
    <row r="72" spans="1:22" x14ac:dyDescent="0.25">
      <c r="Q72" s="114"/>
    </row>
    <row r="73" spans="1:22" ht="46.5" customHeight="1" x14ac:dyDescent="0.25">
      <c r="A73" s="232" t="s">
        <v>366</v>
      </c>
      <c r="B73" s="232"/>
      <c r="C73" s="232"/>
      <c r="D73" s="232"/>
      <c r="E73" s="232"/>
      <c r="Q73" s="114"/>
      <c r="R73" s="221" t="s">
        <v>365</v>
      </c>
      <c r="U73" s="1"/>
    </row>
  </sheetData>
  <mergeCells count="22">
    <mergeCell ref="A73:E73"/>
    <mergeCell ref="U9:U10"/>
    <mergeCell ref="V9:V10"/>
    <mergeCell ref="K9:K10"/>
    <mergeCell ref="L9:M9"/>
    <mergeCell ref="N9:O9"/>
    <mergeCell ref="P9:P10"/>
    <mergeCell ref="Q9:Q10"/>
    <mergeCell ref="R9:R10"/>
    <mergeCell ref="F9:J9"/>
    <mergeCell ref="A1:T1"/>
    <mergeCell ref="A2:T2"/>
    <mergeCell ref="A3:T3"/>
    <mergeCell ref="A6:T6"/>
    <mergeCell ref="A7:T7"/>
    <mergeCell ref="A9:A10"/>
    <mergeCell ref="B9:B10"/>
    <mergeCell ref="C9:C10"/>
    <mergeCell ref="D9:D10"/>
    <mergeCell ref="E9:E10"/>
    <mergeCell ref="S9:S10"/>
    <mergeCell ref="T9:T10"/>
  </mergeCells>
  <pageMargins left="0.7" right="0.7" top="0.75" bottom="0.75" header="0.3" footer="0.3"/>
  <pageSetup paperSize="9" scale="55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25" workbookViewId="0">
      <selection activeCell="C39" sqref="C39"/>
    </sheetView>
  </sheetViews>
  <sheetFormatPr defaultColWidth="9.140625" defaultRowHeight="15.75" x14ac:dyDescent="0.25"/>
  <cols>
    <col min="1" max="1" width="9.28515625" style="4" customWidth="1"/>
    <col min="2" max="2" width="31.7109375" style="4" customWidth="1"/>
    <col min="3" max="3" width="43.85546875" style="4" customWidth="1"/>
    <col min="4" max="4" width="14.42578125" style="1" customWidth="1"/>
    <col min="5" max="5" width="15" style="1" customWidth="1"/>
    <col min="6" max="16384" width="9.140625" style="4"/>
  </cols>
  <sheetData>
    <row r="1" spans="1:5" s="1" customFormat="1" x14ac:dyDescent="0.25">
      <c r="A1" s="248" t="s">
        <v>348</v>
      </c>
      <c r="B1" s="248"/>
      <c r="C1" s="248"/>
      <c r="D1" s="248"/>
      <c r="E1" s="248"/>
    </row>
    <row r="2" spans="1:5" s="1" customFormat="1" x14ac:dyDescent="0.25">
      <c r="A2" s="265" t="s">
        <v>47</v>
      </c>
      <c r="B2" s="265"/>
      <c r="C2" s="265"/>
      <c r="D2" s="265"/>
      <c r="E2" s="265"/>
    </row>
    <row r="3" spans="1:5" x14ac:dyDescent="0.25">
      <c r="A3" s="266" t="s">
        <v>349</v>
      </c>
      <c r="B3" s="266"/>
      <c r="C3" s="266"/>
      <c r="D3" s="266"/>
      <c r="E3" s="266"/>
    </row>
    <row r="4" spans="1:5" x14ac:dyDescent="0.25">
      <c r="A4" s="243" t="s">
        <v>2</v>
      </c>
      <c r="B4" s="243" t="s">
        <v>350</v>
      </c>
      <c r="C4" s="243" t="s">
        <v>4</v>
      </c>
      <c r="D4" s="254" t="s">
        <v>5</v>
      </c>
      <c r="E4" s="254" t="s">
        <v>6</v>
      </c>
    </row>
    <row r="5" spans="1:5" ht="102.75" customHeight="1" x14ac:dyDescent="0.25">
      <c r="A5" s="244"/>
      <c r="B5" s="244"/>
      <c r="C5" s="244"/>
      <c r="D5" s="254"/>
      <c r="E5" s="254"/>
    </row>
    <row r="6" spans="1:5" x14ac:dyDescent="0.25">
      <c r="A6" s="116">
        <v>1</v>
      </c>
      <c r="B6" s="116">
        <v>2</v>
      </c>
      <c r="C6" s="116">
        <v>3</v>
      </c>
      <c r="D6" s="116">
        <v>4</v>
      </c>
      <c r="E6" s="116">
        <v>5</v>
      </c>
    </row>
    <row r="7" spans="1:5" x14ac:dyDescent="0.25">
      <c r="A7" s="73">
        <v>1</v>
      </c>
      <c r="B7" s="74"/>
      <c r="C7" s="75" t="s">
        <v>22</v>
      </c>
      <c r="D7" s="60" t="s">
        <v>23</v>
      </c>
      <c r="E7" s="61">
        <v>1</v>
      </c>
    </row>
    <row r="8" spans="1:5" x14ac:dyDescent="0.25">
      <c r="A8" s="76" t="s">
        <v>24</v>
      </c>
      <c r="B8" s="63" t="s">
        <v>214</v>
      </c>
      <c r="C8" s="77" t="s">
        <v>22</v>
      </c>
      <c r="D8" s="63" t="s">
        <v>23</v>
      </c>
      <c r="E8" s="64">
        <v>1</v>
      </c>
    </row>
    <row r="9" spans="1:5" ht="31.5" x14ac:dyDescent="0.25">
      <c r="A9" s="76" t="s">
        <v>25</v>
      </c>
      <c r="B9" s="63" t="s">
        <v>172</v>
      </c>
      <c r="C9" s="77" t="s">
        <v>215</v>
      </c>
      <c r="D9" s="63" t="s">
        <v>23</v>
      </c>
      <c r="E9" s="64">
        <v>1</v>
      </c>
    </row>
    <row r="10" spans="1:5" x14ac:dyDescent="0.25">
      <c r="A10" s="73">
        <v>2</v>
      </c>
      <c r="B10" s="74"/>
      <c r="C10" s="75" t="s">
        <v>26</v>
      </c>
      <c r="D10" s="60" t="s">
        <v>23</v>
      </c>
      <c r="E10" s="61">
        <v>1</v>
      </c>
    </row>
    <row r="11" spans="1:5" ht="31.5" x14ac:dyDescent="0.25">
      <c r="A11" s="76" t="s">
        <v>27</v>
      </c>
      <c r="B11" s="117" t="s">
        <v>66</v>
      </c>
      <c r="C11" s="13" t="s">
        <v>67</v>
      </c>
      <c r="D11" s="63" t="s">
        <v>23</v>
      </c>
      <c r="E11" s="64">
        <v>1</v>
      </c>
    </row>
    <row r="12" spans="1:5" ht="24.75" customHeight="1" x14ac:dyDescent="0.25">
      <c r="A12" s="76" t="s">
        <v>28</v>
      </c>
      <c r="B12" s="117" t="s">
        <v>34</v>
      </c>
      <c r="C12" s="13" t="s">
        <v>71</v>
      </c>
      <c r="D12" s="63" t="s">
        <v>23</v>
      </c>
      <c r="E12" s="64">
        <v>1</v>
      </c>
    </row>
    <row r="13" spans="1:5" ht="31.5" x14ac:dyDescent="0.25">
      <c r="A13" s="81" t="s">
        <v>29</v>
      </c>
      <c r="B13" s="118" t="s">
        <v>216</v>
      </c>
      <c r="C13" s="15" t="s">
        <v>230</v>
      </c>
      <c r="D13" s="16" t="s">
        <v>23</v>
      </c>
      <c r="E13" s="17">
        <v>1</v>
      </c>
    </row>
    <row r="14" spans="1:5" ht="31.5" x14ac:dyDescent="0.25">
      <c r="A14" s="81" t="s">
        <v>30</v>
      </c>
      <c r="B14" s="16" t="s">
        <v>217</v>
      </c>
      <c r="C14" s="82" t="s">
        <v>231</v>
      </c>
      <c r="D14" s="16" t="s">
        <v>23</v>
      </c>
      <c r="E14" s="17">
        <v>1</v>
      </c>
    </row>
    <row r="15" spans="1:5" ht="63" x14ac:dyDescent="0.25">
      <c r="A15" s="81" t="s">
        <v>31</v>
      </c>
      <c r="B15" s="16" t="s">
        <v>218</v>
      </c>
      <c r="C15" s="82" t="s">
        <v>232</v>
      </c>
      <c r="D15" s="16" t="s">
        <v>23</v>
      </c>
      <c r="E15" s="17">
        <v>1</v>
      </c>
    </row>
    <row r="16" spans="1:5" ht="47.25" x14ac:dyDescent="0.25">
      <c r="A16" s="81" t="s">
        <v>32</v>
      </c>
      <c r="B16" s="81" t="s">
        <v>219</v>
      </c>
      <c r="C16" s="82" t="s">
        <v>233</v>
      </c>
      <c r="D16" s="16" t="s">
        <v>23</v>
      </c>
      <c r="E16" s="17">
        <v>1</v>
      </c>
    </row>
    <row r="17" spans="1:5" ht="31.5" x14ac:dyDescent="0.25">
      <c r="A17" s="84" t="s">
        <v>288</v>
      </c>
      <c r="B17" s="16" t="s">
        <v>220</v>
      </c>
      <c r="C17" s="82" t="s">
        <v>234</v>
      </c>
      <c r="D17" s="16" t="s">
        <v>23</v>
      </c>
      <c r="E17" s="17">
        <v>1</v>
      </c>
    </row>
    <row r="18" spans="1:5" ht="47.25" x14ac:dyDescent="0.25">
      <c r="A18" s="84" t="s">
        <v>289</v>
      </c>
      <c r="B18" s="81" t="s">
        <v>221</v>
      </c>
      <c r="C18" s="82" t="s">
        <v>235</v>
      </c>
      <c r="D18" s="16" t="s">
        <v>23</v>
      </c>
      <c r="E18" s="17">
        <v>1</v>
      </c>
    </row>
    <row r="19" spans="1:5" ht="31.5" x14ac:dyDescent="0.25">
      <c r="A19" s="84" t="s">
        <v>290</v>
      </c>
      <c r="B19" s="81" t="s">
        <v>222</v>
      </c>
      <c r="C19" s="82" t="s">
        <v>236</v>
      </c>
      <c r="D19" s="16" t="s">
        <v>23</v>
      </c>
      <c r="E19" s="17">
        <v>1</v>
      </c>
    </row>
    <row r="20" spans="1:5" ht="31.5" x14ac:dyDescent="0.25">
      <c r="A20" s="84" t="s">
        <v>291</v>
      </c>
      <c r="B20" s="81" t="s">
        <v>223</v>
      </c>
      <c r="C20" s="82" t="s">
        <v>237</v>
      </c>
      <c r="D20" s="16" t="s">
        <v>23</v>
      </c>
      <c r="E20" s="17">
        <v>1</v>
      </c>
    </row>
    <row r="21" spans="1:5" ht="47.25" x14ac:dyDescent="0.25">
      <c r="A21" s="84" t="s">
        <v>292</v>
      </c>
      <c r="B21" s="81" t="s">
        <v>224</v>
      </c>
      <c r="C21" s="82" t="s">
        <v>238</v>
      </c>
      <c r="D21" s="16" t="s">
        <v>23</v>
      </c>
      <c r="E21" s="17">
        <v>1</v>
      </c>
    </row>
    <row r="22" spans="1:5" ht="47.25" x14ac:dyDescent="0.25">
      <c r="A22" s="84" t="s">
        <v>293</v>
      </c>
      <c r="B22" s="16" t="s">
        <v>225</v>
      </c>
      <c r="C22" s="82" t="s">
        <v>239</v>
      </c>
      <c r="D22" s="16" t="s">
        <v>23</v>
      </c>
      <c r="E22" s="17">
        <v>1</v>
      </c>
    </row>
    <row r="23" spans="1:5" ht="47.25" x14ac:dyDescent="0.25">
      <c r="A23" s="84" t="s">
        <v>294</v>
      </c>
      <c r="B23" s="81" t="s">
        <v>226</v>
      </c>
      <c r="C23" s="82" t="s">
        <v>240</v>
      </c>
      <c r="D23" s="16" t="s">
        <v>23</v>
      </c>
      <c r="E23" s="17">
        <v>1</v>
      </c>
    </row>
    <row r="24" spans="1:5" ht="31.5" x14ac:dyDescent="0.25">
      <c r="A24" s="78" t="s">
        <v>33</v>
      </c>
      <c r="B24" s="76" t="s">
        <v>73</v>
      </c>
      <c r="C24" s="77" t="s">
        <v>241</v>
      </c>
      <c r="D24" s="63" t="s">
        <v>23</v>
      </c>
      <c r="E24" s="64">
        <v>1</v>
      </c>
    </row>
    <row r="25" spans="1:5" ht="47.25" x14ac:dyDescent="0.25">
      <c r="A25" s="78" t="s">
        <v>35</v>
      </c>
      <c r="B25" s="76" t="s">
        <v>78</v>
      </c>
      <c r="C25" s="77" t="s">
        <v>242</v>
      </c>
      <c r="D25" s="63" t="s">
        <v>23</v>
      </c>
      <c r="E25" s="64">
        <v>1</v>
      </c>
    </row>
    <row r="26" spans="1:5" ht="31.5" x14ac:dyDescent="0.25">
      <c r="A26" s="78" t="s">
        <v>36</v>
      </c>
      <c r="B26" s="76" t="s">
        <v>83</v>
      </c>
      <c r="C26" s="77" t="s">
        <v>243</v>
      </c>
      <c r="D26" s="63" t="s">
        <v>23</v>
      </c>
      <c r="E26" s="64">
        <v>1</v>
      </c>
    </row>
    <row r="27" spans="1:5" x14ac:dyDescent="0.25">
      <c r="A27" s="78" t="s">
        <v>37</v>
      </c>
      <c r="B27" s="76" t="s">
        <v>86</v>
      </c>
      <c r="C27" s="77" t="s">
        <v>87</v>
      </c>
      <c r="D27" s="63" t="s">
        <v>23</v>
      </c>
      <c r="E27" s="64">
        <v>1</v>
      </c>
    </row>
    <row r="28" spans="1:5" ht="31.5" x14ac:dyDescent="0.25">
      <c r="A28" s="84" t="s">
        <v>295</v>
      </c>
      <c r="B28" s="119" t="s">
        <v>227</v>
      </c>
      <c r="C28" s="85" t="s">
        <v>244</v>
      </c>
      <c r="D28" s="16" t="s">
        <v>23</v>
      </c>
      <c r="E28" s="17">
        <v>1</v>
      </c>
    </row>
    <row r="29" spans="1:5" ht="47.25" x14ac:dyDescent="0.25">
      <c r="A29" s="84" t="s">
        <v>296</v>
      </c>
      <c r="B29" s="119" t="s">
        <v>228</v>
      </c>
      <c r="C29" s="85" t="s">
        <v>245</v>
      </c>
      <c r="D29" s="16" t="s">
        <v>23</v>
      </c>
      <c r="E29" s="17">
        <v>1</v>
      </c>
    </row>
    <row r="30" spans="1:5" ht="47.25" x14ac:dyDescent="0.25">
      <c r="A30" s="84" t="s">
        <v>297</v>
      </c>
      <c r="B30" s="119" t="s">
        <v>229</v>
      </c>
      <c r="C30" s="85" t="s">
        <v>246</v>
      </c>
      <c r="D30" s="16" t="s">
        <v>23</v>
      </c>
      <c r="E30" s="17">
        <v>1</v>
      </c>
    </row>
    <row r="31" spans="1:5" x14ac:dyDescent="0.25">
      <c r="A31" s="78" t="s">
        <v>38</v>
      </c>
      <c r="B31" s="76" t="s">
        <v>91</v>
      </c>
      <c r="C31" s="77" t="s">
        <v>92</v>
      </c>
      <c r="D31" s="63" t="s">
        <v>23</v>
      </c>
      <c r="E31" s="64">
        <v>1</v>
      </c>
    </row>
    <row r="32" spans="1:5" ht="31.5" x14ac:dyDescent="0.25">
      <c r="A32" s="84" t="s">
        <v>298</v>
      </c>
      <c r="B32" s="81" t="s">
        <v>247</v>
      </c>
      <c r="C32" s="82" t="s">
        <v>252</v>
      </c>
      <c r="D32" s="16" t="s">
        <v>23</v>
      </c>
      <c r="E32" s="17">
        <v>1</v>
      </c>
    </row>
    <row r="33" spans="1:5" ht="47.25" x14ac:dyDescent="0.25">
      <c r="A33" s="84" t="s">
        <v>299</v>
      </c>
      <c r="B33" s="81" t="s">
        <v>248</v>
      </c>
      <c r="C33" s="82" t="s">
        <v>253</v>
      </c>
      <c r="D33" s="16" t="s">
        <v>23</v>
      </c>
      <c r="E33" s="17">
        <v>1</v>
      </c>
    </row>
    <row r="34" spans="1:5" ht="47.25" x14ac:dyDescent="0.25">
      <c r="A34" s="84" t="s">
        <v>300</v>
      </c>
      <c r="B34" s="81" t="s">
        <v>249</v>
      </c>
      <c r="C34" s="82" t="s">
        <v>254</v>
      </c>
      <c r="D34" s="16" t="s">
        <v>23</v>
      </c>
      <c r="E34" s="17">
        <v>1</v>
      </c>
    </row>
    <row r="35" spans="1:5" ht="47.25" x14ac:dyDescent="0.25">
      <c r="A35" s="84" t="s">
        <v>301</v>
      </c>
      <c r="B35" s="81" t="s">
        <v>250</v>
      </c>
      <c r="C35" s="82" t="s">
        <v>255</v>
      </c>
      <c r="D35" s="16" t="s">
        <v>23</v>
      </c>
      <c r="E35" s="17">
        <v>1</v>
      </c>
    </row>
    <row r="36" spans="1:5" ht="31.5" x14ac:dyDescent="0.25">
      <c r="A36" s="84" t="s">
        <v>302</v>
      </c>
      <c r="B36" s="81" t="s">
        <v>251</v>
      </c>
      <c r="C36" s="82" t="s">
        <v>256</v>
      </c>
      <c r="D36" s="16" t="s">
        <v>23</v>
      </c>
      <c r="E36" s="17">
        <v>1</v>
      </c>
    </row>
    <row r="37" spans="1:5" x14ac:dyDescent="0.25">
      <c r="A37" s="78" t="s">
        <v>39</v>
      </c>
      <c r="B37" s="76" t="s">
        <v>94</v>
      </c>
      <c r="C37" s="77" t="s">
        <v>95</v>
      </c>
      <c r="D37" s="63" t="s">
        <v>23</v>
      </c>
      <c r="E37" s="64">
        <v>1</v>
      </c>
    </row>
    <row r="38" spans="1:5" ht="47.25" x14ac:dyDescent="0.25">
      <c r="A38" s="84" t="s">
        <v>303</v>
      </c>
      <c r="B38" s="81" t="s">
        <v>257</v>
      </c>
      <c r="C38" s="82" t="s">
        <v>430</v>
      </c>
      <c r="D38" s="16" t="s">
        <v>23</v>
      </c>
      <c r="E38" s="17">
        <v>1</v>
      </c>
    </row>
    <row r="39" spans="1:5" ht="47.25" x14ac:dyDescent="0.25">
      <c r="A39" s="84" t="s">
        <v>304</v>
      </c>
      <c r="B39" s="81" t="s">
        <v>258</v>
      </c>
      <c r="C39" s="82" t="s">
        <v>259</v>
      </c>
      <c r="D39" s="16" t="s">
        <v>23</v>
      </c>
      <c r="E39" s="17">
        <v>1</v>
      </c>
    </row>
    <row r="40" spans="1:5" x14ac:dyDescent="0.25">
      <c r="A40" s="78" t="s">
        <v>40</v>
      </c>
      <c r="B40" s="76" t="s">
        <v>99</v>
      </c>
      <c r="C40" s="77" t="s">
        <v>260</v>
      </c>
      <c r="D40" s="63" t="s">
        <v>23</v>
      </c>
      <c r="E40" s="64">
        <v>1</v>
      </c>
    </row>
    <row r="41" spans="1:5" ht="47.25" x14ac:dyDescent="0.25">
      <c r="A41" s="78" t="s">
        <v>41</v>
      </c>
      <c r="B41" s="76" t="s">
        <v>102</v>
      </c>
      <c r="C41" s="77" t="s">
        <v>261</v>
      </c>
      <c r="D41" s="63" t="s">
        <v>23</v>
      </c>
      <c r="E41" s="64">
        <v>1</v>
      </c>
    </row>
    <row r="42" spans="1:5" ht="31.5" x14ac:dyDescent="0.25">
      <c r="A42" s="78" t="s">
        <v>42</v>
      </c>
      <c r="B42" s="76" t="s">
        <v>105</v>
      </c>
      <c r="C42" s="77" t="s">
        <v>262</v>
      </c>
      <c r="D42" s="63" t="s">
        <v>23</v>
      </c>
      <c r="E42" s="64">
        <v>1</v>
      </c>
    </row>
    <row r="43" spans="1:5" ht="31.5" x14ac:dyDescent="0.25">
      <c r="A43" s="78" t="s">
        <v>305</v>
      </c>
      <c r="B43" s="76" t="s">
        <v>124</v>
      </c>
      <c r="C43" s="77" t="s">
        <v>277</v>
      </c>
      <c r="D43" s="63" t="s">
        <v>23</v>
      </c>
      <c r="E43" s="64">
        <v>1</v>
      </c>
    </row>
    <row r="44" spans="1:5" ht="63" x14ac:dyDescent="0.25">
      <c r="A44" s="84" t="s">
        <v>306</v>
      </c>
      <c r="B44" s="81" t="s">
        <v>263</v>
      </c>
      <c r="C44" s="82" t="s">
        <v>271</v>
      </c>
      <c r="D44" s="16" t="s">
        <v>23</v>
      </c>
      <c r="E44" s="17">
        <v>1</v>
      </c>
    </row>
    <row r="45" spans="1:5" ht="31.5" x14ac:dyDescent="0.25">
      <c r="A45" s="84" t="s">
        <v>307</v>
      </c>
      <c r="B45" s="81" t="s">
        <v>264</v>
      </c>
      <c r="C45" s="82" t="s">
        <v>272</v>
      </c>
      <c r="D45" s="16" t="s">
        <v>23</v>
      </c>
      <c r="E45" s="17">
        <v>1</v>
      </c>
    </row>
    <row r="46" spans="1:5" ht="31.5" x14ac:dyDescent="0.25">
      <c r="A46" s="84" t="s">
        <v>308</v>
      </c>
      <c r="B46" s="81" t="s">
        <v>265</v>
      </c>
      <c r="C46" s="82" t="s">
        <v>273</v>
      </c>
      <c r="D46" s="16" t="s">
        <v>23</v>
      </c>
      <c r="E46" s="17">
        <v>1</v>
      </c>
    </row>
    <row r="47" spans="1:5" ht="47.25" x14ac:dyDescent="0.25">
      <c r="A47" s="84" t="s">
        <v>309</v>
      </c>
      <c r="B47" s="81" t="s">
        <v>266</v>
      </c>
      <c r="C47" s="82" t="s">
        <v>274</v>
      </c>
      <c r="D47" s="16" t="s">
        <v>23</v>
      </c>
      <c r="E47" s="17">
        <v>1</v>
      </c>
    </row>
    <row r="48" spans="1:5" ht="31.5" x14ac:dyDescent="0.25">
      <c r="A48" s="84" t="s">
        <v>310</v>
      </c>
      <c r="B48" s="81" t="s">
        <v>267</v>
      </c>
      <c r="C48" s="82" t="s">
        <v>275</v>
      </c>
      <c r="D48" s="16" t="s">
        <v>23</v>
      </c>
      <c r="E48" s="17">
        <v>1</v>
      </c>
    </row>
    <row r="49" spans="1:5" ht="31.5" x14ac:dyDescent="0.25">
      <c r="A49" s="84" t="s">
        <v>311</v>
      </c>
      <c r="B49" s="81" t="s">
        <v>268</v>
      </c>
      <c r="C49" s="82" t="s">
        <v>276</v>
      </c>
      <c r="D49" s="16" t="s">
        <v>23</v>
      </c>
      <c r="E49" s="17">
        <v>1</v>
      </c>
    </row>
    <row r="50" spans="1:5" ht="47.25" x14ac:dyDescent="0.25">
      <c r="A50" s="84" t="s">
        <v>312</v>
      </c>
      <c r="B50" s="81" t="s">
        <v>269</v>
      </c>
      <c r="C50" s="82" t="s">
        <v>281</v>
      </c>
      <c r="D50" s="16" t="s">
        <v>23</v>
      </c>
      <c r="E50" s="17">
        <v>1</v>
      </c>
    </row>
    <row r="51" spans="1:5" ht="47.25" x14ac:dyDescent="0.25">
      <c r="A51" s="84" t="s">
        <v>313</v>
      </c>
      <c r="B51" s="81" t="s">
        <v>270</v>
      </c>
      <c r="C51" s="82" t="s">
        <v>280</v>
      </c>
      <c r="D51" s="16" t="s">
        <v>23</v>
      </c>
      <c r="E51" s="17">
        <v>1</v>
      </c>
    </row>
    <row r="52" spans="1:5" x14ac:dyDescent="0.25">
      <c r="A52" s="78" t="s">
        <v>43</v>
      </c>
      <c r="B52" s="76" t="s">
        <v>127</v>
      </c>
      <c r="C52" s="77" t="s">
        <v>128</v>
      </c>
      <c r="D52" s="63" t="s">
        <v>23</v>
      </c>
      <c r="E52" s="64">
        <v>1</v>
      </c>
    </row>
    <row r="53" spans="1:5" ht="31.5" x14ac:dyDescent="0.25">
      <c r="A53" s="84" t="s">
        <v>314</v>
      </c>
      <c r="B53" s="81" t="s">
        <v>278</v>
      </c>
      <c r="C53" s="82" t="s">
        <v>282</v>
      </c>
      <c r="D53" s="16" t="s">
        <v>23</v>
      </c>
      <c r="E53" s="17">
        <v>1</v>
      </c>
    </row>
    <row r="54" spans="1:5" ht="47.25" x14ac:dyDescent="0.25">
      <c r="A54" s="84" t="s">
        <v>315</v>
      </c>
      <c r="B54" s="81" t="s">
        <v>279</v>
      </c>
      <c r="C54" s="82" t="s">
        <v>283</v>
      </c>
      <c r="D54" s="16" t="s">
        <v>23</v>
      </c>
      <c r="E54" s="17">
        <v>1</v>
      </c>
    </row>
    <row r="55" spans="1:5" x14ac:dyDescent="0.25">
      <c r="A55" s="78" t="s">
        <v>316</v>
      </c>
      <c r="B55" s="76" t="s">
        <v>130</v>
      </c>
      <c r="C55" s="77" t="s">
        <v>131</v>
      </c>
      <c r="D55" s="63" t="s">
        <v>23</v>
      </c>
      <c r="E55" s="64">
        <v>1</v>
      </c>
    </row>
    <row r="56" spans="1:5" ht="31.5" x14ac:dyDescent="0.25">
      <c r="A56" s="78" t="s">
        <v>317</v>
      </c>
      <c r="B56" s="76" t="s">
        <v>133</v>
      </c>
      <c r="C56" s="77" t="s">
        <v>134</v>
      </c>
      <c r="D56" s="63" t="s">
        <v>23</v>
      </c>
      <c r="E56" s="64">
        <v>1</v>
      </c>
    </row>
    <row r="57" spans="1:5" ht="31.5" x14ac:dyDescent="0.25">
      <c r="A57" s="78" t="s">
        <v>318</v>
      </c>
      <c r="B57" s="76" t="s">
        <v>136</v>
      </c>
      <c r="C57" s="77" t="s">
        <v>137</v>
      </c>
      <c r="D57" s="63" t="s">
        <v>23</v>
      </c>
      <c r="E57" s="64">
        <v>1</v>
      </c>
    </row>
    <row r="58" spans="1:5" ht="47.25" x14ac:dyDescent="0.25">
      <c r="A58" s="78" t="s">
        <v>319</v>
      </c>
      <c r="B58" s="76" t="s">
        <v>142</v>
      </c>
      <c r="C58" s="77" t="s">
        <v>143</v>
      </c>
      <c r="D58" s="63" t="s">
        <v>23</v>
      </c>
      <c r="E58" s="64">
        <v>1</v>
      </c>
    </row>
    <row r="59" spans="1:5" ht="47.25" x14ac:dyDescent="0.25">
      <c r="A59" s="84" t="s">
        <v>320</v>
      </c>
      <c r="B59" s="81"/>
      <c r="C59" s="82" t="s">
        <v>284</v>
      </c>
      <c r="D59" s="16" t="s">
        <v>23</v>
      </c>
      <c r="E59" s="17">
        <v>1</v>
      </c>
    </row>
    <row r="60" spans="1:5" ht="31.5" x14ac:dyDescent="0.25">
      <c r="A60" s="84" t="s">
        <v>321</v>
      </c>
      <c r="B60" s="81"/>
      <c r="C60" s="82" t="s">
        <v>285</v>
      </c>
      <c r="D60" s="16" t="s">
        <v>23</v>
      </c>
      <c r="E60" s="17">
        <v>1</v>
      </c>
    </row>
    <row r="61" spans="1:5" ht="63" x14ac:dyDescent="0.25">
      <c r="A61" s="84" t="s">
        <v>322</v>
      </c>
      <c r="B61" s="81"/>
      <c r="C61" s="82" t="s">
        <v>286</v>
      </c>
      <c r="D61" s="16" t="s">
        <v>23</v>
      </c>
      <c r="E61" s="17">
        <v>1</v>
      </c>
    </row>
    <row r="62" spans="1:5" ht="31.5" x14ac:dyDescent="0.25">
      <c r="A62" s="78" t="s">
        <v>323</v>
      </c>
      <c r="B62" s="76" t="s">
        <v>172</v>
      </c>
      <c r="C62" s="77" t="s">
        <v>287</v>
      </c>
      <c r="D62" s="63" t="s">
        <v>23</v>
      </c>
      <c r="E62" s="64">
        <v>1</v>
      </c>
    </row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sqref="A1:Y31"/>
    </sheetView>
  </sheetViews>
  <sheetFormatPr defaultRowHeight="15" x14ac:dyDescent="0.25"/>
  <cols>
    <col min="1" max="1" width="5.42578125" customWidth="1"/>
    <col min="2" max="2" width="22.7109375" customWidth="1"/>
    <col min="3" max="3" width="18.7109375" customWidth="1"/>
    <col min="4" max="4" width="11.7109375" customWidth="1"/>
    <col min="5" max="5" width="27" customWidth="1"/>
    <col min="6" max="6" width="24.140625" customWidth="1"/>
    <col min="256" max="256" width="5.42578125" customWidth="1"/>
    <col min="257" max="257" width="22.7109375" customWidth="1"/>
    <col min="258" max="258" width="18.7109375" customWidth="1"/>
    <col min="259" max="259" width="9.42578125" customWidth="1"/>
    <col min="260" max="260" width="23" customWidth="1"/>
    <col min="512" max="512" width="5.42578125" customWidth="1"/>
    <col min="513" max="513" width="22.7109375" customWidth="1"/>
    <col min="514" max="514" width="18.7109375" customWidth="1"/>
    <col min="515" max="515" width="9.42578125" customWidth="1"/>
    <col min="516" max="516" width="23" customWidth="1"/>
    <col min="768" max="768" width="5.42578125" customWidth="1"/>
    <col min="769" max="769" width="22.7109375" customWidth="1"/>
    <col min="770" max="770" width="18.7109375" customWidth="1"/>
    <col min="771" max="771" width="9.42578125" customWidth="1"/>
    <col min="772" max="772" width="23" customWidth="1"/>
    <col min="1024" max="1024" width="5.42578125" customWidth="1"/>
    <col min="1025" max="1025" width="22.7109375" customWidth="1"/>
    <col min="1026" max="1026" width="18.7109375" customWidth="1"/>
    <col min="1027" max="1027" width="9.42578125" customWidth="1"/>
    <col min="1028" max="1028" width="23" customWidth="1"/>
    <col min="1280" max="1280" width="5.42578125" customWidth="1"/>
    <col min="1281" max="1281" width="22.7109375" customWidth="1"/>
    <col min="1282" max="1282" width="18.7109375" customWidth="1"/>
    <col min="1283" max="1283" width="9.42578125" customWidth="1"/>
    <col min="1284" max="1284" width="23" customWidth="1"/>
    <col min="1536" max="1536" width="5.42578125" customWidth="1"/>
    <col min="1537" max="1537" width="22.7109375" customWidth="1"/>
    <col min="1538" max="1538" width="18.7109375" customWidth="1"/>
    <col min="1539" max="1539" width="9.42578125" customWidth="1"/>
    <col min="1540" max="1540" width="23" customWidth="1"/>
    <col min="1792" max="1792" width="5.42578125" customWidth="1"/>
    <col min="1793" max="1793" width="22.7109375" customWidth="1"/>
    <col min="1794" max="1794" width="18.7109375" customWidth="1"/>
    <col min="1795" max="1795" width="9.42578125" customWidth="1"/>
    <col min="1796" max="1796" width="23" customWidth="1"/>
    <col min="2048" max="2048" width="5.42578125" customWidth="1"/>
    <col min="2049" max="2049" width="22.7109375" customWidth="1"/>
    <col min="2050" max="2050" width="18.7109375" customWidth="1"/>
    <col min="2051" max="2051" width="9.42578125" customWidth="1"/>
    <col min="2052" max="2052" width="23" customWidth="1"/>
    <col min="2304" max="2304" width="5.42578125" customWidth="1"/>
    <col min="2305" max="2305" width="22.7109375" customWidth="1"/>
    <col min="2306" max="2306" width="18.7109375" customWidth="1"/>
    <col min="2307" max="2307" width="9.42578125" customWidth="1"/>
    <col min="2308" max="2308" width="23" customWidth="1"/>
    <col min="2560" max="2560" width="5.42578125" customWidth="1"/>
    <col min="2561" max="2561" width="22.7109375" customWidth="1"/>
    <col min="2562" max="2562" width="18.7109375" customWidth="1"/>
    <col min="2563" max="2563" width="9.42578125" customWidth="1"/>
    <col min="2564" max="2564" width="23" customWidth="1"/>
    <col min="2816" max="2816" width="5.42578125" customWidth="1"/>
    <col min="2817" max="2817" width="22.7109375" customWidth="1"/>
    <col min="2818" max="2818" width="18.7109375" customWidth="1"/>
    <col min="2819" max="2819" width="9.42578125" customWidth="1"/>
    <col min="2820" max="2820" width="23" customWidth="1"/>
    <col min="3072" max="3072" width="5.42578125" customWidth="1"/>
    <col min="3073" max="3073" width="22.7109375" customWidth="1"/>
    <col min="3074" max="3074" width="18.7109375" customWidth="1"/>
    <col min="3075" max="3075" width="9.42578125" customWidth="1"/>
    <col min="3076" max="3076" width="23" customWidth="1"/>
    <col min="3328" max="3328" width="5.42578125" customWidth="1"/>
    <col min="3329" max="3329" width="22.7109375" customWidth="1"/>
    <col min="3330" max="3330" width="18.7109375" customWidth="1"/>
    <col min="3331" max="3331" width="9.42578125" customWidth="1"/>
    <col min="3332" max="3332" width="23" customWidth="1"/>
    <col min="3584" max="3584" width="5.42578125" customWidth="1"/>
    <col min="3585" max="3585" width="22.7109375" customWidth="1"/>
    <col min="3586" max="3586" width="18.7109375" customWidth="1"/>
    <col min="3587" max="3587" width="9.42578125" customWidth="1"/>
    <col min="3588" max="3588" width="23" customWidth="1"/>
    <col min="3840" max="3840" width="5.42578125" customWidth="1"/>
    <col min="3841" max="3841" width="22.7109375" customWidth="1"/>
    <col min="3842" max="3842" width="18.7109375" customWidth="1"/>
    <col min="3843" max="3843" width="9.42578125" customWidth="1"/>
    <col min="3844" max="3844" width="23" customWidth="1"/>
    <col min="4096" max="4096" width="5.42578125" customWidth="1"/>
    <col min="4097" max="4097" width="22.7109375" customWidth="1"/>
    <col min="4098" max="4098" width="18.7109375" customWidth="1"/>
    <col min="4099" max="4099" width="9.42578125" customWidth="1"/>
    <col min="4100" max="4100" width="23" customWidth="1"/>
    <col min="4352" max="4352" width="5.42578125" customWidth="1"/>
    <col min="4353" max="4353" width="22.7109375" customWidth="1"/>
    <col min="4354" max="4354" width="18.7109375" customWidth="1"/>
    <col min="4355" max="4355" width="9.42578125" customWidth="1"/>
    <col min="4356" max="4356" width="23" customWidth="1"/>
    <col min="4608" max="4608" width="5.42578125" customWidth="1"/>
    <col min="4609" max="4609" width="22.7109375" customWidth="1"/>
    <col min="4610" max="4610" width="18.7109375" customWidth="1"/>
    <col min="4611" max="4611" width="9.42578125" customWidth="1"/>
    <col min="4612" max="4612" width="23" customWidth="1"/>
    <col min="4864" max="4864" width="5.42578125" customWidth="1"/>
    <col min="4865" max="4865" width="22.7109375" customWidth="1"/>
    <col min="4866" max="4866" width="18.7109375" customWidth="1"/>
    <col min="4867" max="4867" width="9.42578125" customWidth="1"/>
    <col min="4868" max="4868" width="23" customWidth="1"/>
    <col min="5120" max="5120" width="5.42578125" customWidth="1"/>
    <col min="5121" max="5121" width="22.7109375" customWidth="1"/>
    <col min="5122" max="5122" width="18.7109375" customWidth="1"/>
    <col min="5123" max="5123" width="9.42578125" customWidth="1"/>
    <col min="5124" max="5124" width="23" customWidth="1"/>
    <col min="5376" max="5376" width="5.42578125" customWidth="1"/>
    <col min="5377" max="5377" width="22.7109375" customWidth="1"/>
    <col min="5378" max="5378" width="18.7109375" customWidth="1"/>
    <col min="5379" max="5379" width="9.42578125" customWidth="1"/>
    <col min="5380" max="5380" width="23" customWidth="1"/>
    <col min="5632" max="5632" width="5.42578125" customWidth="1"/>
    <col min="5633" max="5633" width="22.7109375" customWidth="1"/>
    <col min="5634" max="5634" width="18.7109375" customWidth="1"/>
    <col min="5635" max="5635" width="9.42578125" customWidth="1"/>
    <col min="5636" max="5636" width="23" customWidth="1"/>
    <col min="5888" max="5888" width="5.42578125" customWidth="1"/>
    <col min="5889" max="5889" width="22.7109375" customWidth="1"/>
    <col min="5890" max="5890" width="18.7109375" customWidth="1"/>
    <col min="5891" max="5891" width="9.42578125" customWidth="1"/>
    <col min="5892" max="5892" width="23" customWidth="1"/>
    <col min="6144" max="6144" width="5.42578125" customWidth="1"/>
    <col min="6145" max="6145" width="22.7109375" customWidth="1"/>
    <col min="6146" max="6146" width="18.7109375" customWidth="1"/>
    <col min="6147" max="6147" width="9.42578125" customWidth="1"/>
    <col min="6148" max="6148" width="23" customWidth="1"/>
    <col min="6400" max="6400" width="5.42578125" customWidth="1"/>
    <col min="6401" max="6401" width="22.7109375" customWidth="1"/>
    <col min="6402" max="6402" width="18.7109375" customWidth="1"/>
    <col min="6403" max="6403" width="9.42578125" customWidth="1"/>
    <col min="6404" max="6404" width="23" customWidth="1"/>
    <col min="6656" max="6656" width="5.42578125" customWidth="1"/>
    <col min="6657" max="6657" width="22.7109375" customWidth="1"/>
    <col min="6658" max="6658" width="18.7109375" customWidth="1"/>
    <col min="6659" max="6659" width="9.42578125" customWidth="1"/>
    <col min="6660" max="6660" width="23" customWidth="1"/>
    <col min="6912" max="6912" width="5.42578125" customWidth="1"/>
    <col min="6913" max="6913" width="22.7109375" customWidth="1"/>
    <col min="6914" max="6914" width="18.7109375" customWidth="1"/>
    <col min="6915" max="6915" width="9.42578125" customWidth="1"/>
    <col min="6916" max="6916" width="23" customWidth="1"/>
    <col min="7168" max="7168" width="5.42578125" customWidth="1"/>
    <col min="7169" max="7169" width="22.7109375" customWidth="1"/>
    <col min="7170" max="7170" width="18.7109375" customWidth="1"/>
    <col min="7171" max="7171" width="9.42578125" customWidth="1"/>
    <col min="7172" max="7172" width="23" customWidth="1"/>
    <col min="7424" max="7424" width="5.42578125" customWidth="1"/>
    <col min="7425" max="7425" width="22.7109375" customWidth="1"/>
    <col min="7426" max="7426" width="18.7109375" customWidth="1"/>
    <col min="7427" max="7427" width="9.42578125" customWidth="1"/>
    <col min="7428" max="7428" width="23" customWidth="1"/>
    <col min="7680" max="7680" width="5.42578125" customWidth="1"/>
    <col min="7681" max="7681" width="22.7109375" customWidth="1"/>
    <col min="7682" max="7682" width="18.7109375" customWidth="1"/>
    <col min="7683" max="7683" width="9.42578125" customWidth="1"/>
    <col min="7684" max="7684" width="23" customWidth="1"/>
    <col min="7936" max="7936" width="5.42578125" customWidth="1"/>
    <col min="7937" max="7937" width="22.7109375" customWidth="1"/>
    <col min="7938" max="7938" width="18.7109375" customWidth="1"/>
    <col min="7939" max="7939" width="9.42578125" customWidth="1"/>
    <col min="7940" max="7940" width="23" customWidth="1"/>
    <col min="8192" max="8192" width="5.42578125" customWidth="1"/>
    <col min="8193" max="8193" width="22.7109375" customWidth="1"/>
    <col min="8194" max="8194" width="18.7109375" customWidth="1"/>
    <col min="8195" max="8195" width="9.42578125" customWidth="1"/>
    <col min="8196" max="8196" width="23" customWidth="1"/>
    <col min="8448" max="8448" width="5.42578125" customWidth="1"/>
    <col min="8449" max="8449" width="22.7109375" customWidth="1"/>
    <col min="8450" max="8450" width="18.7109375" customWidth="1"/>
    <col min="8451" max="8451" width="9.42578125" customWidth="1"/>
    <col min="8452" max="8452" width="23" customWidth="1"/>
    <col min="8704" max="8704" width="5.42578125" customWidth="1"/>
    <col min="8705" max="8705" width="22.7109375" customWidth="1"/>
    <col min="8706" max="8706" width="18.7109375" customWidth="1"/>
    <col min="8707" max="8707" width="9.42578125" customWidth="1"/>
    <col min="8708" max="8708" width="23" customWidth="1"/>
    <col min="8960" max="8960" width="5.42578125" customWidth="1"/>
    <col min="8961" max="8961" width="22.7109375" customWidth="1"/>
    <col min="8962" max="8962" width="18.7109375" customWidth="1"/>
    <col min="8963" max="8963" width="9.42578125" customWidth="1"/>
    <col min="8964" max="8964" width="23" customWidth="1"/>
    <col min="9216" max="9216" width="5.42578125" customWidth="1"/>
    <col min="9217" max="9217" width="22.7109375" customWidth="1"/>
    <col min="9218" max="9218" width="18.7109375" customWidth="1"/>
    <col min="9219" max="9219" width="9.42578125" customWidth="1"/>
    <col min="9220" max="9220" width="23" customWidth="1"/>
    <col min="9472" max="9472" width="5.42578125" customWidth="1"/>
    <col min="9473" max="9473" width="22.7109375" customWidth="1"/>
    <col min="9474" max="9474" width="18.7109375" customWidth="1"/>
    <col min="9475" max="9475" width="9.42578125" customWidth="1"/>
    <col min="9476" max="9476" width="23" customWidth="1"/>
    <col min="9728" max="9728" width="5.42578125" customWidth="1"/>
    <col min="9729" max="9729" width="22.7109375" customWidth="1"/>
    <col min="9730" max="9730" width="18.7109375" customWidth="1"/>
    <col min="9731" max="9731" width="9.42578125" customWidth="1"/>
    <col min="9732" max="9732" width="23" customWidth="1"/>
    <col min="9984" max="9984" width="5.42578125" customWidth="1"/>
    <col min="9985" max="9985" width="22.7109375" customWidth="1"/>
    <col min="9986" max="9986" width="18.7109375" customWidth="1"/>
    <col min="9987" max="9987" width="9.42578125" customWidth="1"/>
    <col min="9988" max="9988" width="23" customWidth="1"/>
    <col min="10240" max="10240" width="5.42578125" customWidth="1"/>
    <col min="10241" max="10241" width="22.7109375" customWidth="1"/>
    <col min="10242" max="10242" width="18.7109375" customWidth="1"/>
    <col min="10243" max="10243" width="9.42578125" customWidth="1"/>
    <col min="10244" max="10244" width="23" customWidth="1"/>
    <col min="10496" max="10496" width="5.42578125" customWidth="1"/>
    <col min="10497" max="10497" width="22.7109375" customWidth="1"/>
    <col min="10498" max="10498" width="18.7109375" customWidth="1"/>
    <col min="10499" max="10499" width="9.42578125" customWidth="1"/>
    <col min="10500" max="10500" width="23" customWidth="1"/>
    <col min="10752" max="10752" width="5.42578125" customWidth="1"/>
    <col min="10753" max="10753" width="22.7109375" customWidth="1"/>
    <col min="10754" max="10754" width="18.7109375" customWidth="1"/>
    <col min="10755" max="10755" width="9.42578125" customWidth="1"/>
    <col min="10756" max="10756" width="23" customWidth="1"/>
    <col min="11008" max="11008" width="5.42578125" customWidth="1"/>
    <col min="11009" max="11009" width="22.7109375" customWidth="1"/>
    <col min="11010" max="11010" width="18.7109375" customWidth="1"/>
    <col min="11011" max="11011" width="9.42578125" customWidth="1"/>
    <col min="11012" max="11012" width="23" customWidth="1"/>
    <col min="11264" max="11264" width="5.42578125" customWidth="1"/>
    <col min="11265" max="11265" width="22.7109375" customWidth="1"/>
    <col min="11266" max="11266" width="18.7109375" customWidth="1"/>
    <col min="11267" max="11267" width="9.42578125" customWidth="1"/>
    <col min="11268" max="11268" width="23" customWidth="1"/>
    <col min="11520" max="11520" width="5.42578125" customWidth="1"/>
    <col min="11521" max="11521" width="22.7109375" customWidth="1"/>
    <col min="11522" max="11522" width="18.7109375" customWidth="1"/>
    <col min="11523" max="11523" width="9.42578125" customWidth="1"/>
    <col min="11524" max="11524" width="23" customWidth="1"/>
    <col min="11776" max="11776" width="5.42578125" customWidth="1"/>
    <col min="11777" max="11777" width="22.7109375" customWidth="1"/>
    <col min="11778" max="11778" width="18.7109375" customWidth="1"/>
    <col min="11779" max="11779" width="9.42578125" customWidth="1"/>
    <col min="11780" max="11780" width="23" customWidth="1"/>
    <col min="12032" max="12032" width="5.42578125" customWidth="1"/>
    <col min="12033" max="12033" width="22.7109375" customWidth="1"/>
    <col min="12034" max="12034" width="18.7109375" customWidth="1"/>
    <col min="12035" max="12035" width="9.42578125" customWidth="1"/>
    <col min="12036" max="12036" width="23" customWidth="1"/>
    <col min="12288" max="12288" width="5.42578125" customWidth="1"/>
    <col min="12289" max="12289" width="22.7109375" customWidth="1"/>
    <col min="12290" max="12290" width="18.7109375" customWidth="1"/>
    <col min="12291" max="12291" width="9.42578125" customWidth="1"/>
    <col min="12292" max="12292" width="23" customWidth="1"/>
    <col min="12544" max="12544" width="5.42578125" customWidth="1"/>
    <col min="12545" max="12545" width="22.7109375" customWidth="1"/>
    <col min="12546" max="12546" width="18.7109375" customWidth="1"/>
    <col min="12547" max="12547" width="9.42578125" customWidth="1"/>
    <col min="12548" max="12548" width="23" customWidth="1"/>
    <col min="12800" max="12800" width="5.42578125" customWidth="1"/>
    <col min="12801" max="12801" width="22.7109375" customWidth="1"/>
    <col min="12802" max="12802" width="18.7109375" customWidth="1"/>
    <col min="12803" max="12803" width="9.42578125" customWidth="1"/>
    <col min="12804" max="12804" width="23" customWidth="1"/>
    <col min="13056" max="13056" width="5.42578125" customWidth="1"/>
    <col min="13057" max="13057" width="22.7109375" customWidth="1"/>
    <col min="13058" max="13058" width="18.7109375" customWidth="1"/>
    <col min="13059" max="13059" width="9.42578125" customWidth="1"/>
    <col min="13060" max="13060" width="23" customWidth="1"/>
    <col min="13312" max="13312" width="5.42578125" customWidth="1"/>
    <col min="13313" max="13313" width="22.7109375" customWidth="1"/>
    <col min="13314" max="13314" width="18.7109375" customWidth="1"/>
    <col min="13315" max="13315" width="9.42578125" customWidth="1"/>
    <col min="13316" max="13316" width="23" customWidth="1"/>
    <col min="13568" max="13568" width="5.42578125" customWidth="1"/>
    <col min="13569" max="13569" width="22.7109375" customWidth="1"/>
    <col min="13570" max="13570" width="18.7109375" customWidth="1"/>
    <col min="13571" max="13571" width="9.42578125" customWidth="1"/>
    <col min="13572" max="13572" width="23" customWidth="1"/>
    <col min="13824" max="13824" width="5.42578125" customWidth="1"/>
    <col min="13825" max="13825" width="22.7109375" customWidth="1"/>
    <col min="13826" max="13826" width="18.7109375" customWidth="1"/>
    <col min="13827" max="13827" width="9.42578125" customWidth="1"/>
    <col min="13828" max="13828" width="23" customWidth="1"/>
    <col min="14080" max="14080" width="5.42578125" customWidth="1"/>
    <col min="14081" max="14081" width="22.7109375" customWidth="1"/>
    <col min="14082" max="14082" width="18.7109375" customWidth="1"/>
    <col min="14083" max="14083" width="9.42578125" customWidth="1"/>
    <col min="14084" max="14084" width="23" customWidth="1"/>
    <col min="14336" max="14336" width="5.42578125" customWidth="1"/>
    <col min="14337" max="14337" width="22.7109375" customWidth="1"/>
    <col min="14338" max="14338" width="18.7109375" customWidth="1"/>
    <col min="14339" max="14339" width="9.42578125" customWidth="1"/>
    <col min="14340" max="14340" width="23" customWidth="1"/>
    <col min="14592" max="14592" width="5.42578125" customWidth="1"/>
    <col min="14593" max="14593" width="22.7109375" customWidth="1"/>
    <col min="14594" max="14594" width="18.7109375" customWidth="1"/>
    <col min="14595" max="14595" width="9.42578125" customWidth="1"/>
    <col min="14596" max="14596" width="23" customWidth="1"/>
    <col min="14848" max="14848" width="5.42578125" customWidth="1"/>
    <col min="14849" max="14849" width="22.7109375" customWidth="1"/>
    <col min="14850" max="14850" width="18.7109375" customWidth="1"/>
    <col min="14851" max="14851" width="9.42578125" customWidth="1"/>
    <col min="14852" max="14852" width="23" customWidth="1"/>
    <col min="15104" max="15104" width="5.42578125" customWidth="1"/>
    <col min="15105" max="15105" width="22.7109375" customWidth="1"/>
    <col min="15106" max="15106" width="18.7109375" customWidth="1"/>
    <col min="15107" max="15107" width="9.42578125" customWidth="1"/>
    <col min="15108" max="15108" width="23" customWidth="1"/>
    <col min="15360" max="15360" width="5.42578125" customWidth="1"/>
    <col min="15361" max="15361" width="22.7109375" customWidth="1"/>
    <col min="15362" max="15362" width="18.7109375" customWidth="1"/>
    <col min="15363" max="15363" width="9.42578125" customWidth="1"/>
    <col min="15364" max="15364" width="23" customWidth="1"/>
    <col min="15616" max="15616" width="5.42578125" customWidth="1"/>
    <col min="15617" max="15617" width="22.7109375" customWidth="1"/>
    <col min="15618" max="15618" width="18.7109375" customWidth="1"/>
    <col min="15619" max="15619" width="9.42578125" customWidth="1"/>
    <col min="15620" max="15620" width="23" customWidth="1"/>
    <col min="15872" max="15872" width="5.42578125" customWidth="1"/>
    <col min="15873" max="15873" width="22.7109375" customWidth="1"/>
    <col min="15874" max="15874" width="18.7109375" customWidth="1"/>
    <col min="15875" max="15875" width="9.42578125" customWidth="1"/>
    <col min="15876" max="15876" width="23" customWidth="1"/>
    <col min="16128" max="16128" width="5.42578125" customWidth="1"/>
    <col min="16129" max="16129" width="22.7109375" customWidth="1"/>
    <col min="16130" max="16130" width="18.7109375" customWidth="1"/>
    <col min="16131" max="16131" width="9.42578125" customWidth="1"/>
    <col min="16132" max="16132" width="23" customWidth="1"/>
  </cols>
  <sheetData>
    <row r="1" spans="1:25" x14ac:dyDescent="0.25">
      <c r="A1" s="273" t="s">
        <v>324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</row>
    <row r="2" spans="1:25" x14ac:dyDescent="0.25">
      <c r="A2" t="s">
        <v>53</v>
      </c>
    </row>
    <row r="3" spans="1:25" x14ac:dyDescent="0.25">
      <c r="A3" s="275" t="s">
        <v>53</v>
      </c>
      <c r="B3" s="275" t="s">
        <v>53</v>
      </c>
      <c r="C3" s="275" t="s">
        <v>53</v>
      </c>
      <c r="D3" s="275" t="s">
        <v>53</v>
      </c>
      <c r="E3" s="88" t="s">
        <v>325</v>
      </c>
      <c r="F3" t="s">
        <v>342</v>
      </c>
    </row>
    <row r="4" spans="1:25" x14ac:dyDescent="0.25">
      <c r="A4" s="275" t="s">
        <v>326</v>
      </c>
      <c r="B4" s="275" t="s">
        <v>327</v>
      </c>
      <c r="C4" s="275" t="s">
        <v>328</v>
      </c>
      <c r="D4" s="88" t="s">
        <v>329</v>
      </c>
      <c r="E4" s="89">
        <v>100.16</v>
      </c>
      <c r="F4">
        <f>E4/100</f>
        <v>1.0016</v>
      </c>
    </row>
    <row r="5" spans="1:25" x14ac:dyDescent="0.25">
      <c r="A5" s="275" t="s">
        <v>326</v>
      </c>
      <c r="B5" s="275" t="s">
        <v>327</v>
      </c>
      <c r="C5" s="275" t="s">
        <v>328</v>
      </c>
      <c r="D5" s="88" t="s">
        <v>330</v>
      </c>
      <c r="E5" s="89">
        <v>100.59</v>
      </c>
      <c r="F5">
        <f t="shared" ref="F5:F23" si="0">E5/100</f>
        <v>1.0059</v>
      </c>
    </row>
    <row r="6" spans="1:25" x14ac:dyDescent="0.25">
      <c r="A6" s="275" t="s">
        <v>326</v>
      </c>
      <c r="B6" s="275" t="s">
        <v>327</v>
      </c>
      <c r="C6" s="275" t="s">
        <v>328</v>
      </c>
      <c r="D6" s="88" t="s">
        <v>331</v>
      </c>
      <c r="E6" s="89">
        <v>100.14</v>
      </c>
      <c r="F6">
        <f t="shared" si="0"/>
        <v>1.0014000000000001</v>
      </c>
    </row>
    <row r="7" spans="1:25" x14ac:dyDescent="0.25">
      <c r="A7" s="275" t="s">
        <v>326</v>
      </c>
      <c r="B7" s="275" t="s">
        <v>327</v>
      </c>
      <c r="C7" s="275" t="s">
        <v>328</v>
      </c>
      <c r="D7" s="88" t="s">
        <v>332</v>
      </c>
      <c r="E7" s="89">
        <v>100.42</v>
      </c>
      <c r="F7">
        <f t="shared" si="0"/>
        <v>1.0042</v>
      </c>
    </row>
    <row r="8" spans="1:25" x14ac:dyDescent="0.25">
      <c r="A8" s="275" t="s">
        <v>326</v>
      </c>
      <c r="B8" s="275" t="s">
        <v>327</v>
      </c>
      <c r="C8" s="275" t="s">
        <v>328</v>
      </c>
      <c r="D8" s="88" t="s">
        <v>333</v>
      </c>
      <c r="E8" s="89">
        <v>100.47</v>
      </c>
      <c r="F8">
        <f t="shared" si="0"/>
        <v>1.0046999999999999</v>
      </c>
    </row>
    <row r="9" spans="1:25" x14ac:dyDescent="0.25">
      <c r="A9" s="275" t="s">
        <v>326</v>
      </c>
      <c r="B9" s="275" t="s">
        <v>327</v>
      </c>
      <c r="C9" s="275" t="s">
        <v>328</v>
      </c>
      <c r="D9" s="88" t="s">
        <v>334</v>
      </c>
      <c r="E9" s="89">
        <v>100.21</v>
      </c>
      <c r="F9">
        <f t="shared" si="0"/>
        <v>1.0021</v>
      </c>
    </row>
    <row r="10" spans="1:25" x14ac:dyDescent="0.25">
      <c r="A10" s="275" t="s">
        <v>326</v>
      </c>
      <c r="B10" s="275" t="s">
        <v>327</v>
      </c>
      <c r="C10" s="275" t="s">
        <v>328</v>
      </c>
      <c r="D10" s="88" t="s">
        <v>335</v>
      </c>
      <c r="E10" s="89">
        <v>100.45</v>
      </c>
      <c r="F10">
        <f t="shared" si="0"/>
        <v>1.0044999999999999</v>
      </c>
    </row>
    <row r="11" spans="1:25" x14ac:dyDescent="0.25">
      <c r="A11" s="275" t="s">
        <v>326</v>
      </c>
      <c r="B11" s="275" t="s">
        <v>327</v>
      </c>
      <c r="C11" s="275" t="s">
        <v>328</v>
      </c>
      <c r="D11" s="88" t="s">
        <v>336</v>
      </c>
      <c r="E11" s="89">
        <v>100.32</v>
      </c>
      <c r="F11">
        <f t="shared" si="0"/>
        <v>1.0032000000000001</v>
      </c>
    </row>
    <row r="12" spans="1:25" x14ac:dyDescent="0.25">
      <c r="A12" s="275" t="s">
        <v>326</v>
      </c>
      <c r="B12" s="275" t="s">
        <v>327</v>
      </c>
      <c r="C12" s="275" t="s">
        <v>328</v>
      </c>
      <c r="D12" s="88" t="s">
        <v>337</v>
      </c>
      <c r="E12" s="89">
        <v>100.49</v>
      </c>
      <c r="F12">
        <f t="shared" si="0"/>
        <v>1.0048999999999999</v>
      </c>
    </row>
    <row r="13" spans="1:25" x14ac:dyDescent="0.25">
      <c r="A13" s="275" t="s">
        <v>326</v>
      </c>
      <c r="B13" s="275" t="s">
        <v>327</v>
      </c>
      <c r="C13" s="275" t="s">
        <v>328</v>
      </c>
      <c r="D13" s="88" t="s">
        <v>338</v>
      </c>
      <c r="E13" s="89">
        <v>100.64</v>
      </c>
      <c r="F13">
        <f t="shared" si="0"/>
        <v>1.0064</v>
      </c>
    </row>
    <row r="14" spans="1:25" x14ac:dyDescent="0.25">
      <c r="A14" s="275" t="s">
        <v>326</v>
      </c>
      <c r="B14" s="275" t="s">
        <v>327</v>
      </c>
      <c r="C14" s="275" t="s">
        <v>328</v>
      </c>
      <c r="D14" s="88" t="s">
        <v>339</v>
      </c>
      <c r="E14" s="89">
        <v>100.62</v>
      </c>
      <c r="F14">
        <f t="shared" si="0"/>
        <v>1.0062</v>
      </c>
    </row>
    <row r="15" spans="1:25" x14ac:dyDescent="0.25">
      <c r="A15" s="275" t="s">
        <v>326</v>
      </c>
      <c r="B15" s="275" t="s">
        <v>327</v>
      </c>
      <c r="C15" s="275" t="s">
        <v>328</v>
      </c>
      <c r="D15" s="88" t="s">
        <v>340</v>
      </c>
      <c r="E15" s="89">
        <v>100.48</v>
      </c>
      <c r="F15">
        <f t="shared" si="0"/>
        <v>1.0047999999999999</v>
      </c>
    </row>
    <row r="16" spans="1:25" ht="15" customHeight="1" x14ac:dyDescent="0.25">
      <c r="A16" s="278" t="s">
        <v>341</v>
      </c>
      <c r="B16" s="278" t="s">
        <v>327</v>
      </c>
      <c r="C16" s="276" t="s">
        <v>328</v>
      </c>
      <c r="D16" s="88" t="s">
        <v>329</v>
      </c>
      <c r="E16" s="89">
        <v>100.36</v>
      </c>
      <c r="F16">
        <f t="shared" si="0"/>
        <v>1.0036</v>
      </c>
    </row>
    <row r="17" spans="1:11" ht="15" customHeight="1" x14ac:dyDescent="0.25">
      <c r="A17" s="279"/>
      <c r="B17" s="279"/>
      <c r="C17" s="277"/>
      <c r="D17" s="88" t="s">
        <v>330</v>
      </c>
      <c r="E17" s="89">
        <v>99.08</v>
      </c>
      <c r="F17">
        <f t="shared" si="0"/>
        <v>0.99080000000000001</v>
      </c>
    </row>
    <row r="18" spans="1:11" ht="15" customHeight="1" x14ac:dyDescent="0.25">
      <c r="A18" s="279"/>
      <c r="B18" s="279"/>
      <c r="C18" s="277"/>
      <c r="D18" s="88" t="s">
        <v>331</v>
      </c>
      <c r="E18" s="89">
        <v>99.87</v>
      </c>
      <c r="F18">
        <f t="shared" si="0"/>
        <v>0.99870000000000003</v>
      </c>
    </row>
    <row r="19" spans="1:11" ht="15" customHeight="1" x14ac:dyDescent="0.25">
      <c r="A19" s="279"/>
      <c r="B19" s="279"/>
      <c r="C19" s="277"/>
      <c r="D19" s="88" t="s">
        <v>332</v>
      </c>
      <c r="E19" s="89">
        <v>98.37</v>
      </c>
      <c r="F19">
        <f t="shared" si="0"/>
        <v>0.98370000000000002</v>
      </c>
    </row>
    <row r="20" spans="1:11" ht="15" customHeight="1" x14ac:dyDescent="0.25">
      <c r="A20" s="279"/>
      <c r="B20" s="279"/>
      <c r="C20" s="277"/>
      <c r="D20" s="88" t="s">
        <v>333</v>
      </c>
      <c r="E20" s="89">
        <v>101.01</v>
      </c>
      <c r="F20">
        <f t="shared" si="0"/>
        <v>1.0101</v>
      </c>
    </row>
    <row r="21" spans="1:11" ht="15" customHeight="1" x14ac:dyDescent="0.25">
      <c r="A21" s="279"/>
      <c r="B21" s="279"/>
      <c r="C21" s="277"/>
      <c r="D21" s="88" t="s">
        <v>334</v>
      </c>
      <c r="E21" s="89">
        <v>102.25</v>
      </c>
      <c r="F21">
        <f t="shared" si="0"/>
        <v>1.0225</v>
      </c>
    </row>
    <row r="22" spans="1:11" ht="15" customHeight="1" x14ac:dyDescent="0.25">
      <c r="A22" s="279"/>
      <c r="B22" s="279"/>
      <c r="C22" s="277"/>
      <c r="D22" s="88" t="s">
        <v>335</v>
      </c>
      <c r="E22" s="89">
        <v>100.18</v>
      </c>
      <c r="F22">
        <f t="shared" si="0"/>
        <v>1.0018</v>
      </c>
    </row>
    <row r="23" spans="1:11" ht="15" customHeight="1" x14ac:dyDescent="0.25">
      <c r="A23" s="279"/>
      <c r="B23" s="279"/>
      <c r="C23" s="277"/>
      <c r="D23" s="88" t="s">
        <v>336</v>
      </c>
      <c r="E23" s="89">
        <v>99.81</v>
      </c>
      <c r="F23">
        <f t="shared" si="0"/>
        <v>0.99809999999999999</v>
      </c>
    </row>
    <row r="24" spans="1:11" s="175" customFormat="1" x14ac:dyDescent="0.25">
      <c r="A24" s="279"/>
      <c r="B24" s="279"/>
      <c r="C24" s="277"/>
      <c r="D24" s="176" t="s">
        <v>337</v>
      </c>
      <c r="E24" s="89">
        <v>101.28</v>
      </c>
      <c r="F24" s="175">
        <f t="shared" ref="F24" si="1">E24/100</f>
        <v>1.0127999999999999</v>
      </c>
    </row>
    <row r="25" spans="1:11" s="175" customFormat="1" x14ac:dyDescent="0.25">
      <c r="A25" s="279"/>
      <c r="B25" s="279"/>
      <c r="C25" s="277"/>
      <c r="D25" s="176" t="s">
        <v>431</v>
      </c>
      <c r="E25" s="177">
        <f>E24</f>
        <v>101.28</v>
      </c>
      <c r="F25" s="178">
        <f t="shared" ref="F25" si="2">E25/100</f>
        <v>1.0127999999999999</v>
      </c>
    </row>
    <row r="26" spans="1:11" s="181" customFormat="1" x14ac:dyDescent="0.25">
      <c r="A26" s="182" t="s">
        <v>432</v>
      </c>
      <c r="B26" s="179"/>
      <c r="C26" s="179"/>
      <c r="D26" s="179"/>
      <c r="E26" s="180"/>
    </row>
    <row r="28" spans="1:11" ht="15.75" x14ac:dyDescent="0.25">
      <c r="A28" s="272" t="s">
        <v>343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72"/>
    </row>
    <row r="29" spans="1:11" ht="15.75" x14ac:dyDescent="0.25">
      <c r="A29" s="90"/>
      <c r="C29" s="183"/>
      <c r="F29" s="91"/>
      <c r="G29" s="90"/>
      <c r="H29" s="90"/>
      <c r="I29" s="90"/>
      <c r="J29" s="90"/>
      <c r="K29" s="90"/>
    </row>
    <row r="30" spans="1:11" ht="69.75" customHeight="1" x14ac:dyDescent="0.25">
      <c r="A30" s="269" t="s">
        <v>434</v>
      </c>
      <c r="B30" s="270"/>
      <c r="C30" s="271"/>
      <c r="D30" s="267" t="str">
        <f>CONCATENATE(F22,"*",F23,"*",F24,"*",F25)</f>
        <v>1,0018*0,9981*1,0128*1,0128</v>
      </c>
      <c r="E30" s="268"/>
      <c r="F30" s="184">
        <f>F22*F23*F24*F25</f>
        <v>1.0257000000000001</v>
      </c>
      <c r="G30" s="90"/>
      <c r="H30" s="90"/>
      <c r="I30" s="90"/>
      <c r="J30" s="90"/>
      <c r="K30" s="90"/>
    </row>
    <row r="31" spans="1:11" ht="15.75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</row>
    <row r="32" spans="1:11" ht="15.75" x14ac:dyDescent="0.25">
      <c r="A32" s="90"/>
      <c r="B32" s="90"/>
      <c r="C32" s="90"/>
      <c r="D32" s="90"/>
      <c r="E32" s="101"/>
      <c r="F32" s="90"/>
      <c r="G32" s="90"/>
      <c r="H32" s="90"/>
      <c r="I32" s="90"/>
      <c r="J32" s="90"/>
      <c r="K32" s="90"/>
    </row>
  </sheetData>
  <mergeCells count="11">
    <mergeCell ref="D30:E30"/>
    <mergeCell ref="A30:C30"/>
    <mergeCell ref="A28:K28"/>
    <mergeCell ref="A1:Y1"/>
    <mergeCell ref="A3:D3"/>
    <mergeCell ref="A4:A15"/>
    <mergeCell ref="B4:B15"/>
    <mergeCell ref="C4:C15"/>
    <mergeCell ref="C16:C25"/>
    <mergeCell ref="B16:B25"/>
    <mergeCell ref="A16:A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opLeftCell="A19" workbookViewId="0">
      <selection activeCell="F25" sqref="F25"/>
    </sheetView>
  </sheetViews>
  <sheetFormatPr defaultColWidth="9.140625" defaultRowHeight="28.5" customHeight="1" outlineLevelRow="1" x14ac:dyDescent="0.2"/>
  <cols>
    <col min="1" max="1" width="25.7109375" style="102" customWidth="1"/>
    <col min="2" max="2" width="9.140625" style="102"/>
    <col min="3" max="3" width="14.140625" style="102" customWidth="1"/>
    <col min="4" max="4" width="13" style="102" customWidth="1"/>
    <col min="5" max="5" width="21" style="102" customWidth="1"/>
    <col min="6" max="7" width="13.42578125" style="102" customWidth="1"/>
    <col min="8" max="8" width="14" style="102" customWidth="1"/>
    <col min="9" max="9" width="10.140625" style="102" bestFit="1" customWidth="1"/>
    <col min="10" max="10" width="9.140625" style="102"/>
    <col min="11" max="11" width="10.140625" style="102" bestFit="1" customWidth="1"/>
    <col min="12" max="24" width="9.140625" style="102"/>
    <col min="25" max="25" width="12.42578125" style="102" customWidth="1"/>
    <col min="26" max="16384" width="9.140625" style="102"/>
  </cols>
  <sheetData>
    <row r="1" spans="1:8" ht="12.75" x14ac:dyDescent="0.2">
      <c r="A1" s="280" t="s">
        <v>344</v>
      </c>
      <c r="B1" s="280"/>
      <c r="C1" s="280"/>
      <c r="D1" s="280"/>
      <c r="E1" s="280"/>
      <c r="F1" s="280"/>
    </row>
    <row r="3" spans="1:8" ht="12.75" x14ac:dyDescent="0.2">
      <c r="A3" s="103" t="s">
        <v>345</v>
      </c>
    </row>
    <row r="5" spans="1:8" s="187" customFormat="1" ht="15.75" outlineLevel="1" x14ac:dyDescent="0.25">
      <c r="A5" s="281" t="s">
        <v>433</v>
      </c>
      <c r="B5" s="281"/>
      <c r="C5" s="281"/>
      <c r="D5" s="281"/>
      <c r="E5" s="281"/>
      <c r="F5" s="185">
        <v>45962</v>
      </c>
      <c r="G5" s="186">
        <v>46022</v>
      </c>
      <c r="H5" s="187" t="s">
        <v>435</v>
      </c>
    </row>
    <row r="6" spans="1:8" s="187" customFormat="1" ht="15.75" outlineLevel="1" x14ac:dyDescent="0.25">
      <c r="A6" s="282" t="s">
        <v>436</v>
      </c>
      <c r="B6" s="283"/>
      <c r="C6" s="283"/>
      <c r="D6" s="283"/>
      <c r="E6" s="284"/>
      <c r="F6" s="188">
        <f>ROUNDUP((F8-F7)/30.5,1)</f>
        <v>4</v>
      </c>
    </row>
    <row r="7" spans="1:8" s="187" customFormat="1" ht="15.75" outlineLevel="1" x14ac:dyDescent="0.25">
      <c r="A7" s="282" t="s">
        <v>437</v>
      </c>
      <c r="B7" s="283"/>
      <c r="C7" s="283"/>
      <c r="D7" s="283"/>
      <c r="E7" s="284"/>
      <c r="F7" s="185">
        <v>46037</v>
      </c>
      <c r="G7" s="189">
        <v>46023</v>
      </c>
      <c r="H7" s="187" t="s">
        <v>438</v>
      </c>
    </row>
    <row r="8" spans="1:8" s="187" customFormat="1" ht="15.75" outlineLevel="1" x14ac:dyDescent="0.25">
      <c r="A8" s="282" t="s">
        <v>439</v>
      </c>
      <c r="B8" s="283"/>
      <c r="C8" s="283"/>
      <c r="D8" s="283"/>
      <c r="E8" s="284"/>
      <c r="F8" s="185">
        <v>46157</v>
      </c>
      <c r="G8" s="186"/>
    </row>
    <row r="9" spans="1:8" s="187" customFormat="1" ht="35.25" customHeight="1" outlineLevel="1" x14ac:dyDescent="0.25">
      <c r="A9" s="285" t="s">
        <v>440</v>
      </c>
      <c r="B9" s="285"/>
      <c r="C9" s="285"/>
      <c r="D9" s="285"/>
      <c r="E9" s="285"/>
      <c r="F9" s="190">
        <v>1.0740000000000001</v>
      </c>
    </row>
    <row r="10" spans="1:8" s="187" customFormat="1" ht="15.75" outlineLevel="1" x14ac:dyDescent="0.25">
      <c r="A10" s="286" t="s">
        <v>441</v>
      </c>
      <c r="B10" s="286"/>
      <c r="C10" s="286"/>
      <c r="D10" s="191">
        <f>F9</f>
        <v>1.0740000000000001</v>
      </c>
      <c r="E10" s="192" t="s">
        <v>442</v>
      </c>
      <c r="F10" s="193">
        <f>F9^(1/12)</f>
        <v>1.006</v>
      </c>
    </row>
    <row r="11" spans="1:8" s="187" customFormat="1" ht="33" customHeight="1" outlineLevel="1" x14ac:dyDescent="0.25">
      <c r="A11" s="285" t="s">
        <v>443</v>
      </c>
      <c r="B11" s="285"/>
      <c r="C11" s="285"/>
      <c r="D11" s="285"/>
      <c r="E11" s="285"/>
      <c r="F11" s="190">
        <v>1.0549999999999999</v>
      </c>
    </row>
    <row r="12" spans="1:8" s="187" customFormat="1" ht="15.75" outlineLevel="1" x14ac:dyDescent="0.25">
      <c r="A12" s="286" t="s">
        <v>444</v>
      </c>
      <c r="B12" s="286"/>
      <c r="C12" s="286"/>
      <c r="D12" s="191">
        <f>F11</f>
        <v>1.0549999999999999</v>
      </c>
      <c r="E12" s="192" t="s">
        <v>442</v>
      </c>
      <c r="F12" s="193">
        <f>F11^(1/12)</f>
        <v>1.0044999999999999</v>
      </c>
    </row>
    <row r="13" spans="1:8" s="187" customFormat="1" ht="34.5" customHeight="1" outlineLevel="1" x14ac:dyDescent="0.25">
      <c r="A13" s="287" t="s">
        <v>445</v>
      </c>
      <c r="B13" s="288"/>
      <c r="C13" s="289" t="str">
        <f>CONCATENATE(F10,"^",ROUNDUP((G5-F5)/30.5,1),"*",F12,"^",ROUNDUP((F7-G7)/30.5,1),"*((",F12,"^",ROUNDUP((F8-F7)/30.5,1),"-1)/2+1)")</f>
        <v>1,006^2*1,0045^0,5*((1,0045^4-1)/2+1)</v>
      </c>
      <c r="D13" s="290"/>
      <c r="E13" s="291"/>
      <c r="F13" s="194">
        <f>F10^ROUNDUP((G5-F5)/30.5,1)*F12^ROUNDUP((F7-G7)/30.5,1)*((F12^ROUNDUP((F8-F7)/30.5,1)-1)/2+1)</f>
        <v>1.0235000000000001</v>
      </c>
      <c r="H13" s="195"/>
    </row>
    <row r="14" spans="1:8" s="107" customFormat="1" ht="15.75" outlineLevel="1" x14ac:dyDescent="0.25">
      <c r="A14" s="104"/>
      <c r="B14" s="104"/>
      <c r="C14" s="105"/>
      <c r="D14" s="105"/>
      <c r="E14" s="105"/>
      <c r="F14" s="106"/>
      <c r="H14" s="108"/>
    </row>
    <row r="15" spans="1:8" ht="12.75" x14ac:dyDescent="0.2">
      <c r="A15" s="103" t="s">
        <v>346</v>
      </c>
    </row>
    <row r="17" spans="1:25" s="187" customFormat="1" ht="15.75" outlineLevel="1" x14ac:dyDescent="0.25">
      <c r="A17" s="281" t="s">
        <v>433</v>
      </c>
      <c r="B17" s="281"/>
      <c r="C17" s="281"/>
      <c r="D17" s="281"/>
      <c r="E17" s="281"/>
      <c r="F17" s="185">
        <v>45962</v>
      </c>
      <c r="G17" s="186">
        <v>46022</v>
      </c>
      <c r="H17" s="187" t="s">
        <v>435</v>
      </c>
    </row>
    <row r="18" spans="1:25" s="187" customFormat="1" ht="15.75" outlineLevel="1" x14ac:dyDescent="0.25">
      <c r="A18" s="282" t="s">
        <v>436</v>
      </c>
      <c r="B18" s="283"/>
      <c r="C18" s="283"/>
      <c r="D18" s="283"/>
      <c r="E18" s="284"/>
      <c r="F18" s="188">
        <f>ROUNDUP((F20-F19)/30.5,1)</f>
        <v>2</v>
      </c>
    </row>
    <row r="19" spans="1:25" s="187" customFormat="1" ht="15.75" outlineLevel="1" x14ac:dyDescent="0.25">
      <c r="A19" s="282" t="s">
        <v>437</v>
      </c>
      <c r="B19" s="283"/>
      <c r="C19" s="283"/>
      <c r="D19" s="283"/>
      <c r="E19" s="284"/>
      <c r="F19" s="185">
        <v>46082</v>
      </c>
      <c r="G19" s="189">
        <v>46023</v>
      </c>
      <c r="H19" s="187" t="s">
        <v>438</v>
      </c>
    </row>
    <row r="20" spans="1:25" s="187" customFormat="1" ht="15.75" outlineLevel="1" x14ac:dyDescent="0.25">
      <c r="A20" s="282" t="s">
        <v>439</v>
      </c>
      <c r="B20" s="283"/>
      <c r="C20" s="283"/>
      <c r="D20" s="283"/>
      <c r="E20" s="284"/>
      <c r="F20" s="185">
        <v>46142</v>
      </c>
      <c r="G20" s="186"/>
    </row>
    <row r="21" spans="1:25" s="187" customFormat="1" ht="35.25" customHeight="1" outlineLevel="1" x14ac:dyDescent="0.25">
      <c r="A21" s="285" t="s">
        <v>440</v>
      </c>
      <c r="B21" s="285"/>
      <c r="C21" s="285"/>
      <c r="D21" s="285"/>
      <c r="E21" s="285"/>
      <c r="F21" s="190">
        <v>1.0740000000000001</v>
      </c>
    </row>
    <row r="22" spans="1:25" s="187" customFormat="1" ht="15.75" outlineLevel="1" x14ac:dyDescent="0.25">
      <c r="A22" s="286" t="s">
        <v>441</v>
      </c>
      <c r="B22" s="286"/>
      <c r="C22" s="286"/>
      <c r="D22" s="191">
        <f>F21</f>
        <v>1.0740000000000001</v>
      </c>
      <c r="E22" s="192" t="s">
        <v>442</v>
      </c>
      <c r="F22" s="193">
        <f>F21^(1/12)</f>
        <v>1.006</v>
      </c>
    </row>
    <row r="23" spans="1:25" s="187" customFormat="1" ht="33" customHeight="1" outlineLevel="1" x14ac:dyDescent="0.25">
      <c r="A23" s="285" t="s">
        <v>443</v>
      </c>
      <c r="B23" s="285"/>
      <c r="C23" s="285"/>
      <c r="D23" s="285"/>
      <c r="E23" s="285"/>
      <c r="F23" s="190">
        <v>1.0549999999999999</v>
      </c>
    </row>
    <row r="24" spans="1:25" s="187" customFormat="1" ht="15.75" outlineLevel="1" x14ac:dyDescent="0.25">
      <c r="A24" s="286" t="s">
        <v>444</v>
      </c>
      <c r="B24" s="286"/>
      <c r="C24" s="286"/>
      <c r="D24" s="191">
        <f>F23</f>
        <v>1.0549999999999999</v>
      </c>
      <c r="E24" s="192" t="s">
        <v>442</v>
      </c>
      <c r="F24" s="193">
        <f>F23^(1/12)</f>
        <v>1.0044999999999999</v>
      </c>
    </row>
    <row r="25" spans="1:25" s="187" customFormat="1" ht="34.5" customHeight="1" outlineLevel="1" x14ac:dyDescent="0.25">
      <c r="A25" s="287" t="s">
        <v>445</v>
      </c>
      <c r="B25" s="288"/>
      <c r="C25" s="289" t="str">
        <f>CONCATENATE(F22,"^",ROUNDUP((G17-F17)/30.5,1),"*",F24,"^",ROUNDUP((F19-G19)/30.5,1),"*((",F24,"^",ROUNDUP((F20-F19)/30.5,1),"-1)/2+1)")</f>
        <v>1,006^2*1,0045^2*((1,0045^2-1)/2+1)</v>
      </c>
      <c r="D25" s="290"/>
      <c r="E25" s="291"/>
      <c r="F25" s="194">
        <f>F22^ROUNDUP((G17-F17)/30.5,1)*F24^ROUNDUP((F19-G19)/30.5,1)*((F24^ROUNDUP((F20-F19)/30.5,1)-1)/2+1)</f>
        <v>1.0258</v>
      </c>
      <c r="H25" s="195"/>
    </row>
    <row r="27" spans="1:25" ht="15.75" x14ac:dyDescent="0.2">
      <c r="A27" s="109" t="s">
        <v>347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</row>
    <row r="28" spans="1:25" ht="15.75" x14ac:dyDescent="0.25"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</row>
    <row r="29" spans="1:25" s="198" customFormat="1" ht="15.75" outlineLevel="1" x14ac:dyDescent="0.25">
      <c r="A29" s="292" t="s">
        <v>433</v>
      </c>
      <c r="B29" s="292"/>
      <c r="C29" s="292"/>
      <c r="D29" s="292"/>
      <c r="E29" s="292"/>
      <c r="F29" s="196">
        <v>45962</v>
      </c>
      <c r="G29" s="197">
        <v>46022</v>
      </c>
      <c r="H29" s="198" t="s">
        <v>446</v>
      </c>
    </row>
    <row r="30" spans="1:25" s="198" customFormat="1" ht="15.75" outlineLevel="1" x14ac:dyDescent="0.25">
      <c r="A30" s="293" t="s">
        <v>437</v>
      </c>
      <c r="B30" s="294"/>
      <c r="C30" s="294"/>
      <c r="D30" s="294"/>
      <c r="E30" s="295"/>
      <c r="F30" s="196">
        <v>46113</v>
      </c>
      <c r="G30" s="196">
        <v>46387</v>
      </c>
      <c r="H30" s="198" t="s">
        <v>447</v>
      </c>
    </row>
    <row r="31" spans="1:25" s="198" customFormat="1" ht="15.75" outlineLevel="1" x14ac:dyDescent="0.25">
      <c r="A31" s="293" t="s">
        <v>439</v>
      </c>
      <c r="B31" s="294"/>
      <c r="C31" s="294"/>
      <c r="D31" s="294"/>
      <c r="E31" s="295"/>
      <c r="F31" s="196">
        <v>46738</v>
      </c>
      <c r="G31" s="196">
        <v>46388</v>
      </c>
      <c r="H31" s="198" t="s">
        <v>448</v>
      </c>
      <c r="J31" s="222"/>
    </row>
    <row r="32" spans="1:25" s="198" customFormat="1" ht="15.75" outlineLevel="1" x14ac:dyDescent="0.25">
      <c r="A32" s="293" t="s">
        <v>436</v>
      </c>
      <c r="B32" s="294"/>
      <c r="C32" s="294"/>
      <c r="D32" s="294"/>
      <c r="E32" s="295"/>
      <c r="F32" s="199">
        <f>ROUNDUP((F31-F30)/30.5,1)</f>
        <v>20.5</v>
      </c>
    </row>
    <row r="33" spans="1:8" s="198" customFormat="1" ht="15.75" outlineLevel="1" x14ac:dyDescent="0.25">
      <c r="A33" s="296" t="s">
        <v>449</v>
      </c>
      <c r="B33" s="296"/>
      <c r="C33" s="296"/>
      <c r="D33" s="296"/>
      <c r="E33" s="296"/>
      <c r="F33" s="200">
        <f>(G30-F30)/30.5/F32</f>
        <v>0.44</v>
      </c>
    </row>
    <row r="34" spans="1:8" s="198" customFormat="1" ht="15.75" outlineLevel="1" x14ac:dyDescent="0.25">
      <c r="A34" s="297" t="s">
        <v>450</v>
      </c>
      <c r="B34" s="297"/>
      <c r="C34" s="297"/>
      <c r="D34" s="297"/>
      <c r="E34" s="297"/>
      <c r="F34" s="200">
        <f>1-F33</f>
        <v>0.56000000000000005</v>
      </c>
    </row>
    <row r="35" spans="1:8" s="198" customFormat="1" ht="35.25" customHeight="1" outlineLevel="1" x14ac:dyDescent="0.25">
      <c r="A35" s="285" t="s">
        <v>440</v>
      </c>
      <c r="B35" s="285"/>
      <c r="C35" s="285"/>
      <c r="D35" s="285"/>
      <c r="E35" s="285"/>
      <c r="F35" s="190">
        <v>1.0740000000000001</v>
      </c>
    </row>
    <row r="36" spans="1:8" s="198" customFormat="1" ht="15.75" outlineLevel="1" x14ac:dyDescent="0.25">
      <c r="A36" s="286" t="s">
        <v>441</v>
      </c>
      <c r="B36" s="286"/>
      <c r="C36" s="286"/>
      <c r="D36" s="191">
        <f>F35</f>
        <v>1.0740000000000001</v>
      </c>
      <c r="E36" s="192" t="s">
        <v>442</v>
      </c>
      <c r="F36" s="193">
        <f>F35^(1/12)</f>
        <v>1.006</v>
      </c>
    </row>
    <row r="37" spans="1:8" s="198" customFormat="1" ht="35.25" customHeight="1" outlineLevel="1" x14ac:dyDescent="0.25">
      <c r="A37" s="285" t="s">
        <v>443</v>
      </c>
      <c r="B37" s="285"/>
      <c r="C37" s="285"/>
      <c r="D37" s="285"/>
      <c r="E37" s="285"/>
      <c r="F37" s="190">
        <v>1.0549999999999999</v>
      </c>
    </row>
    <row r="38" spans="1:8" s="198" customFormat="1" ht="15.75" outlineLevel="1" x14ac:dyDescent="0.25">
      <c r="A38" s="286" t="s">
        <v>444</v>
      </c>
      <c r="B38" s="286"/>
      <c r="C38" s="286"/>
      <c r="D38" s="191">
        <f>F37</f>
        <v>1.0549999999999999</v>
      </c>
      <c r="E38" s="192" t="s">
        <v>442</v>
      </c>
      <c r="F38" s="193">
        <f>F37^(1/12)</f>
        <v>1.0044999999999999</v>
      </c>
    </row>
    <row r="39" spans="1:8" s="198" customFormat="1" ht="33" customHeight="1" outlineLevel="1" x14ac:dyDescent="0.25">
      <c r="A39" s="285" t="s">
        <v>451</v>
      </c>
      <c r="B39" s="285"/>
      <c r="C39" s="285"/>
      <c r="D39" s="285"/>
      <c r="E39" s="285"/>
      <c r="F39" s="201">
        <v>1.0409999999999999</v>
      </c>
    </row>
    <row r="40" spans="1:8" s="198" customFormat="1" ht="15.75" outlineLevel="1" x14ac:dyDescent="0.25">
      <c r="A40" s="286" t="s">
        <v>452</v>
      </c>
      <c r="B40" s="286"/>
      <c r="C40" s="286"/>
      <c r="D40" s="191">
        <f>F39</f>
        <v>1.0409999999999999</v>
      </c>
      <c r="E40" s="192" t="s">
        <v>442</v>
      </c>
      <c r="F40" s="202">
        <f>F39^(1/12)</f>
        <v>1.0034000000000001</v>
      </c>
    </row>
    <row r="41" spans="1:8" s="198" customFormat="1" ht="38.25" customHeight="1" outlineLevel="1" x14ac:dyDescent="0.25">
      <c r="A41" s="203" t="s">
        <v>453</v>
      </c>
      <c r="B41" s="300" t="str">
        <f>CONCATENATE(F36,"^",ROUND((G29-F29)/30.5,1),"*",F38,"^",ROUND((F30-G29)/30.5,1),"*(1+",F38,"^",ROUNDUP((G30-F30)/30.5,1),")/2")</f>
        <v>1,006^2*1,0045^3*(1+1,0045^9)/2</v>
      </c>
      <c r="C41" s="301"/>
      <c r="D41" s="301"/>
      <c r="E41" s="302"/>
      <c r="F41" s="207">
        <f>F36^ROUND((G29-F29)/30.5,1)*F38^ROUND((F30-G29)/30.5,1)*(1+F38^ROUNDUP((G30-F30)/30.5,1))/2</f>
        <v>1.0468999999999999</v>
      </c>
      <c r="H41" s="204"/>
    </row>
    <row r="42" spans="1:8" s="198" customFormat="1" ht="40.5" customHeight="1" outlineLevel="1" x14ac:dyDescent="0.25">
      <c r="A42" s="203" t="s">
        <v>454</v>
      </c>
      <c r="B42" s="300" t="str">
        <f>CONCATENATE(F36,"^",ROUND((G29-F29)/30.5,1),"*",F38,"^12*(1+",F40,"^",ROUNDUP((F31-G31+1)/30.5,1),")/2")</f>
        <v>1,006^2*1,0045^12*(1+1,0034^11,6)/2</v>
      </c>
      <c r="C42" s="301"/>
      <c r="D42" s="301"/>
      <c r="E42" s="302"/>
      <c r="F42" s="207">
        <f>F36^ROUND((G29-F29)/30.5,1)*F38^12*(1+F40^ROUNDUP((F31-G31+1)/30.5,1))/2</f>
        <v>1.0894999999999999</v>
      </c>
      <c r="H42" s="204"/>
    </row>
    <row r="43" spans="1:8" s="198" customFormat="1" ht="34.5" customHeight="1" outlineLevel="1" x14ac:dyDescent="0.25">
      <c r="A43" s="298" t="s">
        <v>445</v>
      </c>
      <c r="B43" s="299"/>
      <c r="C43" s="300" t="str">
        <f>CONCATENATE(F33,"*",F41,"+",F34,"*",F42)</f>
        <v>0,44*1,0469+0,56*1,0895</v>
      </c>
      <c r="D43" s="301"/>
      <c r="E43" s="302"/>
      <c r="F43" s="205">
        <f>F33*F41+F34*F42</f>
        <v>1.0708</v>
      </c>
      <c r="H43" s="206"/>
    </row>
    <row r="46" spans="1:8" ht="12.75" x14ac:dyDescent="0.2">
      <c r="A46" s="112"/>
    </row>
    <row r="48" spans="1:8" ht="12.75" x14ac:dyDescent="0.2">
      <c r="F48" s="113"/>
    </row>
  </sheetData>
  <mergeCells count="37">
    <mergeCell ref="A43:B43"/>
    <mergeCell ref="C43:E43"/>
    <mergeCell ref="A38:C38"/>
    <mergeCell ref="A39:E39"/>
    <mergeCell ref="A40:C40"/>
    <mergeCell ref="B41:E41"/>
    <mergeCell ref="B42:E42"/>
    <mergeCell ref="A33:E33"/>
    <mergeCell ref="A34:E34"/>
    <mergeCell ref="A35:E35"/>
    <mergeCell ref="A36:C36"/>
    <mergeCell ref="A37:E37"/>
    <mergeCell ref="A29:E29"/>
    <mergeCell ref="A30:E30"/>
    <mergeCell ref="A31:E31"/>
    <mergeCell ref="A32:E32"/>
    <mergeCell ref="A21:E21"/>
    <mergeCell ref="A22:C22"/>
    <mergeCell ref="A23:E23"/>
    <mergeCell ref="A24:C24"/>
    <mergeCell ref="A25:B25"/>
    <mergeCell ref="C25:E25"/>
    <mergeCell ref="A17:E17"/>
    <mergeCell ref="A18:E18"/>
    <mergeCell ref="A19:E19"/>
    <mergeCell ref="A20:E20"/>
    <mergeCell ref="A9:E9"/>
    <mergeCell ref="A10:C10"/>
    <mergeCell ref="A11:E11"/>
    <mergeCell ref="A12:C12"/>
    <mergeCell ref="A13:B13"/>
    <mergeCell ref="C13:E13"/>
    <mergeCell ref="A1:F1"/>
    <mergeCell ref="A5:E5"/>
    <mergeCell ref="A6:E6"/>
    <mergeCell ref="A7:E7"/>
    <mergeCell ref="A8:E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8"/>
  <sheetViews>
    <sheetView topLeftCell="A46" workbookViewId="0">
      <selection activeCell="BD55" sqref="BD55"/>
    </sheetView>
  </sheetViews>
  <sheetFormatPr defaultColWidth="9.140625" defaultRowHeight="11.25" x14ac:dyDescent="0.2"/>
  <cols>
    <col min="1" max="1" width="6.7109375" style="22" customWidth="1"/>
    <col min="2" max="2" width="22" style="22" customWidth="1"/>
    <col min="3" max="3" width="32.7109375" style="22" customWidth="1"/>
    <col min="4" max="4" width="16.42578125" style="22" customWidth="1"/>
    <col min="5" max="8" width="14" style="22" customWidth="1"/>
    <col min="9" max="13" width="91.140625" style="24" hidden="1" customWidth="1"/>
    <col min="14" max="19" width="113.140625" style="24" hidden="1" customWidth="1"/>
    <col min="20" max="26" width="127.140625" style="24" hidden="1" customWidth="1"/>
    <col min="27" max="27" width="133.85546875" style="24" hidden="1" customWidth="1"/>
    <col min="28" max="30" width="54.7109375" style="24" hidden="1" customWidth="1"/>
    <col min="31" max="32" width="49.140625" style="24" hidden="1" customWidth="1"/>
    <col min="33" max="40" width="56" style="24" hidden="1" customWidth="1"/>
    <col min="41" max="44" width="77.85546875" style="24" hidden="1" customWidth="1"/>
    <col min="45" max="48" width="56" style="24" hidden="1" customWidth="1"/>
    <col min="49" max="50" width="49.140625" style="24" hidden="1" customWidth="1"/>
    <col min="51" max="54" width="56" style="24" hidden="1" customWidth="1"/>
    <col min="55" max="55" width="9.140625" style="22"/>
    <col min="56" max="56" width="23.140625" style="22" customWidth="1"/>
    <col min="57" max="16384" width="9.140625" style="22"/>
  </cols>
  <sheetData>
    <row r="1" spans="1:19" x14ac:dyDescent="0.2">
      <c r="H1" s="23" t="s">
        <v>49</v>
      </c>
    </row>
    <row r="2" spans="1:19" x14ac:dyDescent="0.2">
      <c r="A2" s="25"/>
      <c r="B2" s="25"/>
      <c r="C2" s="25"/>
      <c r="D2" s="25"/>
      <c r="E2" s="25"/>
      <c r="F2" s="25"/>
      <c r="G2" s="25"/>
      <c r="H2" s="26" t="s">
        <v>50</v>
      </c>
    </row>
    <row r="3" spans="1:19" x14ac:dyDescent="0.2">
      <c r="A3" s="25"/>
      <c r="B3" s="25"/>
      <c r="C3" s="25"/>
      <c r="D3" s="25"/>
      <c r="E3" s="25"/>
      <c r="F3" s="25"/>
      <c r="G3" s="25"/>
      <c r="H3" s="23"/>
    </row>
    <row r="4" spans="1:19" x14ac:dyDescent="0.2">
      <c r="A4" s="25"/>
      <c r="B4" s="25" t="s">
        <v>51</v>
      </c>
      <c r="C4" s="304" t="s">
        <v>52</v>
      </c>
      <c r="D4" s="304"/>
      <c r="E4" s="304"/>
      <c r="F4" s="304"/>
      <c r="G4" s="304"/>
      <c r="H4" s="25"/>
      <c r="I4" s="27" t="s">
        <v>52</v>
      </c>
      <c r="J4" s="27" t="s">
        <v>53</v>
      </c>
      <c r="K4" s="27" t="s">
        <v>53</v>
      </c>
      <c r="L4" s="27" t="s">
        <v>53</v>
      </c>
      <c r="M4" s="27" t="s">
        <v>53</v>
      </c>
    </row>
    <row r="5" spans="1:19" ht="10.5" customHeight="1" x14ac:dyDescent="0.2">
      <c r="A5" s="25"/>
      <c r="B5" s="25"/>
      <c r="C5" s="305" t="s">
        <v>54</v>
      </c>
      <c r="D5" s="305"/>
      <c r="E5" s="305"/>
      <c r="F5" s="305"/>
      <c r="G5" s="305"/>
      <c r="H5" s="25"/>
    </row>
    <row r="6" spans="1:19" ht="17.25" customHeight="1" x14ac:dyDescent="0.2">
      <c r="A6" s="25"/>
      <c r="B6" s="25" t="s">
        <v>55</v>
      </c>
      <c r="C6" s="28"/>
      <c r="D6" s="28"/>
      <c r="E6" s="28"/>
      <c r="F6" s="28"/>
      <c r="G6" s="28"/>
      <c r="H6" s="25"/>
    </row>
    <row r="7" spans="1:19" ht="17.25" customHeight="1" x14ac:dyDescent="0.2">
      <c r="A7" s="25"/>
      <c r="B7" s="25"/>
      <c r="C7" s="28"/>
      <c r="D7" s="28"/>
      <c r="E7" s="28"/>
      <c r="F7" s="28"/>
      <c r="G7" s="28"/>
      <c r="H7" s="25"/>
    </row>
    <row r="8" spans="1:19" ht="17.25" customHeight="1" x14ac:dyDescent="0.2">
      <c r="A8" s="25"/>
      <c r="B8" s="29" t="s">
        <v>56</v>
      </c>
      <c r="C8" s="28"/>
      <c r="D8" s="28"/>
      <c r="E8" s="28"/>
      <c r="F8" s="28"/>
      <c r="G8" s="28"/>
      <c r="H8" s="25"/>
    </row>
    <row r="9" spans="1:19" ht="17.25" customHeight="1" x14ac:dyDescent="0.2">
      <c r="A9" s="25"/>
      <c r="B9" s="25"/>
      <c r="C9" s="306"/>
      <c r="D9" s="306"/>
      <c r="E9" s="306"/>
      <c r="F9" s="306"/>
      <c r="G9" s="306"/>
      <c r="H9" s="25"/>
    </row>
    <row r="10" spans="1:19" ht="11.25" customHeight="1" x14ac:dyDescent="0.25">
      <c r="A10" s="30"/>
      <c r="B10" s="30"/>
      <c r="C10" s="305" t="s">
        <v>57</v>
      </c>
      <c r="D10" s="305"/>
      <c r="E10" s="305"/>
      <c r="F10" s="305"/>
      <c r="G10" s="305"/>
      <c r="H10" s="30"/>
    </row>
    <row r="11" spans="1:19" ht="11.25" customHeight="1" x14ac:dyDescent="0.25">
      <c r="A11" s="30"/>
      <c r="B11" s="30"/>
      <c r="C11" s="28"/>
      <c r="D11" s="28"/>
      <c r="E11" s="28"/>
      <c r="F11" s="28"/>
      <c r="G11" s="28"/>
      <c r="H11" s="30"/>
    </row>
    <row r="12" spans="1:19" ht="18" x14ac:dyDescent="0.25">
      <c r="A12" s="30"/>
      <c r="B12" s="307" t="s">
        <v>58</v>
      </c>
      <c r="C12" s="307"/>
      <c r="D12" s="307"/>
      <c r="E12" s="307"/>
      <c r="F12" s="307"/>
      <c r="G12" s="307"/>
      <c r="H12" s="30"/>
    </row>
    <row r="13" spans="1:19" ht="11.25" customHeight="1" x14ac:dyDescent="0.25">
      <c r="A13" s="30"/>
      <c r="B13" s="30"/>
      <c r="C13" s="28"/>
      <c r="D13" s="28"/>
      <c r="E13" s="28"/>
      <c r="F13" s="28"/>
      <c r="G13" s="28"/>
      <c r="H13" s="30"/>
    </row>
    <row r="14" spans="1:19" ht="11.25" customHeight="1" x14ac:dyDescent="0.25">
      <c r="A14" s="30"/>
      <c r="B14" s="30"/>
      <c r="C14" s="28"/>
      <c r="D14" s="28"/>
      <c r="E14" s="28"/>
      <c r="F14" s="28"/>
      <c r="G14" s="28"/>
      <c r="H14" s="30"/>
    </row>
    <row r="15" spans="1:19" ht="11.25" customHeight="1" x14ac:dyDescent="0.25">
      <c r="A15" s="30"/>
      <c r="B15" s="30"/>
      <c r="C15" s="28"/>
      <c r="D15" s="28"/>
      <c r="E15" s="28"/>
      <c r="F15" s="28"/>
      <c r="G15" s="28"/>
      <c r="H15" s="30"/>
    </row>
    <row r="16" spans="1:19" x14ac:dyDescent="0.2">
      <c r="A16" s="27"/>
      <c r="B16" s="303" t="s">
        <v>59</v>
      </c>
      <c r="C16" s="303"/>
      <c r="D16" s="303"/>
      <c r="E16" s="303"/>
      <c r="F16" s="303"/>
      <c r="G16" s="303"/>
      <c r="H16" s="27"/>
      <c r="N16" s="27" t="s">
        <v>59</v>
      </c>
      <c r="O16" s="27" t="s">
        <v>53</v>
      </c>
      <c r="P16" s="27" t="s">
        <v>53</v>
      </c>
      <c r="Q16" s="27" t="s">
        <v>53</v>
      </c>
      <c r="R16" s="27" t="s">
        <v>53</v>
      </c>
      <c r="S16" s="27" t="s">
        <v>53</v>
      </c>
    </row>
    <row r="17" spans="1:54" ht="13.5" customHeight="1" x14ac:dyDescent="0.2">
      <c r="A17" s="31"/>
      <c r="B17" s="308" t="s">
        <v>60</v>
      </c>
      <c r="C17" s="308"/>
      <c r="D17" s="308"/>
      <c r="E17" s="308"/>
      <c r="F17" s="308"/>
      <c r="G17" s="308"/>
      <c r="H17" s="31"/>
    </row>
    <row r="18" spans="1:54" ht="9.75" customHeight="1" x14ac:dyDescent="0.2">
      <c r="A18" s="25"/>
      <c r="B18" s="25"/>
      <c r="C18" s="25"/>
      <c r="D18" s="32"/>
      <c r="E18" s="32"/>
      <c r="F18" s="32"/>
      <c r="G18" s="33"/>
      <c r="H18" s="33"/>
    </row>
    <row r="19" spans="1:54" x14ac:dyDescent="0.2">
      <c r="A19" s="34"/>
      <c r="B19" s="309" t="s">
        <v>61</v>
      </c>
      <c r="C19" s="309"/>
      <c r="D19" s="309"/>
      <c r="E19" s="309"/>
      <c r="F19" s="309"/>
      <c r="G19" s="309"/>
      <c r="H19" s="309"/>
      <c r="T19" s="27" t="s">
        <v>61</v>
      </c>
      <c r="U19" s="27" t="s">
        <v>53</v>
      </c>
      <c r="V19" s="27" t="s">
        <v>53</v>
      </c>
      <c r="W19" s="27" t="s">
        <v>53</v>
      </c>
      <c r="X19" s="27" t="s">
        <v>53</v>
      </c>
      <c r="Y19" s="27" t="s">
        <v>53</v>
      </c>
      <c r="Z19" s="27" t="s">
        <v>53</v>
      </c>
    </row>
    <row r="20" spans="1:54" ht="9.75" customHeight="1" x14ac:dyDescent="0.2">
      <c r="A20" s="25"/>
      <c r="B20" s="25"/>
      <c r="C20" s="25"/>
      <c r="D20" s="28"/>
      <c r="E20" s="28"/>
      <c r="F20" s="28"/>
      <c r="G20" s="28"/>
      <c r="H20" s="28"/>
    </row>
    <row r="21" spans="1:54" ht="16.5" customHeight="1" x14ac:dyDescent="0.2">
      <c r="A21" s="310" t="s">
        <v>2</v>
      </c>
      <c r="B21" s="310" t="s">
        <v>3</v>
      </c>
      <c r="C21" s="310" t="s">
        <v>62</v>
      </c>
      <c r="D21" s="313" t="s">
        <v>63</v>
      </c>
      <c r="E21" s="314"/>
      <c r="F21" s="314"/>
      <c r="G21" s="314"/>
      <c r="H21" s="315"/>
      <c r="I21" s="35"/>
    </row>
    <row r="22" spans="1:54" ht="45.75" customHeight="1" x14ac:dyDescent="0.2">
      <c r="A22" s="311"/>
      <c r="B22" s="311"/>
      <c r="C22" s="311"/>
      <c r="D22" s="310" t="s">
        <v>15</v>
      </c>
      <c r="E22" s="310" t="s">
        <v>16</v>
      </c>
      <c r="F22" s="310" t="s">
        <v>17</v>
      </c>
      <c r="G22" s="310" t="s">
        <v>18</v>
      </c>
      <c r="H22" s="310" t="s">
        <v>19</v>
      </c>
      <c r="I22" s="35"/>
    </row>
    <row r="23" spans="1:54" ht="28.5" customHeight="1" x14ac:dyDescent="0.2">
      <c r="A23" s="312"/>
      <c r="B23" s="312"/>
      <c r="C23" s="312"/>
      <c r="D23" s="312"/>
      <c r="E23" s="312"/>
      <c r="F23" s="312"/>
      <c r="G23" s="312"/>
      <c r="H23" s="312"/>
      <c r="I23" s="35"/>
    </row>
    <row r="24" spans="1:54" x14ac:dyDescent="0.2">
      <c r="A24" s="36">
        <v>1</v>
      </c>
      <c r="B24" s="36">
        <v>2</v>
      </c>
      <c r="C24" s="36">
        <v>3</v>
      </c>
      <c r="D24" s="36">
        <v>4</v>
      </c>
      <c r="E24" s="36">
        <v>5</v>
      </c>
      <c r="F24" s="36">
        <v>6</v>
      </c>
      <c r="G24" s="36">
        <v>7</v>
      </c>
      <c r="H24" s="36">
        <v>8</v>
      </c>
      <c r="I24" s="35"/>
    </row>
    <row r="25" spans="1:54" s="39" customFormat="1" ht="14.25" x14ac:dyDescent="0.2">
      <c r="A25" s="316" t="s">
        <v>64</v>
      </c>
      <c r="B25" s="317"/>
      <c r="C25" s="317"/>
      <c r="D25" s="317"/>
      <c r="E25" s="317"/>
      <c r="F25" s="317"/>
      <c r="G25" s="317"/>
      <c r="H25" s="318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 t="s">
        <v>64</v>
      </c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</row>
    <row r="26" spans="1:54" s="39" customFormat="1" ht="22.5" x14ac:dyDescent="0.2">
      <c r="A26" s="40" t="s">
        <v>65</v>
      </c>
      <c r="B26" s="41" t="s">
        <v>66</v>
      </c>
      <c r="C26" s="41" t="s">
        <v>67</v>
      </c>
      <c r="D26" s="42"/>
      <c r="E26" s="42"/>
      <c r="F26" s="42"/>
      <c r="G26" s="42">
        <v>105.87</v>
      </c>
      <c r="H26" s="42">
        <v>105.87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8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</row>
    <row r="27" spans="1:54" s="39" customFormat="1" ht="22.5" x14ac:dyDescent="0.2">
      <c r="A27" s="43"/>
      <c r="B27" s="319" t="s">
        <v>68</v>
      </c>
      <c r="C27" s="320"/>
      <c r="D27" s="44"/>
      <c r="E27" s="44"/>
      <c r="F27" s="45"/>
      <c r="G27" s="45">
        <v>105.87</v>
      </c>
      <c r="H27" s="45">
        <v>105.87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8"/>
      <c r="AB27" s="46" t="s">
        <v>68</v>
      </c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</row>
    <row r="28" spans="1:54" s="39" customFormat="1" ht="14.25" x14ac:dyDescent="0.2">
      <c r="A28" s="316" t="s">
        <v>69</v>
      </c>
      <c r="B28" s="317"/>
      <c r="C28" s="317"/>
      <c r="D28" s="317"/>
      <c r="E28" s="317"/>
      <c r="F28" s="317"/>
      <c r="G28" s="317"/>
      <c r="H28" s="318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8" t="s">
        <v>69</v>
      </c>
      <c r="AB28" s="46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</row>
    <row r="29" spans="1:54" s="39" customFormat="1" ht="14.25" x14ac:dyDescent="0.2">
      <c r="A29" s="40" t="s">
        <v>70</v>
      </c>
      <c r="B29" s="41" t="s">
        <v>34</v>
      </c>
      <c r="C29" s="41" t="s">
        <v>71</v>
      </c>
      <c r="D29" s="42">
        <v>79427.240000000005</v>
      </c>
      <c r="E29" s="42">
        <v>10181.450000000001</v>
      </c>
      <c r="F29" s="42">
        <v>26558.9</v>
      </c>
      <c r="G29" s="42"/>
      <c r="H29" s="42">
        <v>116167.59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8"/>
      <c r="AB29" s="46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</row>
    <row r="30" spans="1:54" s="39" customFormat="1" ht="22.5" x14ac:dyDescent="0.2">
      <c r="A30" s="40" t="s">
        <v>72</v>
      </c>
      <c r="B30" s="41" t="s">
        <v>73</v>
      </c>
      <c r="C30" s="41" t="s">
        <v>74</v>
      </c>
      <c r="D30" s="42">
        <v>7676.28</v>
      </c>
      <c r="E30" s="42"/>
      <c r="F30" s="42"/>
      <c r="G30" s="42"/>
      <c r="H30" s="42">
        <v>7676.28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46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</row>
    <row r="31" spans="1:54" s="39" customFormat="1" ht="22.5" x14ac:dyDescent="0.2">
      <c r="A31" s="43"/>
      <c r="B31" s="319" t="s">
        <v>75</v>
      </c>
      <c r="C31" s="320"/>
      <c r="D31" s="44">
        <v>87103.52</v>
      </c>
      <c r="E31" s="44">
        <v>10181.450000000001</v>
      </c>
      <c r="F31" s="45">
        <v>26558.9</v>
      </c>
      <c r="G31" s="45"/>
      <c r="H31" s="45">
        <v>123843.87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8"/>
      <c r="AB31" s="46" t="s">
        <v>75</v>
      </c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</row>
    <row r="32" spans="1:54" s="39" customFormat="1" ht="14.25" x14ac:dyDescent="0.2">
      <c r="A32" s="316" t="s">
        <v>76</v>
      </c>
      <c r="B32" s="317"/>
      <c r="C32" s="317"/>
      <c r="D32" s="317"/>
      <c r="E32" s="317"/>
      <c r="F32" s="317"/>
      <c r="G32" s="317"/>
      <c r="H32" s="318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 t="s">
        <v>76</v>
      </c>
      <c r="AB32" s="46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</row>
    <row r="33" spans="1:54" s="39" customFormat="1" ht="22.5" x14ac:dyDescent="0.2">
      <c r="A33" s="40" t="s">
        <v>77</v>
      </c>
      <c r="B33" s="41" t="s">
        <v>78</v>
      </c>
      <c r="C33" s="41" t="s">
        <v>79</v>
      </c>
      <c r="D33" s="42">
        <v>585.54999999999995</v>
      </c>
      <c r="E33" s="42">
        <v>2817.57</v>
      </c>
      <c r="F33" s="42">
        <v>170.32</v>
      </c>
      <c r="G33" s="42"/>
      <c r="H33" s="42">
        <v>3573.44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8"/>
      <c r="AB33" s="46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</row>
    <row r="34" spans="1:54" s="39" customFormat="1" ht="14.25" x14ac:dyDescent="0.2">
      <c r="A34" s="43"/>
      <c r="B34" s="319" t="s">
        <v>80</v>
      </c>
      <c r="C34" s="320"/>
      <c r="D34" s="44">
        <v>585.54999999999995</v>
      </c>
      <c r="E34" s="44">
        <v>2817.57</v>
      </c>
      <c r="F34" s="45">
        <v>170.32</v>
      </c>
      <c r="G34" s="45"/>
      <c r="H34" s="45">
        <v>3573.44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8"/>
      <c r="AB34" s="46" t="s">
        <v>80</v>
      </c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</row>
    <row r="35" spans="1:54" s="39" customFormat="1" ht="14.25" x14ac:dyDescent="0.2">
      <c r="A35" s="316" t="s">
        <v>81</v>
      </c>
      <c r="B35" s="317"/>
      <c r="C35" s="317"/>
      <c r="D35" s="317"/>
      <c r="E35" s="317"/>
      <c r="F35" s="317"/>
      <c r="G35" s="317"/>
      <c r="H35" s="318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8" t="s">
        <v>81</v>
      </c>
      <c r="AB35" s="46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</row>
    <row r="36" spans="1:54" s="39" customFormat="1" ht="14.25" x14ac:dyDescent="0.2">
      <c r="A36" s="40" t="s">
        <v>82</v>
      </c>
      <c r="B36" s="41" t="s">
        <v>83</v>
      </c>
      <c r="C36" s="41" t="s">
        <v>84</v>
      </c>
      <c r="D36" s="42">
        <v>1220.78</v>
      </c>
      <c r="E36" s="42">
        <v>3530.22</v>
      </c>
      <c r="F36" s="42">
        <v>12.83</v>
      </c>
      <c r="G36" s="42"/>
      <c r="H36" s="42">
        <v>4763.83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8"/>
      <c r="AB36" s="46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</row>
    <row r="37" spans="1:54" s="39" customFormat="1" ht="14.25" x14ac:dyDescent="0.2">
      <c r="A37" s="40" t="s">
        <v>85</v>
      </c>
      <c r="B37" s="41" t="s">
        <v>86</v>
      </c>
      <c r="C37" s="41" t="s">
        <v>87</v>
      </c>
      <c r="D37" s="42">
        <v>2741.01</v>
      </c>
      <c r="E37" s="42">
        <v>5807.52</v>
      </c>
      <c r="F37" s="42">
        <v>1146.19</v>
      </c>
      <c r="G37" s="42"/>
      <c r="H37" s="42">
        <v>9694.7199999999993</v>
      </c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8"/>
      <c r="AB37" s="46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</row>
    <row r="38" spans="1:54" s="39" customFormat="1" ht="14.25" x14ac:dyDescent="0.2">
      <c r="A38" s="43"/>
      <c r="B38" s="319" t="s">
        <v>88</v>
      </c>
      <c r="C38" s="320"/>
      <c r="D38" s="44">
        <v>3961.79</v>
      </c>
      <c r="E38" s="44">
        <v>9337.74</v>
      </c>
      <c r="F38" s="45">
        <v>1159.02</v>
      </c>
      <c r="G38" s="45"/>
      <c r="H38" s="45">
        <v>14458.55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8"/>
      <c r="AB38" s="46" t="s">
        <v>88</v>
      </c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</row>
    <row r="39" spans="1:54" s="39" customFormat="1" ht="14.25" x14ac:dyDescent="0.2">
      <c r="A39" s="316" t="s">
        <v>89</v>
      </c>
      <c r="B39" s="317"/>
      <c r="C39" s="317"/>
      <c r="D39" s="317"/>
      <c r="E39" s="317"/>
      <c r="F39" s="317"/>
      <c r="G39" s="317"/>
      <c r="H39" s="318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8" t="s">
        <v>89</v>
      </c>
      <c r="AB39" s="46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</row>
    <row r="40" spans="1:54" s="39" customFormat="1" ht="14.25" x14ac:dyDescent="0.2">
      <c r="A40" s="40" t="s">
        <v>90</v>
      </c>
      <c r="B40" s="41" t="s">
        <v>91</v>
      </c>
      <c r="C40" s="41" t="s">
        <v>92</v>
      </c>
      <c r="D40" s="42">
        <v>18956.39</v>
      </c>
      <c r="E40" s="42">
        <v>174.79</v>
      </c>
      <c r="F40" s="42">
        <v>5275.8</v>
      </c>
      <c r="G40" s="42"/>
      <c r="H40" s="42">
        <v>24406.98</v>
      </c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8"/>
      <c r="AB40" s="46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</row>
    <row r="41" spans="1:54" s="39" customFormat="1" ht="14.25" x14ac:dyDescent="0.2">
      <c r="A41" s="40" t="s">
        <v>93</v>
      </c>
      <c r="B41" s="41" t="s">
        <v>94</v>
      </c>
      <c r="C41" s="41" t="s">
        <v>95</v>
      </c>
      <c r="D41" s="42">
        <v>23921.45</v>
      </c>
      <c r="E41" s="42">
        <v>421.06</v>
      </c>
      <c r="F41" s="42">
        <v>11424.55</v>
      </c>
      <c r="G41" s="42"/>
      <c r="H41" s="42">
        <v>35767.06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46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</row>
    <row r="42" spans="1:54" s="39" customFormat="1" ht="33.75" x14ac:dyDescent="0.2">
      <c r="A42" s="43"/>
      <c r="B42" s="319" t="s">
        <v>96</v>
      </c>
      <c r="C42" s="320"/>
      <c r="D42" s="44">
        <v>42877.84</v>
      </c>
      <c r="E42" s="44">
        <v>595.85</v>
      </c>
      <c r="F42" s="45">
        <v>16700.349999999999</v>
      </c>
      <c r="G42" s="45"/>
      <c r="H42" s="45">
        <v>60174.04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8"/>
      <c r="AB42" s="46" t="s">
        <v>96</v>
      </c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</row>
    <row r="43" spans="1:54" s="39" customFormat="1" ht="14.25" x14ac:dyDescent="0.2">
      <c r="A43" s="316" t="s">
        <v>97</v>
      </c>
      <c r="B43" s="317"/>
      <c r="C43" s="317"/>
      <c r="D43" s="317"/>
      <c r="E43" s="317"/>
      <c r="F43" s="317"/>
      <c r="G43" s="317"/>
      <c r="H43" s="318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8" t="s">
        <v>97</v>
      </c>
      <c r="AB43" s="46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</row>
    <row r="44" spans="1:54" s="39" customFormat="1" ht="14.25" x14ac:dyDescent="0.2">
      <c r="A44" s="40" t="s">
        <v>98</v>
      </c>
      <c r="B44" s="41" t="s">
        <v>99</v>
      </c>
      <c r="C44" s="41" t="s">
        <v>100</v>
      </c>
      <c r="D44" s="42">
        <v>33217.72</v>
      </c>
      <c r="E44" s="42"/>
      <c r="F44" s="42"/>
      <c r="G44" s="42"/>
      <c r="H44" s="42">
        <v>33217.72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8"/>
      <c r="AB44" s="46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</row>
    <row r="45" spans="1:54" s="39" customFormat="1" ht="22.5" x14ac:dyDescent="0.2">
      <c r="A45" s="40" t="s">
        <v>101</v>
      </c>
      <c r="B45" s="41" t="s">
        <v>102</v>
      </c>
      <c r="C45" s="41" t="s">
        <v>103</v>
      </c>
      <c r="D45" s="42">
        <v>926.26</v>
      </c>
      <c r="E45" s="42">
        <v>384.82</v>
      </c>
      <c r="F45" s="42">
        <v>97.49</v>
      </c>
      <c r="G45" s="42"/>
      <c r="H45" s="42">
        <v>1408.57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8"/>
      <c r="AB45" s="46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</row>
    <row r="46" spans="1:54" s="39" customFormat="1" ht="22.5" x14ac:dyDescent="0.2">
      <c r="A46" s="40" t="s">
        <v>104</v>
      </c>
      <c r="B46" s="41" t="s">
        <v>105</v>
      </c>
      <c r="C46" s="41" t="s">
        <v>106</v>
      </c>
      <c r="D46" s="42">
        <v>5290.71</v>
      </c>
      <c r="E46" s="42"/>
      <c r="F46" s="42"/>
      <c r="G46" s="42"/>
      <c r="H46" s="42">
        <v>5290.71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8"/>
      <c r="AB46" s="4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</row>
    <row r="47" spans="1:54" s="39" customFormat="1" ht="14.25" x14ac:dyDescent="0.2">
      <c r="A47" s="43"/>
      <c r="B47" s="319" t="s">
        <v>107</v>
      </c>
      <c r="C47" s="320"/>
      <c r="D47" s="44">
        <v>39434.69</v>
      </c>
      <c r="E47" s="44">
        <v>384.82</v>
      </c>
      <c r="F47" s="45">
        <v>97.49</v>
      </c>
      <c r="G47" s="45"/>
      <c r="H47" s="45">
        <v>39917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8"/>
      <c r="AB47" s="46" t="s">
        <v>107</v>
      </c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</row>
    <row r="48" spans="1:54" s="39" customFormat="1" ht="14.25" x14ac:dyDescent="0.2">
      <c r="A48" s="43"/>
      <c r="B48" s="321" t="s">
        <v>108</v>
      </c>
      <c r="C48" s="322"/>
      <c r="D48" s="44">
        <v>173963.39</v>
      </c>
      <c r="E48" s="44">
        <v>23317.43</v>
      </c>
      <c r="F48" s="45">
        <v>44686.080000000002</v>
      </c>
      <c r="G48" s="45">
        <v>105.87</v>
      </c>
      <c r="H48" s="45">
        <v>242072.77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8"/>
      <c r="AB48" s="46"/>
      <c r="AC48" s="47" t="s">
        <v>108</v>
      </c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</row>
    <row r="49" spans="1:54" s="39" customFormat="1" ht="14.25" x14ac:dyDescent="0.2">
      <c r="A49" s="316" t="s">
        <v>109</v>
      </c>
      <c r="B49" s="317"/>
      <c r="C49" s="317"/>
      <c r="D49" s="317"/>
      <c r="E49" s="317"/>
      <c r="F49" s="317"/>
      <c r="G49" s="317"/>
      <c r="H49" s="318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 t="s">
        <v>109</v>
      </c>
      <c r="AB49" s="46"/>
      <c r="AC49" s="4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</row>
    <row r="50" spans="1:54" s="39" customFormat="1" ht="45" x14ac:dyDescent="0.2">
      <c r="A50" s="40" t="s">
        <v>110</v>
      </c>
      <c r="B50" s="41" t="s">
        <v>111</v>
      </c>
      <c r="C50" s="41" t="s">
        <v>112</v>
      </c>
      <c r="D50" s="42">
        <v>5392.87</v>
      </c>
      <c r="E50" s="42">
        <v>722.84</v>
      </c>
      <c r="F50" s="42"/>
      <c r="G50" s="42"/>
      <c r="H50" s="42">
        <v>6115.71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8"/>
      <c r="AB50" s="46"/>
      <c r="AC50" s="4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</row>
    <row r="51" spans="1:54" s="39" customFormat="1" ht="14.25" x14ac:dyDescent="0.2">
      <c r="A51" s="36"/>
      <c r="B51" s="41"/>
      <c r="C51" s="41"/>
      <c r="D51" s="42" t="s">
        <v>113</v>
      </c>
      <c r="E51" s="42" t="s">
        <v>114</v>
      </c>
      <c r="F51" s="42"/>
      <c r="G51" s="42"/>
      <c r="H51" s="42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8"/>
      <c r="AB51" s="46"/>
      <c r="AC51" s="4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</row>
    <row r="52" spans="1:54" s="39" customFormat="1" ht="14.25" x14ac:dyDescent="0.2">
      <c r="A52" s="43"/>
      <c r="B52" s="319" t="s">
        <v>115</v>
      </c>
      <c r="C52" s="320"/>
      <c r="D52" s="44">
        <v>5392.87</v>
      </c>
      <c r="E52" s="44">
        <v>722.84</v>
      </c>
      <c r="F52" s="45"/>
      <c r="G52" s="45"/>
      <c r="H52" s="45">
        <v>6115.71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8"/>
      <c r="AB52" s="46" t="s">
        <v>115</v>
      </c>
      <c r="AC52" s="4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</row>
    <row r="53" spans="1:54" s="39" customFormat="1" ht="14.25" x14ac:dyDescent="0.2">
      <c r="A53" s="43"/>
      <c r="B53" s="321" t="s">
        <v>116</v>
      </c>
      <c r="C53" s="322"/>
      <c r="D53" s="44">
        <v>179356.26</v>
      </c>
      <c r="E53" s="44">
        <v>24040.27</v>
      </c>
      <c r="F53" s="45">
        <v>44686.080000000002</v>
      </c>
      <c r="G53" s="45">
        <v>105.87</v>
      </c>
      <c r="H53" s="45">
        <v>248188.48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8"/>
      <c r="AB53" s="46"/>
      <c r="AC53" s="47" t="s">
        <v>116</v>
      </c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</row>
    <row r="54" spans="1:54" s="39" customFormat="1" ht="14.25" x14ac:dyDescent="0.2">
      <c r="A54" s="316" t="s">
        <v>117</v>
      </c>
      <c r="B54" s="317"/>
      <c r="C54" s="317"/>
      <c r="D54" s="317"/>
      <c r="E54" s="317"/>
      <c r="F54" s="317"/>
      <c r="G54" s="317"/>
      <c r="H54" s="318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8" t="s">
        <v>117</v>
      </c>
      <c r="AB54" s="46"/>
      <c r="AC54" s="4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</row>
    <row r="55" spans="1:54" s="39" customFormat="1" ht="45" x14ac:dyDescent="0.2">
      <c r="A55" s="40" t="s">
        <v>118</v>
      </c>
      <c r="B55" s="41" t="s">
        <v>119</v>
      </c>
      <c r="C55" s="41" t="s">
        <v>120</v>
      </c>
      <c r="D55" s="42">
        <v>896.78</v>
      </c>
      <c r="E55" s="42">
        <v>120.2</v>
      </c>
      <c r="F55" s="42"/>
      <c r="G55" s="42"/>
      <c r="H55" s="42">
        <v>1016.98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/>
      <c r="AB55" s="46"/>
      <c r="AC55" s="4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</row>
    <row r="56" spans="1:54" s="39" customFormat="1" ht="14.25" x14ac:dyDescent="0.2">
      <c r="A56" s="36"/>
      <c r="B56" s="41"/>
      <c r="C56" s="41"/>
      <c r="D56" s="42" t="s">
        <v>121</v>
      </c>
      <c r="E56" s="42" t="s">
        <v>122</v>
      </c>
      <c r="F56" s="42"/>
      <c r="G56" s="42"/>
      <c r="H56" s="42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  <c r="AB56" s="46"/>
      <c r="AC56" s="4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</row>
    <row r="57" spans="1:54" s="39" customFormat="1" ht="22.5" x14ac:dyDescent="0.2">
      <c r="A57" s="40" t="s">
        <v>123</v>
      </c>
      <c r="B57" s="41" t="s">
        <v>124</v>
      </c>
      <c r="C57" s="41" t="s">
        <v>125</v>
      </c>
      <c r="D57" s="42"/>
      <c r="E57" s="42"/>
      <c r="F57" s="42"/>
      <c r="G57" s="42">
        <v>2220.71</v>
      </c>
      <c r="H57" s="42">
        <v>2220.71</v>
      </c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46"/>
      <c r="AC57" s="4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</row>
    <row r="58" spans="1:54" s="39" customFormat="1" ht="14.25" x14ac:dyDescent="0.2">
      <c r="A58" s="40" t="s">
        <v>126</v>
      </c>
      <c r="B58" s="41" t="s">
        <v>127</v>
      </c>
      <c r="C58" s="41" t="s">
        <v>128</v>
      </c>
      <c r="D58" s="42"/>
      <c r="E58" s="42"/>
      <c r="F58" s="42"/>
      <c r="G58" s="42">
        <v>310.58</v>
      </c>
      <c r="H58" s="42">
        <v>310.58</v>
      </c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8"/>
      <c r="AB58" s="46"/>
      <c r="AC58" s="4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</row>
    <row r="59" spans="1:54" s="39" customFormat="1" ht="22.5" x14ac:dyDescent="0.2">
      <c r="A59" s="40" t="s">
        <v>129</v>
      </c>
      <c r="B59" s="41" t="s">
        <v>130</v>
      </c>
      <c r="C59" s="41" t="s">
        <v>131</v>
      </c>
      <c r="D59" s="42"/>
      <c r="E59" s="42"/>
      <c r="F59" s="42"/>
      <c r="G59" s="42">
        <v>0.19</v>
      </c>
      <c r="H59" s="42">
        <v>0.19</v>
      </c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8"/>
      <c r="AB59" s="46"/>
      <c r="AC59" s="4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</row>
    <row r="60" spans="1:54" s="39" customFormat="1" ht="22.5" x14ac:dyDescent="0.2">
      <c r="A60" s="40" t="s">
        <v>132</v>
      </c>
      <c r="B60" s="41" t="s">
        <v>133</v>
      </c>
      <c r="C60" s="41" t="s">
        <v>134</v>
      </c>
      <c r="D60" s="42"/>
      <c r="E60" s="42"/>
      <c r="F60" s="42"/>
      <c r="G60" s="42">
        <v>5.98</v>
      </c>
      <c r="H60" s="42">
        <v>5.98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8"/>
      <c r="AB60" s="46"/>
      <c r="AC60" s="4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</row>
    <row r="61" spans="1:54" s="39" customFormat="1" ht="22.5" x14ac:dyDescent="0.2">
      <c r="A61" s="40" t="s">
        <v>135</v>
      </c>
      <c r="B61" s="41" t="s">
        <v>136</v>
      </c>
      <c r="C61" s="41" t="s">
        <v>137</v>
      </c>
      <c r="D61" s="42"/>
      <c r="E61" s="42"/>
      <c r="F61" s="42"/>
      <c r="G61" s="42">
        <v>76.11</v>
      </c>
      <c r="H61" s="42">
        <v>76.11</v>
      </c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8"/>
      <c r="AB61" s="46"/>
      <c r="AC61" s="4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</row>
    <row r="62" spans="1:54" s="39" customFormat="1" ht="22.5" x14ac:dyDescent="0.2">
      <c r="A62" s="40" t="s">
        <v>138</v>
      </c>
      <c r="B62" s="41" t="s">
        <v>139</v>
      </c>
      <c r="C62" s="41" t="s">
        <v>140</v>
      </c>
      <c r="D62" s="42"/>
      <c r="E62" s="42"/>
      <c r="F62" s="42"/>
      <c r="G62" s="42">
        <v>65.989999999999995</v>
      </c>
      <c r="H62" s="42">
        <v>65.989999999999995</v>
      </c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8"/>
      <c r="AB62" s="46"/>
      <c r="AC62" s="4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</row>
    <row r="63" spans="1:54" s="39" customFormat="1" ht="33.75" x14ac:dyDescent="0.2">
      <c r="A63" s="40" t="s">
        <v>141</v>
      </c>
      <c r="B63" s="41" t="s">
        <v>142</v>
      </c>
      <c r="C63" s="41" t="s">
        <v>143</v>
      </c>
      <c r="D63" s="42"/>
      <c r="E63" s="42"/>
      <c r="F63" s="42"/>
      <c r="G63" s="42">
        <v>9298.74</v>
      </c>
      <c r="H63" s="42">
        <v>9298.74</v>
      </c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8"/>
      <c r="AB63" s="46"/>
      <c r="AC63" s="4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</row>
    <row r="64" spans="1:54" s="39" customFormat="1" ht="14.25" x14ac:dyDescent="0.2">
      <c r="A64" s="43"/>
      <c r="B64" s="319" t="s">
        <v>144</v>
      </c>
      <c r="C64" s="320"/>
      <c r="D64" s="44">
        <v>896.78</v>
      </c>
      <c r="E64" s="44">
        <v>120.2</v>
      </c>
      <c r="F64" s="45"/>
      <c r="G64" s="45">
        <v>11978.3</v>
      </c>
      <c r="H64" s="45">
        <v>12995.28</v>
      </c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8"/>
      <c r="AB64" s="46" t="s">
        <v>144</v>
      </c>
      <c r="AC64" s="4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</row>
    <row r="65" spans="1:54" s="39" customFormat="1" ht="14.25" x14ac:dyDescent="0.2">
      <c r="A65" s="43"/>
      <c r="B65" s="321" t="s">
        <v>145</v>
      </c>
      <c r="C65" s="322"/>
      <c r="D65" s="44">
        <v>180253.04</v>
      </c>
      <c r="E65" s="44">
        <v>24160.47</v>
      </c>
      <c r="F65" s="45">
        <v>44686.080000000002</v>
      </c>
      <c r="G65" s="45">
        <v>12084.17</v>
      </c>
      <c r="H65" s="45">
        <v>261183.76</v>
      </c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8"/>
      <c r="AB65" s="46"/>
      <c r="AC65" s="47" t="s">
        <v>145</v>
      </c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</row>
    <row r="66" spans="1:54" s="39" customFormat="1" ht="14.25" x14ac:dyDescent="0.2">
      <c r="A66" s="316" t="s">
        <v>146</v>
      </c>
      <c r="B66" s="317"/>
      <c r="C66" s="317"/>
      <c r="D66" s="317"/>
      <c r="E66" s="317"/>
      <c r="F66" s="317"/>
      <c r="G66" s="317"/>
      <c r="H66" s="318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8" t="s">
        <v>146</v>
      </c>
      <c r="AB66" s="46"/>
      <c r="AC66" s="4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</row>
    <row r="67" spans="1:54" s="39" customFormat="1" ht="22.5" x14ac:dyDescent="0.2">
      <c r="A67" s="40" t="s">
        <v>147</v>
      </c>
      <c r="B67" s="41" t="s">
        <v>148</v>
      </c>
      <c r="C67" s="41" t="s">
        <v>149</v>
      </c>
      <c r="D67" s="42"/>
      <c r="E67" s="42"/>
      <c r="F67" s="42"/>
      <c r="G67" s="42">
        <v>5589.33</v>
      </c>
      <c r="H67" s="42">
        <v>5589.33</v>
      </c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8"/>
      <c r="AB67" s="46"/>
      <c r="AC67" s="4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</row>
    <row r="68" spans="1:54" s="39" customFormat="1" ht="33.75" x14ac:dyDescent="0.2">
      <c r="A68" s="36"/>
      <c r="B68" s="41"/>
      <c r="C68" s="41"/>
      <c r="D68" s="42"/>
      <c r="E68" s="42"/>
      <c r="F68" s="42"/>
      <c r="G68" s="42" t="s">
        <v>150</v>
      </c>
      <c r="H68" s="42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8"/>
      <c r="AB68" s="46"/>
      <c r="AC68" s="4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</row>
    <row r="69" spans="1:54" s="39" customFormat="1" ht="22.5" x14ac:dyDescent="0.2">
      <c r="A69" s="43"/>
      <c r="B69" s="319" t="s">
        <v>151</v>
      </c>
      <c r="C69" s="320"/>
      <c r="D69" s="44"/>
      <c r="E69" s="44"/>
      <c r="F69" s="45"/>
      <c r="G69" s="45">
        <v>5589.33</v>
      </c>
      <c r="H69" s="45">
        <v>5589.33</v>
      </c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8"/>
      <c r="AB69" s="46" t="s">
        <v>151</v>
      </c>
      <c r="AC69" s="4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</row>
    <row r="70" spans="1:54" s="39" customFormat="1" ht="48" x14ac:dyDescent="0.2">
      <c r="A70" s="316" t="s">
        <v>152</v>
      </c>
      <c r="B70" s="317"/>
      <c r="C70" s="317"/>
      <c r="D70" s="317"/>
      <c r="E70" s="317"/>
      <c r="F70" s="317"/>
      <c r="G70" s="317"/>
      <c r="H70" s="318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8" t="s">
        <v>152</v>
      </c>
      <c r="AB70" s="46"/>
      <c r="AC70" s="4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</row>
    <row r="71" spans="1:54" s="39" customFormat="1" ht="22.5" x14ac:dyDescent="0.2">
      <c r="A71" s="40" t="s">
        <v>153</v>
      </c>
      <c r="B71" s="41" t="s">
        <v>154</v>
      </c>
      <c r="C71" s="41" t="s">
        <v>155</v>
      </c>
      <c r="D71" s="42"/>
      <c r="E71" s="42"/>
      <c r="F71" s="42"/>
      <c r="G71" s="42">
        <v>522.37</v>
      </c>
      <c r="H71" s="42">
        <v>522.37</v>
      </c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8"/>
      <c r="AB71" s="46"/>
      <c r="AC71" s="4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</row>
    <row r="72" spans="1:54" s="39" customFormat="1" ht="14.25" x14ac:dyDescent="0.2">
      <c r="A72" s="36"/>
      <c r="B72" s="41"/>
      <c r="C72" s="41"/>
      <c r="D72" s="42"/>
      <c r="E72" s="42"/>
      <c r="F72" s="42"/>
      <c r="G72" s="42" t="s">
        <v>156</v>
      </c>
      <c r="H72" s="42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8"/>
      <c r="AB72" s="46"/>
      <c r="AC72" s="4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</row>
    <row r="73" spans="1:54" s="39" customFormat="1" ht="14.25" x14ac:dyDescent="0.2">
      <c r="A73" s="40" t="s">
        <v>157</v>
      </c>
      <c r="B73" s="41" t="s">
        <v>158</v>
      </c>
      <c r="C73" s="41" t="s">
        <v>159</v>
      </c>
      <c r="D73" s="42"/>
      <c r="E73" s="42"/>
      <c r="F73" s="42"/>
      <c r="G73" s="42">
        <v>4689.21</v>
      </c>
      <c r="H73" s="42">
        <v>4689.21</v>
      </c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8"/>
      <c r="AB73" s="46"/>
      <c r="AC73" s="4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</row>
    <row r="74" spans="1:54" s="39" customFormat="1" ht="14.25" x14ac:dyDescent="0.2">
      <c r="A74" s="40" t="s">
        <v>160</v>
      </c>
      <c r="B74" s="41" t="s">
        <v>158</v>
      </c>
      <c r="C74" s="41" t="s">
        <v>161</v>
      </c>
      <c r="D74" s="42"/>
      <c r="E74" s="42"/>
      <c r="F74" s="42"/>
      <c r="G74" s="42">
        <v>8976.5300000000007</v>
      </c>
      <c r="H74" s="42">
        <v>8976.5300000000007</v>
      </c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8"/>
      <c r="AB74" s="46"/>
      <c r="AC74" s="4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</row>
    <row r="75" spans="1:54" s="39" customFormat="1" ht="14.25" x14ac:dyDescent="0.2">
      <c r="A75" s="40" t="s">
        <v>162</v>
      </c>
      <c r="B75" s="41" t="s">
        <v>158</v>
      </c>
      <c r="C75" s="41" t="s">
        <v>22</v>
      </c>
      <c r="D75" s="42"/>
      <c r="E75" s="42"/>
      <c r="F75" s="42"/>
      <c r="G75" s="42">
        <v>13927.38</v>
      </c>
      <c r="H75" s="42">
        <v>13927.38</v>
      </c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8"/>
      <c r="AB75" s="46"/>
      <c r="AC75" s="4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</row>
    <row r="76" spans="1:54" s="39" customFormat="1" ht="33.75" x14ac:dyDescent="0.2">
      <c r="A76" s="40" t="s">
        <v>163</v>
      </c>
      <c r="B76" s="41" t="s">
        <v>158</v>
      </c>
      <c r="C76" s="41" t="s">
        <v>164</v>
      </c>
      <c r="D76" s="42"/>
      <c r="E76" s="42"/>
      <c r="F76" s="42"/>
      <c r="G76" s="42">
        <v>2022.7</v>
      </c>
      <c r="H76" s="42">
        <v>2022.7</v>
      </c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8"/>
      <c r="AB76" s="46"/>
      <c r="AC76" s="4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</row>
    <row r="77" spans="1:54" s="39" customFormat="1" ht="22.5" x14ac:dyDescent="0.2">
      <c r="A77" s="40" t="s">
        <v>165</v>
      </c>
      <c r="B77" s="41" t="s">
        <v>166</v>
      </c>
      <c r="C77" s="41" t="s">
        <v>167</v>
      </c>
      <c r="D77" s="42"/>
      <c r="E77" s="42"/>
      <c r="F77" s="42"/>
      <c r="G77" s="42">
        <v>954.53</v>
      </c>
      <c r="H77" s="42">
        <v>954.53</v>
      </c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8"/>
      <c r="AB77" s="46"/>
      <c r="AC77" s="4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</row>
    <row r="78" spans="1:54" s="39" customFormat="1" ht="112.5" x14ac:dyDescent="0.2">
      <c r="A78" s="43"/>
      <c r="B78" s="319" t="s">
        <v>168</v>
      </c>
      <c r="C78" s="320"/>
      <c r="D78" s="44"/>
      <c r="E78" s="44"/>
      <c r="F78" s="45"/>
      <c r="G78" s="45">
        <v>31092.720000000001</v>
      </c>
      <c r="H78" s="45">
        <v>31092.720000000001</v>
      </c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8"/>
      <c r="AB78" s="46" t="s">
        <v>168</v>
      </c>
      <c r="AC78" s="4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</row>
    <row r="79" spans="1:54" s="39" customFormat="1" ht="14.25" x14ac:dyDescent="0.2">
      <c r="A79" s="43"/>
      <c r="B79" s="321" t="s">
        <v>169</v>
      </c>
      <c r="C79" s="322"/>
      <c r="D79" s="44">
        <v>180253.04</v>
      </c>
      <c r="E79" s="44">
        <v>24160.47</v>
      </c>
      <c r="F79" s="45">
        <v>44686.080000000002</v>
      </c>
      <c r="G79" s="45">
        <v>48766.22</v>
      </c>
      <c r="H79" s="45">
        <v>297865.81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8"/>
      <c r="AB79" s="46"/>
      <c r="AC79" s="47" t="s">
        <v>169</v>
      </c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</row>
    <row r="80" spans="1:54" s="39" customFormat="1" ht="14.25" x14ac:dyDescent="0.2">
      <c r="A80" s="316" t="s">
        <v>170</v>
      </c>
      <c r="B80" s="317"/>
      <c r="C80" s="317"/>
      <c r="D80" s="317"/>
      <c r="E80" s="317"/>
      <c r="F80" s="317"/>
      <c r="G80" s="317"/>
      <c r="H80" s="318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8" t="s">
        <v>170</v>
      </c>
      <c r="AB80" s="46"/>
      <c r="AC80" s="4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</row>
    <row r="81" spans="1:56" s="39" customFormat="1" ht="33.75" x14ac:dyDescent="0.2">
      <c r="A81" s="40" t="s">
        <v>171</v>
      </c>
      <c r="B81" s="41" t="s">
        <v>172</v>
      </c>
      <c r="C81" s="41" t="s">
        <v>173</v>
      </c>
      <c r="D81" s="42">
        <v>3605.06</v>
      </c>
      <c r="E81" s="42">
        <v>483.21</v>
      </c>
      <c r="F81" s="42">
        <v>893.72</v>
      </c>
      <c r="G81" s="42">
        <v>975.32</v>
      </c>
      <c r="H81" s="42">
        <v>5957.31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8"/>
      <c r="AB81" s="46"/>
      <c r="AC81" s="4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</row>
    <row r="82" spans="1:56" s="39" customFormat="1" ht="14.25" x14ac:dyDescent="0.2">
      <c r="A82" s="36"/>
      <c r="B82" s="41"/>
      <c r="C82" s="41"/>
      <c r="D82" s="42" t="s">
        <v>174</v>
      </c>
      <c r="E82" s="42" t="s">
        <v>175</v>
      </c>
      <c r="F82" s="42" t="s">
        <v>176</v>
      </c>
      <c r="G82" s="42" t="s">
        <v>177</v>
      </c>
      <c r="H82" s="42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8"/>
      <c r="AB82" s="46"/>
      <c r="AC82" s="4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</row>
    <row r="83" spans="1:56" s="39" customFormat="1" ht="14.25" x14ac:dyDescent="0.2">
      <c r="A83" s="43"/>
      <c r="B83" s="319" t="s">
        <v>178</v>
      </c>
      <c r="C83" s="320"/>
      <c r="D83" s="44">
        <v>3605.06</v>
      </c>
      <c r="E83" s="44">
        <v>483.21</v>
      </c>
      <c r="F83" s="45">
        <v>893.72</v>
      </c>
      <c r="G83" s="45">
        <v>975.32</v>
      </c>
      <c r="H83" s="45">
        <v>5957.31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8"/>
      <c r="AB83" s="46" t="s">
        <v>178</v>
      </c>
      <c r="AC83" s="4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</row>
    <row r="84" spans="1:56" s="39" customFormat="1" ht="14.25" x14ac:dyDescent="0.2">
      <c r="A84" s="43"/>
      <c r="B84" s="321" t="s">
        <v>179</v>
      </c>
      <c r="C84" s="322"/>
      <c r="D84" s="44">
        <v>183858.1</v>
      </c>
      <c r="E84" s="44">
        <v>24643.68</v>
      </c>
      <c r="F84" s="45">
        <v>45579.8</v>
      </c>
      <c r="G84" s="45">
        <v>49741.54</v>
      </c>
      <c r="H84" s="45">
        <v>303823.12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8"/>
      <c r="AB84" s="46"/>
      <c r="AC84" s="47" t="s">
        <v>179</v>
      </c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</row>
    <row r="85" spans="1:56" s="39" customFormat="1" ht="14.25" x14ac:dyDescent="0.2">
      <c r="A85" s="316" t="s">
        <v>180</v>
      </c>
      <c r="B85" s="317"/>
      <c r="C85" s="317"/>
      <c r="D85" s="317"/>
      <c r="E85" s="317"/>
      <c r="F85" s="317"/>
      <c r="G85" s="317"/>
      <c r="H85" s="318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8" t="s">
        <v>180</v>
      </c>
      <c r="AB85" s="46"/>
      <c r="AC85" s="4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</row>
    <row r="86" spans="1:56" s="39" customFormat="1" ht="22.5" x14ac:dyDescent="0.2">
      <c r="A86" s="40" t="s">
        <v>181</v>
      </c>
      <c r="B86" s="41" t="s">
        <v>182</v>
      </c>
      <c r="C86" s="41" t="s">
        <v>183</v>
      </c>
      <c r="D86" s="42">
        <v>36771.620000000003</v>
      </c>
      <c r="E86" s="42">
        <v>4928.74</v>
      </c>
      <c r="F86" s="42">
        <v>9115.9599999999991</v>
      </c>
      <c r="G86" s="42">
        <v>9948.31</v>
      </c>
      <c r="H86" s="42">
        <v>60764.63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8"/>
      <c r="AB86" s="46"/>
      <c r="AC86" s="4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</row>
    <row r="87" spans="1:56" s="39" customFormat="1" ht="14.25" x14ac:dyDescent="0.2">
      <c r="A87" s="36"/>
      <c r="B87" s="41"/>
      <c r="C87" s="41"/>
      <c r="D87" s="42" t="s">
        <v>184</v>
      </c>
      <c r="E87" s="42" t="s">
        <v>185</v>
      </c>
      <c r="F87" s="42" t="s">
        <v>186</v>
      </c>
      <c r="G87" s="42" t="s">
        <v>187</v>
      </c>
      <c r="H87" s="4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8"/>
      <c r="AB87" s="46"/>
      <c r="AC87" s="4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</row>
    <row r="88" spans="1:56" s="39" customFormat="1" ht="14.25" x14ac:dyDescent="0.2">
      <c r="A88" s="43"/>
      <c r="B88" s="319" t="s">
        <v>188</v>
      </c>
      <c r="C88" s="320"/>
      <c r="D88" s="44">
        <v>36771.620000000003</v>
      </c>
      <c r="E88" s="44">
        <v>4928.74</v>
      </c>
      <c r="F88" s="45">
        <v>9115.9599999999991</v>
      </c>
      <c r="G88" s="45">
        <v>9948.31</v>
      </c>
      <c r="H88" s="45">
        <v>60764.63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8"/>
      <c r="AB88" s="46" t="s">
        <v>188</v>
      </c>
      <c r="AC88" s="4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</row>
    <row r="89" spans="1:56" s="39" customFormat="1" ht="14.25" x14ac:dyDescent="0.2">
      <c r="A89" s="43"/>
      <c r="B89" s="321" t="s">
        <v>189</v>
      </c>
      <c r="C89" s="322"/>
      <c r="D89" s="44">
        <v>220629.72</v>
      </c>
      <c r="E89" s="44">
        <v>29572.42</v>
      </c>
      <c r="F89" s="45">
        <v>54695.76</v>
      </c>
      <c r="G89" s="45">
        <v>59689.85</v>
      </c>
      <c r="H89" s="45">
        <v>364587.75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8"/>
      <c r="AB89" s="46"/>
      <c r="AC89" s="47"/>
      <c r="AD89" s="47" t="s">
        <v>189</v>
      </c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D89" s="48"/>
    </row>
    <row r="90" spans="1:56" s="39" customFormat="1" ht="11.25" customHeight="1" x14ac:dyDescent="0.2">
      <c r="A90" s="43"/>
      <c r="B90" s="325" t="s">
        <v>190</v>
      </c>
      <c r="C90" s="326"/>
      <c r="D90" s="49"/>
      <c r="E90" s="49"/>
      <c r="F90" s="49"/>
      <c r="G90" s="49"/>
      <c r="H90" s="49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8"/>
      <c r="AB90" s="46"/>
      <c r="AC90" s="47"/>
      <c r="AD90" s="4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</row>
    <row r="91" spans="1:56" s="39" customFormat="1" ht="14.25" x14ac:dyDescent="0.2">
      <c r="A91" s="43"/>
      <c r="B91" s="323" t="s">
        <v>191</v>
      </c>
      <c r="C91" s="324"/>
      <c r="D91" s="49"/>
      <c r="E91" s="49"/>
      <c r="F91" s="49"/>
      <c r="G91" s="49"/>
      <c r="H91" s="44">
        <v>20562.349999999999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8"/>
      <c r="AB91" s="46"/>
      <c r="AC91" s="47"/>
      <c r="AD91" s="4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</row>
    <row r="92" spans="1:56" s="39" customFormat="1" ht="14.25" x14ac:dyDescent="0.2">
      <c r="A92" s="43"/>
      <c r="B92" s="323" t="s">
        <v>192</v>
      </c>
      <c r="C92" s="324"/>
      <c r="D92" s="49"/>
      <c r="E92" s="49"/>
      <c r="F92" s="49"/>
      <c r="G92" s="49"/>
      <c r="H92" s="44">
        <v>20318.740000000002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8"/>
      <c r="AB92" s="46"/>
      <c r="AC92" s="47"/>
      <c r="AD92" s="4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</row>
    <row r="93" spans="1:56" s="39" customFormat="1" ht="14.25" x14ac:dyDescent="0.2">
      <c r="A93" s="43"/>
      <c r="B93" s="323" t="s">
        <v>193</v>
      </c>
      <c r="C93" s="324"/>
      <c r="D93" s="49"/>
      <c r="E93" s="49"/>
      <c r="F93" s="49"/>
      <c r="G93" s="49"/>
      <c r="H93" s="44">
        <v>6105.29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8"/>
      <c r="AB93" s="46"/>
      <c r="AC93" s="47"/>
      <c r="AD93" s="4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</row>
    <row r="94" spans="1:56" s="39" customFormat="1" ht="14.25" x14ac:dyDescent="0.2">
      <c r="A94" s="43"/>
      <c r="B94" s="323" t="s">
        <v>194</v>
      </c>
      <c r="C94" s="324"/>
      <c r="D94" s="49"/>
      <c r="E94" s="49"/>
      <c r="F94" s="49"/>
      <c r="G94" s="49"/>
      <c r="H94" s="44">
        <v>113914.26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8"/>
      <c r="AB94" s="46"/>
      <c r="AC94" s="47"/>
      <c r="AD94" s="4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</row>
    <row r="95" spans="1:56" s="39" customFormat="1" ht="14.25" x14ac:dyDescent="0.2">
      <c r="A95" s="43"/>
      <c r="B95" s="323" t="s">
        <v>195</v>
      </c>
      <c r="C95" s="324"/>
      <c r="D95" s="49"/>
      <c r="E95" s="49"/>
      <c r="F95" s="49"/>
      <c r="G95" s="49"/>
      <c r="H95" s="44">
        <v>1335.41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8"/>
      <c r="AB95" s="46"/>
      <c r="AC95" s="47"/>
      <c r="AD95" s="4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</row>
    <row r="96" spans="1:56" s="39" customFormat="1" ht="14.25" x14ac:dyDescent="0.2">
      <c r="A96" s="43"/>
      <c r="B96" s="323" t="s">
        <v>196</v>
      </c>
      <c r="C96" s="324"/>
      <c r="D96" s="49"/>
      <c r="E96" s="49"/>
      <c r="F96" s="49"/>
      <c r="G96" s="49"/>
      <c r="H96" s="44">
        <v>23976.02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8"/>
      <c r="AB96" s="46"/>
      <c r="AC96" s="47"/>
      <c r="AD96" s="4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</row>
    <row r="97" spans="1:54" s="39" customFormat="1" ht="14.25" x14ac:dyDescent="0.2">
      <c r="A97" s="43"/>
      <c r="B97" s="323" t="s">
        <v>197</v>
      </c>
      <c r="C97" s="324"/>
      <c r="D97" s="49"/>
      <c r="E97" s="49"/>
      <c r="F97" s="49"/>
      <c r="G97" s="49"/>
      <c r="H97" s="44">
        <v>13599.98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8"/>
      <c r="AB97" s="46"/>
      <c r="AC97" s="47"/>
      <c r="AD97" s="4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</row>
    <row r="98" spans="1:54" s="39" customFormat="1" ht="14.25" x14ac:dyDescent="0.2">
      <c r="A98" s="43"/>
      <c r="B98" s="323" t="s">
        <v>198</v>
      </c>
      <c r="C98" s="324"/>
      <c r="D98" s="49"/>
      <c r="E98" s="49"/>
      <c r="F98" s="49"/>
      <c r="G98" s="49"/>
      <c r="H98" s="44">
        <v>54695.76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8"/>
      <c r="AB98" s="46"/>
      <c r="AC98" s="47"/>
      <c r="AD98" s="4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</row>
    <row r="99" spans="1:54" s="39" customFormat="1" ht="14.25" x14ac:dyDescent="0.2">
      <c r="A99" s="50"/>
      <c r="B99" s="327" t="s">
        <v>199</v>
      </c>
      <c r="C99" s="327"/>
      <c r="D99" s="50"/>
      <c r="E99" s="50"/>
      <c r="F99" s="50"/>
      <c r="G99" s="50"/>
      <c r="H99" s="44">
        <v>59689.85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8"/>
      <c r="AB99" s="46"/>
      <c r="AC99" s="47"/>
      <c r="AD99" s="4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</row>
    <row r="100" spans="1:54" ht="27" customHeight="1" x14ac:dyDescent="0.2"/>
    <row r="101" spans="1:54" s="55" customFormat="1" x14ac:dyDescent="0.25">
      <c r="A101" s="51" t="s">
        <v>200</v>
      </c>
      <c r="B101" s="52"/>
      <c r="C101" s="331"/>
      <c r="D101" s="331"/>
      <c r="E101" s="329" t="s">
        <v>201</v>
      </c>
      <c r="F101" s="329"/>
      <c r="G101" s="329"/>
      <c r="H101" s="329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 t="s">
        <v>53</v>
      </c>
      <c r="AF101" s="53" t="s">
        <v>53</v>
      </c>
      <c r="AG101" s="54" t="s">
        <v>201</v>
      </c>
      <c r="AH101" s="54" t="s">
        <v>53</v>
      </c>
      <c r="AI101" s="54" t="s">
        <v>53</v>
      </c>
      <c r="AJ101" s="54" t="s">
        <v>53</v>
      </c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</row>
    <row r="102" spans="1:54" s="58" customFormat="1" ht="18.75" customHeight="1" x14ac:dyDescent="0.25">
      <c r="A102" s="56"/>
      <c r="B102" s="56"/>
      <c r="C102" s="308" t="s">
        <v>202</v>
      </c>
      <c r="D102" s="308"/>
      <c r="E102" s="308"/>
      <c r="F102" s="308"/>
      <c r="G102" s="308"/>
      <c r="H102" s="308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</row>
    <row r="103" spans="1:54" s="55" customFormat="1" ht="15" x14ac:dyDescent="0.25">
      <c r="A103" s="51" t="s">
        <v>203</v>
      </c>
      <c r="B103" s="52"/>
      <c r="C103"/>
      <c r="D103" s="59"/>
      <c r="E103" s="329" t="s">
        <v>204</v>
      </c>
      <c r="F103" s="329"/>
      <c r="G103" s="329"/>
      <c r="H103" s="329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4" t="s">
        <v>204</v>
      </c>
      <c r="AL103" s="54" t="s">
        <v>53</v>
      </c>
      <c r="AM103" s="54" t="s">
        <v>53</v>
      </c>
      <c r="AN103" s="54" t="s">
        <v>53</v>
      </c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</row>
    <row r="104" spans="1:54" s="58" customFormat="1" ht="18.75" customHeight="1" x14ac:dyDescent="0.25">
      <c r="A104" s="56"/>
      <c r="B104" s="56"/>
      <c r="C104" s="308" t="s">
        <v>202</v>
      </c>
      <c r="D104" s="308"/>
      <c r="E104" s="308"/>
      <c r="F104" s="308"/>
      <c r="G104" s="308"/>
      <c r="H104" s="308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</row>
    <row r="105" spans="1:54" s="55" customFormat="1" x14ac:dyDescent="0.25">
      <c r="A105" s="330" t="s">
        <v>205</v>
      </c>
      <c r="B105" s="330"/>
      <c r="C105" s="330"/>
      <c r="D105" s="330"/>
      <c r="E105" s="329" t="s">
        <v>206</v>
      </c>
      <c r="F105" s="329"/>
      <c r="G105" s="329"/>
      <c r="H105" s="329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4" t="s">
        <v>205</v>
      </c>
      <c r="AP105" s="54" t="s">
        <v>53</v>
      </c>
      <c r="AQ105" s="54" t="s">
        <v>53</v>
      </c>
      <c r="AR105" s="54" t="s">
        <v>53</v>
      </c>
      <c r="AS105" s="54" t="s">
        <v>206</v>
      </c>
      <c r="AT105" s="54" t="s">
        <v>53</v>
      </c>
      <c r="AU105" s="54" t="s">
        <v>53</v>
      </c>
      <c r="AV105" s="54" t="s">
        <v>53</v>
      </c>
      <c r="AW105" s="53"/>
      <c r="AX105" s="53"/>
      <c r="AY105" s="53"/>
      <c r="AZ105" s="53"/>
      <c r="BA105" s="53"/>
      <c r="BB105" s="53"/>
    </row>
    <row r="106" spans="1:54" s="58" customFormat="1" ht="18.75" customHeight="1" x14ac:dyDescent="0.25">
      <c r="A106" s="56"/>
      <c r="B106" s="56"/>
      <c r="C106" s="308" t="s">
        <v>202</v>
      </c>
      <c r="D106" s="308"/>
      <c r="E106" s="308"/>
      <c r="F106" s="308"/>
      <c r="G106" s="308"/>
      <c r="H106" s="308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</row>
    <row r="107" spans="1:54" s="55" customFormat="1" ht="33.75" x14ac:dyDescent="0.25">
      <c r="A107" s="51" t="s">
        <v>51</v>
      </c>
      <c r="B107" s="52"/>
      <c r="C107" s="328" t="s">
        <v>207</v>
      </c>
      <c r="D107" s="328"/>
      <c r="E107" s="329" t="s">
        <v>208</v>
      </c>
      <c r="F107" s="329"/>
      <c r="G107" s="329"/>
      <c r="H107" s="329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4" t="s">
        <v>207</v>
      </c>
      <c r="AX107" s="54" t="s">
        <v>53</v>
      </c>
      <c r="AY107" s="54" t="s">
        <v>208</v>
      </c>
      <c r="AZ107" s="54" t="s">
        <v>53</v>
      </c>
      <c r="BA107" s="54" t="s">
        <v>53</v>
      </c>
      <c r="BB107" s="54" t="s">
        <v>53</v>
      </c>
    </row>
    <row r="108" spans="1:54" s="58" customFormat="1" ht="18.75" customHeight="1" x14ac:dyDescent="0.25">
      <c r="A108" s="56"/>
      <c r="B108" s="56"/>
      <c r="C108" s="308" t="s">
        <v>209</v>
      </c>
      <c r="D108" s="308"/>
      <c r="E108" s="308"/>
      <c r="F108" s="308"/>
      <c r="G108" s="308"/>
      <c r="H108" s="308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</row>
  </sheetData>
  <mergeCells count="68">
    <mergeCell ref="C106:H106"/>
    <mergeCell ref="C107:D107"/>
    <mergeCell ref="E107:H107"/>
    <mergeCell ref="C108:H108"/>
    <mergeCell ref="E101:H101"/>
    <mergeCell ref="C102:H102"/>
    <mergeCell ref="E103:H103"/>
    <mergeCell ref="C104:H104"/>
    <mergeCell ref="A105:D105"/>
    <mergeCell ref="E105:H105"/>
    <mergeCell ref="C101:D101"/>
    <mergeCell ref="B95:C95"/>
    <mergeCell ref="B96:C96"/>
    <mergeCell ref="B97:C97"/>
    <mergeCell ref="B98:C98"/>
    <mergeCell ref="B99:C99"/>
    <mergeCell ref="B94:C94"/>
    <mergeCell ref="B79:C79"/>
    <mergeCell ref="A80:H80"/>
    <mergeCell ref="B83:C83"/>
    <mergeCell ref="B84:C84"/>
    <mergeCell ref="A85:H85"/>
    <mergeCell ref="B88:C88"/>
    <mergeCell ref="B89:C89"/>
    <mergeCell ref="B90:C90"/>
    <mergeCell ref="B91:C91"/>
    <mergeCell ref="B92:C92"/>
    <mergeCell ref="B93:C93"/>
    <mergeCell ref="B78:C78"/>
    <mergeCell ref="B47:C47"/>
    <mergeCell ref="B48:C48"/>
    <mergeCell ref="A49:H49"/>
    <mergeCell ref="B52:C52"/>
    <mergeCell ref="B53:C53"/>
    <mergeCell ref="A54:H54"/>
    <mergeCell ref="B64:C64"/>
    <mergeCell ref="B65:C65"/>
    <mergeCell ref="A66:H66"/>
    <mergeCell ref="B69:C69"/>
    <mergeCell ref="A70:H70"/>
    <mergeCell ref="A43:H43"/>
    <mergeCell ref="H22:H23"/>
    <mergeCell ref="A25:H25"/>
    <mergeCell ref="B27:C27"/>
    <mergeCell ref="A28:H28"/>
    <mergeCell ref="B31:C31"/>
    <mergeCell ref="A32:H32"/>
    <mergeCell ref="B34:C34"/>
    <mergeCell ref="A35:H35"/>
    <mergeCell ref="B38:C38"/>
    <mergeCell ref="A39:H39"/>
    <mergeCell ref="B42:C42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B16:G16"/>
    <mergeCell ref="C4:G4"/>
    <mergeCell ref="C5:G5"/>
    <mergeCell ref="C9:G9"/>
    <mergeCell ref="C10:G10"/>
    <mergeCell ref="B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ПЗ</vt:lpstr>
      <vt:lpstr>Протокол</vt:lpstr>
      <vt:lpstr>НМЦ</vt:lpstr>
      <vt:lpstr>Смета договора</vt:lpstr>
      <vt:lpstr>НМЦК</vt:lpstr>
      <vt:lpstr>ВОР</vt:lpstr>
      <vt:lpstr>Фактический индекс</vt:lpstr>
      <vt:lpstr>Прогнозный индекс</vt:lpstr>
      <vt:lpstr>ССРСС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2025-11-19T10:30:30Z</dcterms:modified>
</cp:coreProperties>
</file>