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0700" windowHeight="11580" tabRatio="834" firstSheet="1" activeTab="6"/>
  </bookViews>
  <sheets>
    <sheet name="дендрология" sheetId="28" state="hidden" r:id="rId1"/>
    <sheet name="График работ" sheetId="52" r:id="rId2"/>
    <sheet name="УНЦС" sheetId="54" r:id="rId3"/>
    <sheet name="Ориентировочная сумма КВЛ" sheetId="49" r:id="rId4"/>
    <sheet name="Пояснительная" sheetId="48" r:id="rId5"/>
    <sheet name="Протокол" sheetId="51" r:id="rId6"/>
    <sheet name="НМЦ" sheetId="47" r:id="rId7"/>
    <sheet name="НМЦК" sheetId="50" r:id="rId8"/>
    <sheet name="Cводная смета ПИР" sheetId="13" r:id="rId9"/>
    <sheet name="ПД " sheetId="45" r:id="rId10"/>
    <sheet name="Экспертиза ПД и ИЗ" sheetId="3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dck" localSheetId="2">[1]топография!#REF!</definedName>
    <definedName name="dck">[1]топография!#REF!</definedName>
    <definedName name="Itog" localSheetId="2">#REF!</definedName>
    <definedName name="Itog">#REF!</definedName>
    <definedName name="KPlan" localSheetId="2">#REF!</definedName>
    <definedName name="KPlan">#REF!</definedName>
    <definedName name="SM_STO" localSheetId="2">#REF!</definedName>
    <definedName name="SM_STO">#REF!</definedName>
    <definedName name="SM_STO1" localSheetId="2">#REF!</definedName>
    <definedName name="SM_STO1">#REF!</definedName>
    <definedName name="SM_STO2" localSheetId="2">#REF!</definedName>
    <definedName name="SM_STO2">#REF!</definedName>
    <definedName name="SM_STO3" localSheetId="2">#REF!</definedName>
    <definedName name="SM_STO3">#REF!</definedName>
    <definedName name="SUM_" localSheetId="2">#REF!</definedName>
    <definedName name="SUM_">#REF!</definedName>
    <definedName name="SUM_1" localSheetId="2">#REF!</definedName>
    <definedName name="SUM_1">#REF!</definedName>
    <definedName name="SUM_3" localSheetId="2">#REF!</definedName>
    <definedName name="SUM_3">#REF!</definedName>
    <definedName name="wrn.1." hidden="1">{#N/A,#N/A,FALSE,"Шаблон_Спец1"}</definedName>
    <definedName name="ZAK1" localSheetId="2">#REF!</definedName>
    <definedName name="ZAK1">#REF!</definedName>
    <definedName name="ZAK2" localSheetId="2">#REF!</definedName>
    <definedName name="ZAK2">#REF!</definedName>
    <definedName name="а36" localSheetId="2">#REF!</definedName>
    <definedName name="а36">#REF!</definedName>
    <definedName name="аа" localSheetId="2">[1]топография!#REF!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 localSheetId="2">[1]топография!#REF!</definedName>
    <definedName name="вв">[1]топография!#REF!</definedName>
    <definedName name="д1" localSheetId="2">#REF!</definedName>
    <definedName name="д1">#REF!</definedName>
    <definedName name="д10" localSheetId="2">#REF!</definedName>
    <definedName name="д10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5" localSheetId="2">#REF!</definedName>
    <definedName name="д5">#REF!</definedName>
    <definedName name="д6" localSheetId="2">#REF!</definedName>
    <definedName name="д6">#REF!</definedName>
    <definedName name="д7" localSheetId="2">#REF!</definedName>
    <definedName name="д7">#REF!</definedName>
    <definedName name="д8" localSheetId="2">#REF!</definedName>
    <definedName name="д8">#REF!</definedName>
    <definedName name="д9" localSheetId="2">#REF!</definedName>
    <definedName name="д9">#REF!</definedName>
    <definedName name="дж">[3]Вспомогательный!$D$36</definedName>
    <definedName name="дж1">[3]Вспомогательный!$D$38</definedName>
    <definedName name="ДЛО" localSheetId="2">#REF!</definedName>
    <definedName name="ДЛО">#REF!</definedName>
    <definedName name="дп" localSheetId="2">#REF!</definedName>
    <definedName name="дп">#REF!</definedName>
    <definedName name="ДСК" localSheetId="2">[4]топография!#REF!</definedName>
    <definedName name="ДСК">[4]топография!#REF!</definedName>
    <definedName name="дэ" localSheetId="2">#REF!</definedName>
    <definedName name="дэ">#REF!</definedName>
    <definedName name="жж">[3]Вспомогательный!$D$80</definedName>
    <definedName name="ии" localSheetId="2">#REF!</definedName>
    <definedName name="ии">#REF!</definedName>
    <definedName name="инфл" localSheetId="2">#REF!</definedName>
    <definedName name="инфл">#REF!</definedName>
    <definedName name="ип" localSheetId="2">#REF!</definedName>
    <definedName name="ип">#REF!</definedName>
    <definedName name="к1" localSheetId="2">#REF!</definedName>
    <definedName name="к1">#REF!</definedName>
    <definedName name="к10" localSheetId="2">#REF!</definedName>
    <definedName name="к10">#REF!</definedName>
    <definedName name="к101" localSheetId="2">#REF!</definedName>
    <definedName name="к101">#REF!</definedName>
    <definedName name="К105" localSheetId="2">#REF!</definedName>
    <definedName name="К105">#REF!</definedName>
    <definedName name="к11" localSheetId="2">#REF!</definedName>
    <definedName name="к11">#REF!</definedName>
    <definedName name="к12" localSheetId="2">#REF!</definedName>
    <definedName name="к12">#REF!</definedName>
    <definedName name="к13" localSheetId="2">#REF!</definedName>
    <definedName name="к13">#REF!</definedName>
    <definedName name="к14" localSheetId="2">#REF!</definedName>
    <definedName name="к14">#REF!</definedName>
    <definedName name="к15" localSheetId="2">#REF!</definedName>
    <definedName name="к15">#REF!</definedName>
    <definedName name="к16" localSheetId="2">#REF!</definedName>
    <definedName name="к16">#REF!</definedName>
    <definedName name="к17" localSheetId="2">#REF!</definedName>
    <definedName name="к17">#REF!</definedName>
    <definedName name="к18" localSheetId="2">#REF!</definedName>
    <definedName name="к18">#REF!</definedName>
    <definedName name="к19" localSheetId="2">#REF!</definedName>
    <definedName name="к19">#REF!</definedName>
    <definedName name="к2" localSheetId="2">#REF!</definedName>
    <definedName name="к2">#REF!</definedName>
    <definedName name="к20" localSheetId="2">#REF!</definedName>
    <definedName name="к20">#REF!</definedName>
    <definedName name="к21" localSheetId="2">#REF!</definedName>
    <definedName name="к21">#REF!</definedName>
    <definedName name="к22" localSheetId="2">#REF!</definedName>
    <definedName name="к22">#REF!</definedName>
    <definedName name="к23" localSheetId="2">#REF!</definedName>
    <definedName name="к23">#REF!</definedName>
    <definedName name="к231" localSheetId="2">#REF!</definedName>
    <definedName name="к231">#REF!</definedName>
    <definedName name="к24" localSheetId="2">#REF!</definedName>
    <definedName name="к24">#REF!</definedName>
    <definedName name="к25" localSheetId="2">#REF!</definedName>
    <definedName name="к25">#REF!</definedName>
    <definedName name="к26" localSheetId="2">#REF!</definedName>
    <definedName name="к26">#REF!</definedName>
    <definedName name="к27" localSheetId="2">#REF!</definedName>
    <definedName name="к27">#REF!</definedName>
    <definedName name="к28" localSheetId="2">#REF!</definedName>
    <definedName name="к28">#REF!</definedName>
    <definedName name="к29" localSheetId="2">#REF!</definedName>
    <definedName name="к29">#REF!</definedName>
    <definedName name="к2п" localSheetId="2">#REF!</definedName>
    <definedName name="к2п">#REF!</definedName>
    <definedName name="к3" localSheetId="2">#REF!</definedName>
    <definedName name="к3">#REF!</definedName>
    <definedName name="к30" localSheetId="2">#REF!</definedName>
    <definedName name="к30">#REF!</definedName>
    <definedName name="к3п" localSheetId="2">#REF!</definedName>
    <definedName name="к3п">#REF!</definedName>
    <definedName name="к5" localSheetId="2">#REF!</definedName>
    <definedName name="к5">#REF!</definedName>
    <definedName name="к6" localSheetId="2">#REF!</definedName>
    <definedName name="к6">#REF!</definedName>
    <definedName name="к7" localSheetId="2">#REF!</definedName>
    <definedName name="к7">#REF!</definedName>
    <definedName name="к8" localSheetId="2">#REF!</definedName>
    <definedName name="к8">#REF!</definedName>
    <definedName name="к9" localSheetId="2">#REF!</definedName>
    <definedName name="к9">#REF!</definedName>
    <definedName name="ккее" localSheetId="2">#REF!</definedName>
    <definedName name="ккее">#REF!</definedName>
    <definedName name="конкурс" localSheetId="2">#REF!</definedName>
    <definedName name="конкурс">#REF!</definedName>
    <definedName name="кп" localSheetId="2">#REF!</definedName>
    <definedName name="кп">#REF!</definedName>
    <definedName name="Крек">'[2]Лист опроса'!$B$17</definedName>
    <definedName name="Крп">'[2]Лист опроса'!$B$19</definedName>
    <definedName name="курорты" localSheetId="2">#REF!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 localSheetId="2">#REF!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8">'Cводная смета ПИР'!$A$1:$G$33</definedName>
    <definedName name="_xlnm.Print_Area" localSheetId="1">'График работ'!#REF!</definedName>
    <definedName name="_xlnm.Print_Area" localSheetId="6">НМЦ!$A$1:$E$23</definedName>
    <definedName name="_xlnm.Print_Area" localSheetId="7">НМЦК!$A$1:$G$45</definedName>
    <definedName name="_xlnm.Print_Area" localSheetId="9">'ПД '!$A$1:$J$83</definedName>
    <definedName name="_xlnm.Print_Area" localSheetId="4">Пояснительная!$A$1:$C$20</definedName>
    <definedName name="_xlnm.Print_Area" localSheetId="5">Протокол!$A$1:$N$27</definedName>
    <definedName name="_xlnm.Print_Area" localSheetId="10">'Экспертиза ПД и ИЗ'!$A$1:$H$22</definedName>
    <definedName name="ООО_НИИПРИИ___Севзапинжтехнология" localSheetId="2">#REF!</definedName>
    <definedName name="ООО_НИИПРИИ___Севзапинжтехнология">#REF!</definedName>
    <definedName name="пионер" localSheetId="2">#REF!</definedName>
    <definedName name="пионер">#REF!</definedName>
    <definedName name="Пкр">'[2]Лист опроса'!$B$41</definedName>
    <definedName name="План">'[6]Смета 7'!$F$1</definedName>
    <definedName name="пппп" localSheetId="2">#REF!</definedName>
    <definedName name="пппп">#REF!</definedName>
    <definedName name="пробная" localSheetId="2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 localSheetId="2">#REF!</definedName>
    <definedName name="рек">#REF!</definedName>
    <definedName name="рига">'[8]СметаСводная снег'!$E$7</definedName>
    <definedName name="С" hidden="1">{#N/A,#N/A,FALSE,"Шаблон_Спец1"}</definedName>
    <definedName name="с1" localSheetId="2">#REF!</definedName>
    <definedName name="с1">#REF!</definedName>
    <definedName name="с10" localSheetId="2">#REF!</definedName>
    <definedName name="с10">#REF!</definedName>
    <definedName name="с2" localSheetId="2">#REF!</definedName>
    <definedName name="с2">#REF!</definedName>
    <definedName name="с3" localSheetId="2">#REF!</definedName>
    <definedName name="с3">#REF!</definedName>
    <definedName name="с4" localSheetId="2">#REF!</definedName>
    <definedName name="с4">#REF!</definedName>
    <definedName name="с5" localSheetId="2">#REF!</definedName>
    <definedName name="с5">#REF!</definedName>
    <definedName name="с6" localSheetId="2">#REF!</definedName>
    <definedName name="с6">#REF!</definedName>
    <definedName name="с7" localSheetId="2">#REF!</definedName>
    <definedName name="с7">#REF!</definedName>
    <definedName name="с8" localSheetId="2">#REF!</definedName>
    <definedName name="с8">#REF!</definedName>
    <definedName name="с9" localSheetId="2">#REF!</definedName>
    <definedName name="с9">#REF!</definedName>
    <definedName name="СВсм">[3]Вспомогательный!$D$36</definedName>
    <definedName name="сев" localSheetId="2">#REF!</definedName>
    <definedName name="сев">#REF!</definedName>
    <definedName name="см_конк" localSheetId="2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 localSheetId="2">#REF!</definedName>
    <definedName name="сп1">#REF!</definedName>
    <definedName name="сп2" localSheetId="2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J28" i="45" l="1"/>
  <c r="O30" i="45"/>
  <c r="O29" i="45"/>
  <c r="O28" i="45"/>
  <c r="J24" i="45"/>
  <c r="O26" i="45"/>
  <c r="O25" i="45"/>
  <c r="O24" i="45"/>
  <c r="J20" i="45"/>
  <c r="D12" i="49" l="1"/>
  <c r="J77" i="45"/>
  <c r="J60" i="45"/>
  <c r="J36" i="45"/>
  <c r="L22" i="45"/>
  <c r="M22" i="45" s="1"/>
  <c r="K15" i="49" l="1"/>
  <c r="K16" i="49"/>
  <c r="K17" i="49"/>
  <c r="K14" i="49" l="1"/>
  <c r="I14" i="49"/>
  <c r="J14" i="49" s="1"/>
  <c r="G15" i="49"/>
  <c r="G113" i="54"/>
  <c r="G119" i="54" s="1"/>
  <c r="G120" i="54" s="1"/>
  <c r="L13" i="49" s="1"/>
  <c r="M13" i="49" s="1"/>
  <c r="G103" i="54"/>
  <c r="G110" i="54" s="1"/>
  <c r="G111" i="54" s="1"/>
  <c r="L5" i="49" s="1"/>
  <c r="J47" i="45"/>
  <c r="J10" i="45"/>
  <c r="L14" i="49" l="1"/>
  <c r="M14" i="49" s="1"/>
  <c r="M5" i="49"/>
  <c r="O12" i="45" l="1"/>
  <c r="O11" i="45"/>
  <c r="O10" i="45"/>
  <c r="E94" i="54" l="1"/>
  <c r="G94" i="54" s="1"/>
  <c r="G100" i="54" s="1"/>
  <c r="G101" i="54" s="1"/>
  <c r="L12" i="49" s="1"/>
  <c r="M12" i="49" s="1"/>
  <c r="G85" i="54"/>
  <c r="G91" i="54" s="1"/>
  <c r="G92" i="54" s="1"/>
  <c r="L11" i="49" s="1"/>
  <c r="M11" i="49" s="1"/>
  <c r="G75" i="54"/>
  <c r="G82" i="54" s="1"/>
  <c r="G63" i="54"/>
  <c r="G62" i="54"/>
  <c r="G53" i="54"/>
  <c r="G59" i="54" s="1"/>
  <c r="G60" i="54" s="1"/>
  <c r="L10" i="49" s="1"/>
  <c r="M10" i="49" s="1"/>
  <c r="G44" i="54"/>
  <c r="G50" i="54" s="1"/>
  <c r="G51" i="54" s="1"/>
  <c r="O79" i="45"/>
  <c r="O78" i="45"/>
  <c r="O77" i="45"/>
  <c r="J52" i="45"/>
  <c r="J68" i="45"/>
  <c r="J64" i="45"/>
  <c r="J32" i="45"/>
  <c r="J18" i="45"/>
  <c r="J14" i="45"/>
  <c r="G64" i="54" l="1"/>
  <c r="G72" i="54" s="1"/>
  <c r="G73" i="54" s="1"/>
  <c r="G83" i="54"/>
  <c r="O81" i="45"/>
  <c r="M16" i="45" l="1"/>
  <c r="L16" i="45"/>
  <c r="O18" i="45"/>
  <c r="M17" i="45"/>
  <c r="L17" i="45"/>
  <c r="E16" i="50" l="1"/>
  <c r="D16" i="50"/>
  <c r="G15" i="13"/>
  <c r="F16" i="50" l="1"/>
  <c r="G16" i="50" l="1"/>
  <c r="H16" i="50"/>
  <c r="C15" i="47"/>
  <c r="E37" i="50"/>
  <c r="E39" i="50" s="1"/>
  <c r="E36" i="50"/>
  <c r="A3" i="47" l="1"/>
  <c r="J73" i="45"/>
  <c r="J56" i="45"/>
  <c r="J42" i="45"/>
  <c r="L82" i="45" l="1"/>
  <c r="O34" i="45"/>
  <c r="O33" i="45"/>
  <c r="O32" i="45"/>
  <c r="L83" i="45" l="1"/>
  <c r="J81" i="45"/>
  <c r="J82" i="45" s="1"/>
  <c r="J83" i="45" s="1"/>
  <c r="O22" i="45"/>
  <c r="O21" i="45"/>
  <c r="O20" i="45"/>
  <c r="G35" i="54" l="1"/>
  <c r="G41" i="54" s="1"/>
  <c r="G26" i="54"/>
  <c r="G32" i="54" s="1"/>
  <c r="G42" i="54" l="1"/>
  <c r="G33" i="54"/>
  <c r="L7" i="49" s="1"/>
  <c r="M7" i="49" s="1"/>
  <c r="L6" i="49" l="1"/>
  <c r="O16" i="45"/>
  <c r="M6" i="49" l="1"/>
  <c r="O14" i="45"/>
  <c r="O15" i="45"/>
  <c r="B27" i="50" l="1"/>
  <c r="B32" i="50" s="1"/>
  <c r="B33" i="50" l="1"/>
  <c r="E40" i="50" s="1"/>
  <c r="G15" i="54"/>
  <c r="G22" i="54" s="1"/>
  <c r="G23" i="54" s="1"/>
  <c r="G5" i="54"/>
  <c r="E14" i="50" l="1"/>
  <c r="E13" i="50"/>
  <c r="L9" i="49"/>
  <c r="M9" i="49" s="1"/>
  <c r="G4" i="54"/>
  <c r="G11" i="54" l="1"/>
  <c r="G12" i="54" l="1"/>
  <c r="L8" i="49" s="1"/>
  <c r="M8" i="49" l="1"/>
  <c r="E44" i="50"/>
  <c r="E45" i="50" s="1"/>
  <c r="C4" i="51" l="1"/>
  <c r="E15" i="50" l="1"/>
  <c r="G17" i="49" l="1"/>
  <c r="I17" i="49" s="1"/>
  <c r="J17" i="49" s="1"/>
  <c r="L17" i="49" s="1"/>
  <c r="M17" i="49" l="1"/>
  <c r="I15" i="49"/>
  <c r="J15" i="49" s="1"/>
  <c r="L15" i="49" l="1"/>
  <c r="M15" i="49" l="1"/>
  <c r="G16" i="49"/>
  <c r="I16" i="49" l="1"/>
  <c r="J16" i="49" s="1"/>
  <c r="L16" i="49" l="1"/>
  <c r="L18" i="49" s="1"/>
  <c r="M16" i="49" l="1"/>
  <c r="M18" i="49" s="1"/>
  <c r="D73" i="13" l="1"/>
  <c r="D70" i="13"/>
  <c r="E70" i="13" s="1"/>
  <c r="D67" i="13"/>
  <c r="E67" i="13" s="1"/>
  <c r="D75" i="13" l="1"/>
  <c r="E75" i="13" s="1"/>
  <c r="E79" i="13" s="1"/>
  <c r="E73" i="13"/>
  <c r="E76" i="13" l="1"/>
  <c r="G17" i="13"/>
  <c r="G13" i="13"/>
  <c r="G16" i="13"/>
  <c r="G14" i="13" l="1"/>
  <c r="G18" i="13" l="1"/>
  <c r="B13" i="50" s="1"/>
  <c r="D13" i="50" s="1"/>
  <c r="F13" i="50" l="1"/>
  <c r="C13" i="47" s="1"/>
  <c r="G13" i="50" l="1"/>
  <c r="C5" i="13"/>
  <c r="C4" i="35"/>
  <c r="D12" i="35" l="1"/>
  <c r="D14" i="35" s="1"/>
  <c r="E54" i="13"/>
  <c r="D49" i="13" l="1"/>
  <c r="E49" i="13" s="1"/>
  <c r="D46" i="13"/>
  <c r="D43" i="13"/>
  <c r="E43" i="13" s="1"/>
  <c r="D51" i="13" l="1"/>
  <c r="E51" i="13" s="1"/>
  <c r="E52" i="13" s="1"/>
  <c r="E46" i="13"/>
  <c r="E55" i="13" l="1"/>
  <c r="D15" i="47" l="1"/>
  <c r="E15" i="47" l="1"/>
  <c r="F20" i="13" l="1"/>
  <c r="A3" i="48" l="1"/>
  <c r="G20" i="13" l="1"/>
  <c r="G21" i="13" s="1"/>
  <c r="B14" i="50" s="1"/>
  <c r="L15" i="28"/>
  <c r="L14" i="28"/>
  <c r="L13" i="28"/>
  <c r="L12" i="28"/>
  <c r="D14" i="50" l="1"/>
  <c r="E78" i="13"/>
  <c r="E80" i="13" s="1"/>
  <c r="E81" i="13" s="1"/>
  <c r="F81" i="13" s="1"/>
  <c r="L16" i="28"/>
  <c r="D18" i="28" s="1"/>
  <c r="L18" i="28" s="1"/>
  <c r="E82" i="13" l="1"/>
  <c r="F14" i="50"/>
  <c r="D16" i="35"/>
  <c r="D18" i="35" s="1"/>
  <c r="D19" i="35" s="1"/>
  <c r="D17" i="28"/>
  <c r="L17" i="28" s="1"/>
  <c r="D27" i="28" s="1"/>
  <c r="L27" i="28" s="1"/>
  <c r="D19" i="28"/>
  <c r="L19" i="28" s="1"/>
  <c r="H14" i="50" l="1"/>
  <c r="C14" i="47"/>
  <c r="L21" i="28"/>
  <c r="D24" i="28" s="1"/>
  <c r="G14" i="50"/>
  <c r="E56" i="13"/>
  <c r="E57" i="13" s="1"/>
  <c r="D13" i="47" s="1"/>
  <c r="D23" i="28" l="1"/>
  <c r="L23" i="28" s="1"/>
  <c r="I14" i="50"/>
  <c r="E58" i="13"/>
  <c r="F57" i="13"/>
  <c r="L24" i="28"/>
  <c r="D14" i="47" l="1"/>
  <c r="D25" i="28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H20" i="35" l="1"/>
  <c r="H21" i="35" s="1"/>
  <c r="G23" i="13" s="1"/>
  <c r="G24" i="13" s="1"/>
  <c r="E13" i="47"/>
  <c r="G25" i="13" l="1"/>
  <c r="B15" i="50"/>
  <c r="B17" i="50" s="1"/>
  <c r="D15" i="50" l="1"/>
  <c r="D17" i="50" s="1"/>
  <c r="E14" i="47"/>
  <c r="B18" i="50" l="1"/>
  <c r="B19" i="50" s="1"/>
  <c r="B20" i="50" s="1"/>
  <c r="F15" i="50"/>
  <c r="F17" i="50" s="1"/>
  <c r="D18" i="50"/>
  <c r="D19" i="50" s="1"/>
  <c r="D20" i="50" s="1"/>
  <c r="C16" i="47" l="1"/>
  <c r="H15" i="50"/>
  <c r="C21" i="47"/>
  <c r="G15" i="50"/>
  <c r="G17" i="50" l="1"/>
  <c r="F18" i="50"/>
  <c r="D21" i="47"/>
  <c r="E21" i="47" s="1"/>
  <c r="C17" i="47"/>
  <c r="F19" i="50" l="1"/>
  <c r="F20" i="50" s="1"/>
  <c r="H20" i="50" s="1"/>
  <c r="C18" i="47"/>
  <c r="G18" i="50"/>
  <c r="D16" i="47"/>
  <c r="D17" i="47" s="1"/>
  <c r="G19" i="50" l="1"/>
  <c r="G20" i="50" s="1"/>
  <c r="E16" i="47"/>
  <c r="D18" i="47"/>
  <c r="E18" i="47" s="1"/>
  <c r="E17" i="47" l="1"/>
  <c r="B19" i="48" s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<sst xmlns="http://schemas.openxmlformats.org/spreadsheetml/2006/main" count="774" uniqueCount="501">
  <si>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</si>
  <si>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</si>
  <si>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</si>
  <si>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</si>
  <si>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</si>
  <si>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</si>
  <si>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</si>
  <si>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</si>
  <si>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</si>
  <si>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</si>
  <si>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</si>
  <si>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</si>
  <si>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</si>
  <si>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</si>
  <si>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</si>
  <si>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</si>
  <si>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</si>
  <si>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</si>
  <si>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</si>
  <si>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</si>
  <si>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</si>
  <si>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</si>
  <si>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</si>
  <si>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</si>
  <si>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</si>
  <si>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</si>
  <si>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</si>
  <si>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</si>
  <si>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</si>
  <si>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</si>
  <si>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</si>
  <si>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</si>
  <si>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</si>
  <si>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</si>
  <si>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</si>
  <si>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</si>
  <si>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</si>
  <si>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</si>
  <si>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</si>
  <si>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</si>
  <si>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</si>
  <si>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</si>
  <si>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</si>
  <si>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</si>
  <si>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</si>
  <si>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</si>
  <si>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</si>
  <si>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</si>
  <si>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</si>
  <si>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</si>
  <si>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</si>
  <si>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</si>
  <si>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</si>
  <si>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</si>
  <si>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</si>
  <si>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</si>
  <si>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</si>
  <si>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</si>
  <si>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</si>
  <si>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</si>
  <si>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</si>
  <si>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</si>
  <si>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</si>
  <si>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</si>
  <si>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</si>
  <si>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</si>
  <si>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</si>
  <si>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</si>
  <si>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</si>
  <si>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</si>
  <si>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</si>
  <si>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</si>
  <si>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</si>
  <si>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</si>
  <si>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</si>
  <si>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</si>
  <si>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</si>
  <si>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</si>
  <si>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</si>
  <si>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</si>
  <si>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</si>
  <si>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</si>
  <si>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</si>
  <si>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</si>
  <si>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</si>
  <si>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</si>
  <si>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</si>
  <si>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</si>
  <si>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</si>
  <si>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</si>
  <si>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</si>
  <si>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</si>
  <si>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</si>
  <si>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</si>
  <si>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>Форма 2П</t>
  </si>
  <si>
    <t>Вид проектных или изыскательских работ</t>
  </si>
  <si>
    <t xml:space="preserve">  </t>
  </si>
  <si>
    <t>АО "КСК"</t>
  </si>
  <si>
    <t>Итого: ИЗ+ПД</t>
  </si>
  <si>
    <t>Примечание</t>
  </si>
  <si>
    <t>м</t>
  </si>
  <si>
    <t>Итого в ценах 2001 г.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</si>
  <si>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</si>
  <si>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</si>
  <si>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</si>
  <si>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</si>
  <si>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 xml:space="preserve">Продолжительность работ в соответствие с Графиком -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</si>
  <si>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</si>
  <si>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</si>
  <si>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</si>
  <si>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</si>
  <si>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</si>
  <si>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</si>
  <si>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Разработка проектной документации стадии " Проектная документация"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</si>
  <si>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</si>
  <si>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</si>
  <si>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</si>
  <si>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</si>
  <si>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</si>
  <si>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К=0,4 Проектная документация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</si>
  <si>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</si>
  <si>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</si>
  <si>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</si>
  <si>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</si>
  <si>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</si>
  <si>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</si>
  <si>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</si>
  <si>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</si>
  <si>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</si>
  <si>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</si>
  <si>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 xml:space="preserve">РАСЧЕТ СТОИМОСТИ РАБОТ  С УЧЕТОМ ИНДЕКСА ДЕФЛЯТОРА </t>
  </si>
  <si>
    <t>К=0,68 коэффициент относительной стоимости, для начисления усл. К-тов (здания и сооруж-6%, технологические и конструктивные решения=52%, электр.-10%)</t>
  </si>
  <si>
    <t>п.м.</t>
  </si>
  <si>
    <t>К=0,76 коэффициент относительной стоимости, для начисления сейсмичности (здания и сооруж-6%, технологические и конструктивные решения=70%)</t>
  </si>
  <si>
    <t>К=1,1 ценообразующий п.2.3.3 полиэтилен</t>
  </si>
  <si>
    <t>К=0,5 Проектная документация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</si>
  <si>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</si>
  <si>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</si>
  <si>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</si>
  <si>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 xml:space="preserve">РАСЧЕТ ИНДЕКСА-ДЕФЛЯТОРА ДЛЯ ИЗЫСКАНИЙ 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</si>
  <si>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</si>
  <si>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 до начала выполнения работ, мес</t>
  </si>
  <si>
    <t>Рост цен                                  Р1= (ИД1-100)/100*Т1/12</t>
  </si>
  <si>
    <t>Индекс роста цен                                              ИРт1=(1+Р1)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</si>
  <si>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</si>
  <si>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до конца года, мес</t>
  </si>
  <si>
    <t>Рост цен                               Р2= (ИД2-100)/100*Т2/12</t>
  </si>
  <si>
    <t>Индекс роста цен                                     ИРт2=(1+Р2)</t>
  </si>
  <si>
    <t>2019  год</t>
  </si>
  <si>
    <t xml:space="preserve">ИД3- индекс -дефлятор Минэкономразвития РФ на капвложения </t>
  </si>
  <si>
    <t>Рост цен                               Р3= (ИД3-100)/100*Т3/12</t>
  </si>
  <si>
    <t>Индекс роста цен                                     ИРт3=(1+Р3)</t>
  </si>
  <si>
    <t>Итого индекс роста цен</t>
  </si>
  <si>
    <t>ИРТ1*ИРТ4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</si>
  <si>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</si>
  <si>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</si>
  <si>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</si>
  <si>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</si>
  <si>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</si>
  <si>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</si>
  <si>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</si>
  <si>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</si>
  <si>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</si>
  <si>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</si>
  <si>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</si>
  <si>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К=0,4- стадия ПД</t>
  </si>
  <si>
    <t>м2</t>
  </si>
  <si>
    <t>1.2</t>
  </si>
  <si>
    <t>Государственная экспертиза проектной документации и результатов инженерных изысканий</t>
  </si>
  <si>
    <t>2020  год</t>
  </si>
  <si>
    <t>Т3 - Продолжительность периода  от начала года до окончания работ, мес</t>
  </si>
  <si>
    <t>Рост цен за период выполнения работ</t>
  </si>
  <si>
    <t>ИРт4=(1+0,5*Р4)</t>
  </si>
  <si>
    <t>Р4= (Р2+Р3)</t>
  </si>
  <si>
    <t xml:space="preserve">К=0,36 коэффициент относительной стоимости для начисления сейсмичности (технологические - 18%, связь - 2 %, электрика- 16%) </t>
  </si>
  <si>
    <t>Колодцы учтены в цене</t>
  </si>
  <si>
    <t>Волоконно-оптический кабель</t>
  </si>
  <si>
    <t>К=1,1 - Проектирование наружных установок промышленного телевизионного оборудования на территории объекта</t>
  </si>
  <si>
    <t>К=0,5- стадия ПД</t>
  </si>
  <si>
    <t>Сети водоснабжения</t>
  </si>
  <si>
    <t>СБЦ  "Коммунальные инженерные сети и сооружения", Таб. 4, п.1 (От 100 до 1000 м)</t>
  </si>
  <si>
    <t xml:space="preserve">К= 1,15 на последующую нить  (п. 2.3.3.  ТЧ) </t>
  </si>
  <si>
    <t>Кабельная линия 0,4 кВ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</si>
  <si>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</si>
  <si>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</si>
  <si>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</si>
  <si>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</si>
  <si>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</si>
  <si>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</si>
  <si>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СБЦ  "Коммунальные инженерные сети и сооружения", Таб. 4, п.18 (До 300 м)</t>
  </si>
  <si>
    <t>Смета № 2-из</t>
  </si>
  <si>
    <t>Смета № 1-из</t>
  </si>
  <si>
    <t>Смета № 3-из</t>
  </si>
  <si>
    <t>Смета № 4-из</t>
  </si>
  <si>
    <t>2 месяца</t>
  </si>
  <si>
    <t>СБЦ  "Коммунальные инженерные сети и сооружения", Таб. 17, п.2 (от 100 до 500 м)</t>
  </si>
  <si>
    <t>16 декабря 2019.  </t>
  </si>
  <si>
    <t>13 февраля 2020 г.</t>
  </si>
  <si>
    <t>РАСЧЕТ ИНДЕКСА-ДЕФЛЯТОРА ДЛЯ ПРОЕКТНОЙ ДОКУМЕНТАЦИИ</t>
  </si>
  <si>
    <t>(включая период прохождения экспертизы ПД)</t>
  </si>
  <si>
    <t>12 июня 2020 г.</t>
  </si>
  <si>
    <t>5,9 месяцев</t>
  </si>
  <si>
    <t>№</t>
  </si>
  <si>
    <t>Наименование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</si>
  <si>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</si>
  <si>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</si>
  <si>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</si>
  <si>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</si>
  <si>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</si>
  <si>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</si>
  <si>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</si>
  <si>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ИТОГО:</t>
  </si>
  <si>
    <t>II квартал 2016 г.</t>
  </si>
  <si>
    <t>Основной показатель</t>
  </si>
  <si>
    <t>Единица измерения основного показателя</t>
  </si>
  <si>
    <t>Стоимость единицы показателя, тыс. руб. без НДС</t>
  </si>
  <si>
    <t>п.м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</si>
  <si>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Лунная поляна (этапы 1, 2). Этап 2.  ЛС 05-02 Внутриплощадочные связи</t>
  </si>
  <si>
    <t>II квартал 2019 г.</t>
  </si>
  <si>
    <t>"Объекты Северного склона поселка Романтик, ВТРК "Архыз". Этап 1. Пассажирская канатная дорога NL1. (Секция 1.G1-G2, Секция 2.G3-G4, Секция 3.G5-G6), ОС 04-05 Кабельные линии 10 и 0,4 кВ</t>
  </si>
  <si>
    <t>Наружное освещение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</si>
  <si>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Лунная поляна (этапы 1, 2). Этап 2.  ЛС 07-07 Наружное освещение автомобильной дороги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</si>
  <si>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</si>
  <si>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</si>
  <si>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</si>
  <si>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</si>
  <si>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</si>
  <si>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</si>
  <si>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</si>
  <si>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</si>
  <si>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</si>
  <si>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</si>
  <si>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</si>
  <si>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</si>
  <si>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</si>
  <si>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</si>
  <si>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</si>
  <si>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</si>
  <si>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</si>
  <si>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</si>
  <si>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</si>
  <si>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</si>
  <si>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</si>
  <si>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</si>
  <si>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</si>
  <si>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</si>
  <si>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</si>
  <si>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</si>
  <si>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</si>
  <si>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</si>
  <si>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</si>
  <si>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</si>
  <si>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</si>
  <si>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</si>
  <si>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</si>
  <si>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</si>
  <si>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</si>
  <si>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</si>
  <si>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</si>
  <si>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</si>
  <si>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</si>
  <si>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</si>
  <si>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</si>
  <si>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</si>
  <si>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Для опредления цены проектных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</si>
  <si>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1 октября 2019 г. № 33198-ПБ/Д03и.</t>
  </si>
  <si>
    <t>В расчете учтен резерв средств на непредвиденные затраты в размере 2%</t>
  </si>
  <si>
    <t>Налог на добавленную стоимость - 20 %</t>
  </si>
  <si>
    <t>2016г.</t>
  </si>
  <si>
    <t>2017г.</t>
  </si>
  <si>
    <t>1. Письмо Министерства экономического развития РФ от 20 июня 2016 г. N Д28и-1655 "О разъяснениях, связанных с применением постановления Правительства Российской Федерации от 14 марта 2016 г. N 191"</t>
  </si>
  <si>
    <t>2. Письмо Минэкономразвития России (Министерства экономического развития РФ) от 03 октября 2018 г. №28438-АТ/Д03и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</si>
  <si>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</si>
  <si>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</si>
  <si>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2019г.</t>
  </si>
  <si>
    <t>2020г.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</si>
  <si>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</si>
  <si>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</si>
  <si>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</si>
  <si>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2021г.</t>
  </si>
  <si>
    <t>РД</t>
  </si>
  <si>
    <t>Наименование объекта строительства</t>
  </si>
  <si>
    <t>Обоснование</t>
  </si>
  <si>
    <t>Кол.</t>
  </si>
  <si>
    <t>Стоимость в  тыс. руб.</t>
  </si>
  <si>
    <t xml:space="preserve">Регионально-климатический коэффициент </t>
  </si>
  <si>
    <t>Стоимость единицы изм. по состоянию на 01.01.2020 г., тыс. руб.*</t>
  </si>
  <si>
    <t>Поправочные коэффициенты</t>
  </si>
  <si>
    <t>Коэффициент на сейсмичность</t>
  </si>
  <si>
    <t>Зональный коэффициент</t>
  </si>
  <si>
    <t>Расчет по УНЦС</t>
  </si>
  <si>
    <t>1 км</t>
  </si>
  <si>
    <t>ТЧ сборника п.26
Таблица № 6</t>
  </si>
  <si>
    <t>ТЧ сборника п.29</t>
  </si>
  <si>
    <t>НЦС 81-02-14-2020
Таблица 14-07-005-07
Наружные инженерные сети канализации из полиэтиленовых труб, разработка сухого грунта в oтвал, без креплений (группа грунтов 4)
диаметром 400 мм 
глубиной 2 м (прим.)</t>
  </si>
  <si>
    <t>ТЧ сборника п.27 
Таблица № 7
I температурная зона</t>
  </si>
  <si>
    <t>(1,00295^6,7+1,00295^11)/2</t>
  </si>
  <si>
    <t>НЦС 81-02-14-2020
Таблица 14-07-005-01
Наружные инженерные сети канализации из полиэтиленовых труб, разработка сухого грунта в oтвал, без креплений (группа грунтов 4)
диаметром 160 мм 
глубиной 2 м (прим.)</t>
  </si>
  <si>
    <t>НЦС 81-02-14-2020
Таблица 14-06-005-05
Наружные инженерные сети водоснабжения из полиэтиленовых труб, разработка сухого грунта в oтвал, без креплений (группа грунтов 4)
диаметром 160 мм 
глубиной 2 м (прим.)</t>
  </si>
  <si>
    <t>Прокладка в 2 нити</t>
  </si>
  <si>
    <t>ТЧ сборника п.16
Таблица № 1</t>
  </si>
  <si>
    <t>разбить на внутренние и наружные</t>
  </si>
  <si>
    <t>Доля работ, выполняемых в 2020 году</t>
  </si>
  <si>
    <t>Доля работ, выполняемых в 2021 году</t>
  </si>
  <si>
    <t>Продолжительность работ в 2020 году</t>
  </si>
  <si>
    <t>Продолжительность работ в 2021 году</t>
  </si>
  <si>
    <t>Индекс Минэкономразвития РФ на 2021 г. (Письмо Минэкономразвития России от 1 октября 2019 г. 
№ 33198-ПБ/Д03и)</t>
  </si>
  <si>
    <t xml:space="preserve">Продолжительность выполнения инженерных изысканий и проектной документации </t>
  </si>
  <si>
    <t>Гидранты
3шт</t>
  </si>
  <si>
    <t>до 300мм</t>
  </si>
  <si>
    <t xml:space="preserve">к = 0,2 повторное применение чертежей (п. 2.3.3.  ТЧ) </t>
  </si>
  <si>
    <t>Сервер видеонаблюдения</t>
  </si>
  <si>
    <t>1 комплекс</t>
  </si>
  <si>
    <t>1 камера</t>
  </si>
  <si>
    <t>К=0,76 коэффициент относительной стоимости, для начисления сейсмичности (здания и сооруж - 6%, технологические и конструктивные решения - 70%)</t>
  </si>
  <si>
    <t>ТЧ сборника п.28</t>
  </si>
  <si>
    <t>Благоустройство (Озеленение)</t>
  </si>
  <si>
    <t>100м2</t>
  </si>
  <si>
    <t>ТЧ сборника п.19
Таблица № 2</t>
  </si>
  <si>
    <t>ТЧ сборника п.20</t>
  </si>
  <si>
    <t>НЦС 81-02-16-2020
Таблица 16-06-002-02
Площадки из асфальтобетонной смеси 2-х слойные (прим.)</t>
  </si>
  <si>
    <t>ТЧ сборника п.25
Таблица № 7</t>
  </si>
  <si>
    <t>ТЧ сборника п.26
Таблица № 8</t>
  </si>
  <si>
    <t>Продолжительность работ в соответствие с Графиком</t>
  </si>
  <si>
    <t xml:space="preserve"> Стоимость проектирования  объекта в прогнозных ценах периода проектирования (руб.)</t>
  </si>
  <si>
    <t>30000*(1+0,2*2)*(0,76*1,3+0,24)*0,5</t>
  </si>
  <si>
    <t>Кабельная линия 0,4 кВ
500м</t>
  </si>
  <si>
    <t>(7,763+0,042*500)*1000
*(0,76*1,3+0,24)*0,4</t>
  </si>
  <si>
    <t>85,45*(0,36*1,3+0,64)
*0,5*1000</t>
  </si>
  <si>
    <t>Кабардино-Балкарская Республика, всесезонный туристско-рекреационный комплекс «Эльбрус»</t>
  </si>
  <si>
    <t>Коэффициент перехода от базового района к уровню цен Кабардино-Балкарская Республика</t>
  </si>
  <si>
    <t>1,036*1,037*1,037</t>
  </si>
  <si>
    <t>2022г.</t>
  </si>
  <si>
    <t>Индекс пересчета в уровень цен 
IVкв. 2022 г.</t>
  </si>
  <si>
    <t>Сети водоснабжения диам. 160мм 2 нити</t>
  </si>
  <si>
    <t>Сети хоз бытовой канализации 200 м</t>
  </si>
  <si>
    <t>Пересчет в уровень цен на 2022 г. по индексам Минэкономразвития РФ</t>
  </si>
  <si>
    <t>НЦС 81-02-17-2020
Таблица 17-02-004-01
Озеленение территорий спортивных объектов с
площадью газонов 30% (прим.)</t>
  </si>
  <si>
    <t>ежемесячный индекс прогноз на 2020 год</t>
  </si>
  <si>
    <t>ежемесячный индекс прогноз на 2021 год</t>
  </si>
  <si>
    <t>Итого индекс прогнозной инфляции</t>
  </si>
  <si>
    <t>Геофизические исследования</t>
  </si>
  <si>
    <t>1.5</t>
  </si>
  <si>
    <t>Смета № 6-из</t>
  </si>
  <si>
    <t>Затраты на экологтческую экспертизу</t>
  </si>
  <si>
    <t>Экологическая экспертиза</t>
  </si>
  <si>
    <t>геофизические исследования</t>
  </si>
  <si>
    <t>- затраты на экологическую экспертизу;</t>
  </si>
  <si>
    <t>Индекс пересчета в текущие цены 2020 г</t>
  </si>
  <si>
    <t>1м2</t>
  </si>
  <si>
    <t>Оценка воздействия объекта капитального строительства на окружающую среду (ОВОС)</t>
  </si>
  <si>
    <t>- затраты на проектные работы стадии "Проектная документация"</t>
  </si>
  <si>
    <t>- затраты на оплату услуг Государственной экспертизы</t>
  </si>
  <si>
    <t>- затраты на инженерные изыскания: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</si>
  <si>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</si>
  <si>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</si>
  <si>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>СБЦП "Городские инженерные сооружения и коммуникации". 2008 г. 
Таблица № 1, п.1
Транспортные развязки в одном уровне (площади) до 3 га</t>
  </si>
  <si>
    <t>К=0,52 коэффициент относительной стоимости, для начисления усл. к-тов (Архитектурно-строительные решения-52%);
к=0,7 - коэффициент трудоемкости работ (разъяснения ОАО «ЦЕНТРИНВЕСТпроект»)</t>
  </si>
  <si>
    <t>га</t>
  </si>
  <si>
    <t>960*(0,52*1,3+0,48)*0,7
*0,4*1000</t>
  </si>
  <si>
    <t>СБЦП 81-2001-01 "Территориальное планирование и планировка территорий". 2010 г. 
Таблица № 5, п.1
Парки, сады, скверы, бульвары площадью, га</t>
  </si>
  <si>
    <t>(18,92+5,06*(0,4*1+0,6*0,5))*0,7
*0,4*1000</t>
  </si>
  <si>
    <t>Сцена
(Сборно-разборная сцена из легких в использовании алюминиевых ферм)
240м2</t>
  </si>
  <si>
    <t>СБЦП 81-2001-03 "Объекты жилищно-гражданского строительства". 2010 г. 
Таблица № 9, п.5
Трибуна металлическая без подтрибунных помещений (прим.)</t>
  </si>
  <si>
    <t>К=0,66 коэффициент относительной стоимости, для начисления усл. к-тов (АР-14%; КР-15%; Инж.оборудование - 37%);</t>
  </si>
  <si>
    <t>трибуна
(сцена)</t>
  </si>
  <si>
    <t>73,32*(0,66*1,3+0,34)*0,4*1000</t>
  </si>
  <si>
    <t>СБЦП 81-2001-03 "Объекты жилищно-гражданского строительства". 2010 г. 
Таблица № 23, п.8
Рыночные павильоны  (прим.)</t>
  </si>
  <si>
    <t>СБЦ  "Коммунальные инженерные сети и сооружения", Таб. 5, п.3 (От 100 до 1000 м)</t>
  </si>
  <si>
    <t>СБЦ  "Коммунальные инженерные сети и сооружения", Таб. 2, п.3 (От 250 до 1000 м)</t>
  </si>
  <si>
    <t>Автоматизированная система централизованного оповещения (АСЦО)
4 громкоговорителя</t>
  </si>
  <si>
    <t>СБЦП-2001-02 "Объекты связи". 2010 г. 
гл 2 Табл.№ 9 п.3 Производственная громкоговорящая свзяь с кол-ом абонентов (до 10)</t>
  </si>
  <si>
    <t>К=0,48- стадия ПД</t>
  </si>
  <si>
    <t>1 абонент</t>
  </si>
  <si>
    <t>(1,39+0,102*4)*1000* (0,36*1,3+0,64) * 0,48</t>
  </si>
  <si>
    <t xml:space="preserve">СОТ. Видеонаблюдение наружное
7 камер </t>
  </si>
  <si>
    <t>СБЦП-2001-02 "Объекты связи". 2010 г.
гл 2 Табл. № 20 п. 7</t>
  </si>
  <si>
    <t>(36,61+4,57*7)*1,1
*(0,36*1,3+0,64)*0,5*1000</t>
  </si>
  <si>
    <t>СБЦП-2001-02 "Объекты связи". 2010 г. 
гл 2 Табл 20 поз. 10</t>
  </si>
  <si>
    <t>Локальные очистные сооружения производительностью 
45 м3/сутки</t>
  </si>
  <si>
    <t>СБЦП 81-2001-17 "Объекты водоснабжения и канализации", 2015 г.
табл. 21 п.14 (св. 12 до 24 м3/сут)</t>
  </si>
  <si>
    <t>К=0,68 коэффициент относительной стоимости, для начисления сейсмичности (архитектурные решения - 5%, конструктивные решения - 18%, инженерное оборудование - 45%)</t>
  </si>
  <si>
    <t>К=0,6 Проектная документация</t>
  </si>
  <si>
    <t>м3/сутки</t>
  </si>
  <si>
    <t>(11,85+0,41*(0,4*24+0,6*45))
*(0,68*1,3+0,32)*0,6*1000</t>
  </si>
  <si>
    <t>Концепция благоустройства территории</t>
  </si>
  <si>
    <t>960*(0,52*1,3+0,48)*0,7
*0,4*1000*0,25</t>
  </si>
  <si>
    <t>К=0,52 коэффициент относительной стоимости, для начисления усл. к-тов (Архитектурно-строительные решения-52%);
к=0,7 - коэффициент трудоемкости работ (разъяснения ОАО «ЦЕНТРИНВЕСТпроект»);
к=0,25 - Затраты генеральной проектной организации на участие в выборе трассы дороги и площадок сопутствующих сооружений (ТЧ п.2.2.) (прим.)</t>
  </si>
  <si>
    <t>Площадь</t>
  </si>
  <si>
    <t>НЦС 81-02-16-2020
Таблица 16-06-002-02
Площадки, дорожки, троryары шириной от 0,9 м до 2,5 м
с покрытием из асфальтобетонной смеси 2-х слойные</t>
  </si>
  <si>
    <t>Тротуары
(протяж. 2500м шириной 2м + 350м шириной 2м)</t>
  </si>
  <si>
    <t>Малые архитектурные формы</t>
  </si>
  <si>
    <t>Кольцевой разворот</t>
  </si>
  <si>
    <t>1км</t>
  </si>
  <si>
    <t>НЦС 81-02-08-2020
Таблица 08-02-001-01
Обычная автомобильная дорога, категория II, дорожная
одежда капитального типа с асфальтобетонным покрытием</t>
  </si>
  <si>
    <t>Освещение дороги</t>
  </si>
  <si>
    <t>Таблица 1 п.1
на обочине по одной стороне (однонаправленные)</t>
  </si>
  <si>
    <t>Коэффициенты на строительство в высокогорных условиях</t>
  </si>
  <si>
    <t>ТЧ сборника п.21
Таблица № 4</t>
  </si>
  <si>
    <t>Пря укреплении насыпи геосинтетическими материалам</t>
  </si>
  <si>
    <t>ТЧ сборника п.27</t>
  </si>
  <si>
    <t>ТЧ сборника п.31
Таблица № 9</t>
  </si>
  <si>
    <t>ТЧ сборника п.32
Таблица № 10</t>
  </si>
  <si>
    <t>НЦС 81-02-08-2020
Таблица 08-07-001-02
Площадка отдыха с устройством ограждения и
искусственного освещения от 20 до 50 машино-мест</t>
  </si>
  <si>
    <t>Парковочная площадка (ориент. 35машино-мест)</t>
  </si>
  <si>
    <t>Освещение площади</t>
  </si>
  <si>
    <t>НЦС 81-02-16-2020
Таблица 16-07-004-01
Светильники на декоративных кованых опорах с лампами накаливания осветительными общего
назначения</t>
  </si>
  <si>
    <t>ТЧ сборника п.20
Таблица № 3</t>
  </si>
  <si>
    <t>ТЧ сборника п.23
Таблица № 6</t>
  </si>
  <si>
    <t>НЦС 81-02-18-2020
Таблица 18-20-001-01
 Служебно-бытовое здание склада ГСМ (прим.)</t>
  </si>
  <si>
    <t>м3</t>
  </si>
  <si>
    <t>Торговые павильоны
12м2 высотой 2,5м 
(53 шт)</t>
  </si>
  <si>
    <t>Наименование работ</t>
  </si>
  <si>
    <t>Сроки выполнения работ</t>
  </si>
  <si>
    <t>Дата начала</t>
  </si>
  <si>
    <t>Дата окончания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</si>
  <si>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</si>
  <si>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</si>
  <si>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</si>
  <si>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</si>
  <si>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</si>
  <si>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</si>
  <si>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</si>
  <si>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</si>
  <si>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</si>
  <si>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</si>
  <si>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</si>
  <si>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</si>
  <si>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</si>
  <si>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Х</t>
  </si>
  <si>
    <t>Х+60</t>
  </si>
  <si>
    <t>Разработка проектной, в том числе сметной, документации</t>
  </si>
  <si>
    <t>Экологическая экспертиза, в том числе общественные слушания</t>
  </si>
  <si>
    <t>Государственная экспертиза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</si>
  <si>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Приказом акционерного общества "Курорты Северного Кавказа" от 11.10.2019 г. № Пр-19-150; Заданием на проектирование объекта капитального строительства.</t>
  </si>
  <si>
    <t xml:space="preserve">СБЦП 81-2001-03 "Объекты жилищно-гражданского строительства". 2010 г. 
Цена определяется в размере 4% от общей стоимости проектирования - ТЧ п.1.6 </t>
  </si>
  <si>
    <t>Х+10</t>
  </si>
  <si>
    <t>Х+85</t>
  </si>
  <si>
    <t>Х+30</t>
  </si>
  <si>
    <t>Х+105</t>
  </si>
  <si>
    <t>Х+70</t>
  </si>
  <si>
    <t>Х+130</t>
  </si>
  <si>
    <t>3. Продолжительность проектирования 4,3 месяца (в том числе с учетом получения положительного заключения государственной экспертизы).</t>
  </si>
  <si>
    <t>4,3 месяца</t>
  </si>
  <si>
    <t>К= 1,3 ' Усложняющий к-т на сейсмичность - 9 баллов ( МУ 2010 п.3.7)</t>
  </si>
  <si>
    <t>Подпорная стена
габионной конструкции
протяж. 150м
высотой 4м</t>
  </si>
  <si>
    <t>СБЦП "Железные дороги". 2014 г. 
Таблица № 10, п.11.3
Подпорные и ограждающие стенки в грунте высотой до 4,0м</t>
  </si>
  <si>
    <t xml:space="preserve">К=0,8 коэффициент относительной стоимости, для начисления усл. к-тов (Таблица №52 Искусственные сооружения - 80%);
к=0,8 - габионной конструкции </t>
  </si>
  <si>
    <t>(363+2,31*150)*0,8
*(0,8*1,3+0,2)*0,4*1000</t>
  </si>
  <si>
    <t xml:space="preserve">Сети ливневой канализации
диам. до 400мм (полиэтилен)
900м </t>
  </si>
  <si>
    <t>(55,04+0,213*900)*1,1
*(0,76*1,3+0,24)*0,5*1000</t>
  </si>
  <si>
    <t>Сети ливневой канализации Диам.400мм</t>
  </si>
  <si>
    <t>Сети ливневой канализации</t>
  </si>
  <si>
    <t>Подпорная стена габионной конструкции</t>
  </si>
  <si>
    <t>НЦС 81-02-08-2020
Таблица 08-08-003-02
Гравитационные массивные из габионных конструкций высотой до 6м</t>
  </si>
  <si>
    <t>1 пог.м.</t>
  </si>
  <si>
    <t>Подпорная стена</t>
  </si>
  <si>
    <t>НЦС 81-02-18-2020
Таблица 18-20-001-01
Модульное здание перронных служб (прим.)</t>
  </si>
  <si>
    <t>Сцена сборно-разборная</t>
  </si>
  <si>
    <t>Лавинозащита</t>
  </si>
  <si>
    <t>"Горнолыжная трасса EP27 для ВТРК «Эльбрус"</t>
  </si>
  <si>
    <t>Календарный план 
выполнения проектно-изыскательских работ по объекту:
«Благоустройство центральной части Поляны Азау» 1 этап.</t>
  </si>
  <si>
    <t>Всесезонный туристско-рекреационный комплекс «Эльбрус», Кабардино-Балкарская Республика. 
Благоустройство центральной части Поляны Азау 1 этап</t>
  </si>
  <si>
    <t>Предполагаемая (предельная) стоимость строительства объекта: Всесезонный туристско-рекреационный комплекс «Эльбрус», Кабардино-Балкарская Республика. 
Благоустройство центральной части Поляны Азау 1 этап</t>
  </si>
  <si>
    <t>Расчетная стоимость строительства 
«Благоустройство центральной части Поляны Азау» 1 этап.</t>
  </si>
  <si>
    <t>Всесезонный туристско-рекреационный комплекс «Эльбрус», Кабардино-Балкарская Республика. Благоустройство центральной части Поляны Азау 1 этап</t>
  </si>
  <si>
    <t>Рыночная площадь
5500м2</t>
  </si>
  <si>
    <t>Озеленение
1100м2</t>
  </si>
  <si>
    <t>К=0,31 коэффициент относительной стоимости, для начисления усл. к-тов (АР-7%; КР-7%; Инж.оборудование - 17%);
Водоснабжение -4%; Водоотведение - 4%; Вентиляция - 12% - не разрабатываются
к=0,35 - модульные мобильные сооружения полной заводской готовности - МУ 2010 п.3.2 (прим.типовая документация)
к=0,2 - повторно применяемая  проектная документация - МУ 2010 п.3.2</t>
  </si>
  <si>
    <t>Сети водоснабжения
диам. 160мм 
250 м 
2 нитки</t>
  </si>
  <si>
    <t>(12+0,136*250)*1,1*1,15*1000
*(0,76*1,3+0,24)*0,5</t>
  </si>
  <si>
    <t>Сети освещения
600м</t>
  </si>
  <si>
    <t>(25,97+0,063*600)*1000
*(0,68*1,3+0,32)*0,4</t>
  </si>
  <si>
    <t>НЦС 81-02-16-2020
Таблица 16-03-001-01
Малые архитектурные формы для объектов
здравоохранения (прим.)</t>
  </si>
  <si>
    <t>Озеленение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</si>
  <si>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</si>
  <si>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(89,55+0,08*12)*0,35
*(0,31*1,3+0,34)*0,4*1000
*(1+0,2*50)</t>
  </si>
  <si>
    <t>Торговые павильоны
(модульные мобильные сооружения полной заводской готовности)
3м х 4м
51 шт.</t>
  </si>
  <si>
    <t>СБЦП "Железные дороги". 2014 г. 
Таблица № 10, п.21
Здание дежурного по переезду</t>
  </si>
  <si>
    <t>К=0,57 коэффициент относительной стоимости, для начисления усл. к-тов (Таблица №53 АР - 9%; КР - 12%; ТХ - 31%; ЭС - 5%); 
Водоснабжение водоотведение - 4%; Вентиляция - 4% - не разрабатываются
к=0,35 - модульные мобильные сооружения полной заводской готовности - МУ 2010 п.3.2 (прим.типовая документация)</t>
  </si>
  <si>
    <t>здание</t>
  </si>
  <si>
    <t>(110)*(0,57*1,3+0,35)*0,35
*0,4*1000</t>
  </si>
  <si>
    <t>СБЦП "Железные дороги". 2014 г. 
Таблица № 10, п.8.1
Кладовые и подсобно-вспомогательные помещения (до 100м2)</t>
  </si>
  <si>
    <t>(108)*(0,57*1,3+0,35)*0,35
*0,4*1000</t>
  </si>
  <si>
    <t>Павильон технических помещений (модульные мобильные сооружения полной заводской готовности)
3м х 4м</t>
  </si>
  <si>
    <t>Павильон администрации (модульные мобильные сооружения полной заводской готовности)
3м х 4м</t>
  </si>
  <si>
    <t>Сцена 240м2</t>
  </si>
  <si>
    <t>Павильоны (53 шт.)</t>
  </si>
  <si>
    <t>Итого в ценах IV квартала  2020 г.</t>
  </si>
  <si>
    <t>Пересчет в цены IV квартала 2020 г. по письму Минстроя РФ от 02.11.2020 N 44016-ИФ/09 
К = 4,47 (к уровню цен по состоянию на 01.01.2001)</t>
  </si>
  <si>
    <t>Стоимость работ в ценах  сметной документации
IV квартал 2020 г.</t>
  </si>
  <si>
    <t>Стоимость работ в ценах на дату формирования начальной (максимальной) цены контракта - ноябрь 2020г.</t>
  </si>
  <si>
    <r>
      <t xml:space="preserve">Индекс-дефлятор на 2020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IV квартал 2020 года согласно письму Минстроя РФ от 02.11.2020 N 44016-ИФ/09</t>
    </r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</si>
  <si>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IV квартал 2020 года согласно письму Минстроя РФ от 02.11.2020 N 44016-ИФ/09</t>
    </r>
  </si>
  <si>
    <t>Применены индексы на IV квартал 2020 года по письму Минстроя РФ от 02.11.2020 N 44016-ИФ/09</t>
  </si>
  <si>
    <t>Индекс пересчета в текущие цены на IV квартал 2020 г. принят согласно Письму Минстроя России от 02.11.2020 
N 44016-ИФ/09</t>
  </si>
  <si>
    <t>Стоимость инж.изыск.в ценах 4 кв.2020</t>
  </si>
  <si>
    <t>Коэф.4 кв.2020</t>
  </si>
  <si>
    <t>Стоимость проектных работ в ценах 4 кв.2020</t>
  </si>
  <si>
    <t xml:space="preserve">более 1,5 млн </t>
  </si>
  <si>
    <t>(Семнадцать миллионов триста пятьдесят пять тысяч четыреста сорок четыре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</si>
</sst>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* #,##0.00_р_._-;\-* #,##0.00_р_._-;_-* &quot;-&quot;_р_._-;_-@_-"/>
    <numFmt numFmtId="170" formatCode="#,##0_ ;\-#,##0\ "/>
    <numFmt numFmtId="171" formatCode="0.0%"/>
    <numFmt numFmtId="172" formatCode="_-* #,##0&quot;р.&quot;_-;\-* #,##0&quot;р.&quot;_-;_-* &quot;-&quot;&quot;р.&quot;_-;_-@_-"/>
    <numFmt numFmtId="173" formatCode="_-* #,##0.00&quot;р.&quot;_-;\-* #,##0.00&quot;р.&quot;_-;_-* &quot;-&quot;??&quot;р.&quot;_-;_-@_-"/>
    <numFmt numFmtId="174" formatCode="_(* #,##0.00_);_(* \(#,##0.00\);_(* &quot;-&quot;??_);_(@_)"/>
    <numFmt numFmtId="175" formatCode="#,##0.000"/>
    <numFmt numFmtId="176" formatCode="0.000"/>
    <numFmt numFmtId="177" formatCode="0.0"/>
    <numFmt numFmtId="178" formatCode="0.00000"/>
    <numFmt numFmtId="179" formatCode="#,##0.00000"/>
    <numFmt numFmtId="180" formatCode="0.000000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3.5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26">
    <xf numFmtId="0" fontId="0" fillId="0" borderId="0"/>
    <xf numFmtId="0" fontId="20" fillId="0" borderId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3" borderId="0">
      <alignment horizontal="left" vertical="center"/>
    </xf>
    <xf numFmtId="0" fontId="23" fillId="3" borderId="0">
      <alignment horizontal="center" vertical="center"/>
    </xf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right" vertical="center"/>
    </xf>
    <xf numFmtId="0" fontId="23" fillId="3" borderId="0">
      <alignment horizontal="center" vertical="center"/>
    </xf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167" fontId="26" fillId="0" borderId="0" applyFont="0" applyFill="0" applyBorder="0" applyAlignment="0" applyProtection="0"/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left" vertical="center"/>
    </xf>
    <xf numFmtId="0" fontId="27" fillId="4" borderId="0">
      <alignment horizontal="right" vertical="center"/>
    </xf>
    <xf numFmtId="0" fontId="23" fillId="3" borderId="0">
      <alignment horizontal="right" vertical="center"/>
    </xf>
    <xf numFmtId="0" fontId="23" fillId="3" borderId="0">
      <alignment horizontal="right" vertical="center"/>
    </xf>
    <xf numFmtId="0" fontId="23" fillId="3" borderId="0">
      <alignment horizontal="right" vertical="center"/>
    </xf>
    <xf numFmtId="0" fontId="23" fillId="5" borderId="0">
      <alignment horizontal="center" vertical="center"/>
    </xf>
    <xf numFmtId="0" fontId="27" fillId="4" borderId="0">
      <alignment horizontal="left" vertical="center"/>
    </xf>
    <xf numFmtId="0" fontId="27" fillId="0" borderId="0">
      <alignment horizontal="left" vertical="top"/>
    </xf>
    <xf numFmtId="0" fontId="23" fillId="5" borderId="0">
      <alignment horizontal="center" vertical="center"/>
    </xf>
    <xf numFmtId="0" fontId="27" fillId="4" borderId="0">
      <alignment horizontal="center" vertical="center"/>
    </xf>
    <xf numFmtId="0" fontId="27" fillId="0" borderId="0">
      <alignment horizontal="center" vertical="center"/>
    </xf>
    <xf numFmtId="0" fontId="28" fillId="4" borderId="0">
      <alignment horizontal="left" vertical="center"/>
    </xf>
    <xf numFmtId="0" fontId="27" fillId="0" borderId="0">
      <alignment horizontal="center" vertical="center"/>
    </xf>
    <xf numFmtId="0" fontId="27" fillId="4" borderId="0">
      <alignment horizontal="center" vertical="center"/>
    </xf>
    <xf numFmtId="0" fontId="27" fillId="4" borderId="0">
      <alignment horizontal="left" vertical="center"/>
    </xf>
    <xf numFmtId="0" fontId="27" fillId="4" borderId="0">
      <alignment horizontal="right" vertical="center"/>
    </xf>
    <xf numFmtId="0" fontId="27" fillId="4" borderId="0">
      <alignment horizontal="center" vertical="center"/>
    </xf>
    <xf numFmtId="0" fontId="27" fillId="4" borderId="0">
      <alignment horizontal="left" vertical="top"/>
    </xf>
    <xf numFmtId="0" fontId="27" fillId="4" borderId="0">
      <alignment horizontal="right" vertical="center"/>
    </xf>
    <xf numFmtId="0" fontId="27" fillId="4" borderId="0">
      <alignment horizontal="right" vertical="top"/>
    </xf>
    <xf numFmtId="0" fontId="27" fillId="4" borderId="0">
      <alignment horizontal="center" vertical="center"/>
    </xf>
    <xf numFmtId="0" fontId="23" fillId="3" borderId="0">
      <alignment horizontal="center" vertical="center"/>
    </xf>
    <xf numFmtId="0" fontId="23" fillId="3" borderId="0">
      <alignment horizontal="center" vertical="center"/>
    </xf>
    <xf numFmtId="0" fontId="23" fillId="3" borderId="0">
      <alignment horizontal="center" vertical="center"/>
    </xf>
    <xf numFmtId="0" fontId="29" fillId="4" borderId="0">
      <alignment horizontal="left" vertical="top"/>
    </xf>
    <xf numFmtId="0" fontId="27" fillId="4" borderId="0">
      <alignment horizontal="left" vertical="center"/>
    </xf>
    <xf numFmtId="0" fontId="29" fillId="4" borderId="0">
      <alignment horizontal="left" vertical="top"/>
    </xf>
    <xf numFmtId="0" fontId="29" fillId="4" borderId="0">
      <alignment horizontal="center" vertical="center"/>
    </xf>
    <xf numFmtId="0" fontId="30" fillId="4" borderId="0">
      <alignment horizontal="center" vertical="center"/>
    </xf>
    <xf numFmtId="0" fontId="30" fillId="0" borderId="0">
      <alignment horizontal="center" vertical="center"/>
    </xf>
    <xf numFmtId="0" fontId="27" fillId="4" borderId="0">
      <alignment horizontal="center" vertical="center"/>
    </xf>
    <xf numFmtId="0" fontId="27" fillId="0" borderId="0">
      <alignment horizontal="center" vertical="top"/>
    </xf>
    <xf numFmtId="0" fontId="27" fillId="4" borderId="0">
      <alignment horizontal="center" vertical="center"/>
    </xf>
    <xf numFmtId="0" fontId="31" fillId="0" borderId="0">
      <alignment horizontal="left" vertical="top"/>
    </xf>
    <xf numFmtId="0" fontId="27" fillId="4" borderId="0">
      <alignment horizontal="center" vertical="center"/>
    </xf>
    <xf numFmtId="0" fontId="27" fillId="0" borderId="0">
      <alignment horizontal="left" vertical="top"/>
    </xf>
    <xf numFmtId="0" fontId="27" fillId="4" borderId="0">
      <alignment horizontal="left" vertical="center"/>
    </xf>
    <xf numFmtId="0" fontId="31" fillId="0" borderId="0">
      <alignment horizontal="left" vertical="center"/>
    </xf>
    <xf numFmtId="0" fontId="23" fillId="5" borderId="0">
      <alignment horizontal="left" vertical="center"/>
    </xf>
    <xf numFmtId="0" fontId="27" fillId="4" borderId="0">
      <alignment horizontal="left" vertical="center"/>
    </xf>
    <xf numFmtId="0" fontId="31" fillId="0" borderId="0">
      <alignment horizontal="left" vertical="top"/>
    </xf>
    <xf numFmtId="0" fontId="23" fillId="5" borderId="0">
      <alignment horizontal="left" vertical="center"/>
    </xf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1" fillId="0" borderId="0"/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left" vertical="center"/>
    </xf>
    <xf numFmtId="0" fontId="23" fillId="3" borderId="0">
      <alignment horizontal="right" vertical="center"/>
    </xf>
    <xf numFmtId="0" fontId="23" fillId="3" borderId="0">
      <alignment horizontal="right" vertical="center"/>
    </xf>
    <xf numFmtId="0" fontId="23" fillId="3" borderId="0">
      <alignment horizontal="right" vertical="center"/>
    </xf>
    <xf numFmtId="0" fontId="23" fillId="5" borderId="0">
      <alignment horizontal="center" vertical="center"/>
    </xf>
    <xf numFmtId="0" fontId="23" fillId="3" borderId="0">
      <alignment horizontal="center" vertical="center"/>
    </xf>
    <xf numFmtId="0" fontId="23" fillId="3" borderId="0">
      <alignment horizontal="center" vertical="center"/>
    </xf>
    <xf numFmtId="0" fontId="23" fillId="5" borderId="0">
      <alignment horizontal="left" vertical="center"/>
    </xf>
    <xf numFmtId="0" fontId="26" fillId="0" borderId="0"/>
    <xf numFmtId="0" fontId="25" fillId="0" borderId="0"/>
    <xf numFmtId="9" fontId="26" fillId="0" borderId="0" applyFont="0" applyFill="0" applyBorder="0" applyAlignment="0" applyProtection="0"/>
    <xf numFmtId="0" fontId="19" fillId="0" borderId="0"/>
    <xf numFmtId="0" fontId="33" fillId="0" borderId="0">
      <alignment horizontal="right" vertical="center"/>
    </xf>
    <xf numFmtId="0" fontId="34" fillId="0" borderId="0">
      <alignment horizontal="left" vertical="center"/>
    </xf>
    <xf numFmtId="0" fontId="35" fillId="0" borderId="0">
      <alignment horizontal="left" vertical="center"/>
    </xf>
    <xf numFmtId="0" fontId="35" fillId="0" borderId="0">
      <alignment horizontal="left" vertical="top"/>
    </xf>
    <xf numFmtId="0" fontId="36" fillId="0" borderId="0">
      <alignment horizontal="center" vertical="center"/>
    </xf>
    <xf numFmtId="0" fontId="35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left" vertical="center"/>
    </xf>
    <xf numFmtId="0" fontId="35" fillId="0" borderId="4">
      <alignment horizontal="center" vertical="center"/>
    </xf>
    <xf numFmtId="0" fontId="33" fillId="0" borderId="4">
      <alignment horizontal="center" vertical="center"/>
    </xf>
    <xf numFmtId="0" fontId="35" fillId="0" borderId="4">
      <alignment horizontal="left" vertical="center"/>
    </xf>
    <xf numFmtId="0" fontId="35" fillId="0" borderId="4">
      <alignment horizontal="right" vertical="center"/>
    </xf>
    <xf numFmtId="0" fontId="35" fillId="0" borderId="4">
      <alignment horizontal="left" vertical="top"/>
    </xf>
    <xf numFmtId="166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8" fillId="0" borderId="0"/>
    <xf numFmtId="0" fontId="35" fillId="0" borderId="0">
      <alignment horizontal="left" vertical="top"/>
    </xf>
    <xf numFmtId="0" fontId="35" fillId="0" borderId="4">
      <alignment horizontal="right" vertical="top"/>
    </xf>
    <xf numFmtId="0" fontId="35" fillId="0" borderId="4">
      <alignment horizontal="left" vertical="top"/>
    </xf>
    <xf numFmtId="0" fontId="35" fillId="0" borderId="10">
      <alignment horizontal="left" vertical="top"/>
    </xf>
    <xf numFmtId="0" fontId="35" fillId="0" borderId="2">
      <alignment horizontal="left" vertical="top"/>
    </xf>
    <xf numFmtId="0" fontId="33" fillId="0" borderId="0">
      <alignment horizontal="left" vertical="top"/>
    </xf>
    <xf numFmtId="0" fontId="35" fillId="0" borderId="0">
      <alignment horizontal="center" vertical="top"/>
    </xf>
    <xf numFmtId="0" fontId="36" fillId="0" borderId="0">
      <alignment horizontal="center" vertical="center"/>
    </xf>
    <xf numFmtId="0" fontId="17" fillId="0" borderId="0"/>
    <xf numFmtId="0" fontId="20" fillId="0" borderId="0"/>
    <xf numFmtId="0" fontId="27" fillId="4" borderId="0">
      <alignment horizontal="left" vertical="center"/>
    </xf>
    <xf numFmtId="0" fontId="26" fillId="3" borderId="0">
      <alignment horizontal="center" vertical="center"/>
    </xf>
    <xf numFmtId="0" fontId="32" fillId="0" borderId="0"/>
    <xf numFmtId="0" fontId="32" fillId="0" borderId="0"/>
    <xf numFmtId="0" fontId="27" fillId="4" borderId="0">
      <alignment horizontal="left" vertical="center"/>
    </xf>
    <xf numFmtId="0" fontId="17" fillId="0" borderId="0"/>
    <xf numFmtId="0" fontId="21" fillId="0" borderId="0"/>
    <xf numFmtId="0" fontId="47" fillId="0" borderId="0"/>
    <xf numFmtId="16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4" fillId="0" borderId="0"/>
    <xf numFmtId="0" fontId="33" fillId="0" borderId="0">
      <alignment horizontal="right" vertical="center"/>
    </xf>
    <xf numFmtId="0" fontId="33" fillId="0" borderId="0">
      <alignment horizontal="right" vertical="center"/>
    </xf>
    <xf numFmtId="0" fontId="13" fillId="0" borderId="0"/>
    <xf numFmtId="0" fontId="12" fillId="0" borderId="0"/>
    <xf numFmtId="0" fontId="11" fillId="0" borderId="0"/>
    <xf numFmtId="0" fontId="36" fillId="0" borderId="0">
      <alignment horizontal="center" vertical="center"/>
    </xf>
    <xf numFmtId="0" fontId="35" fillId="0" borderId="0">
      <alignment horizontal="center" vertical="top"/>
    </xf>
    <xf numFmtId="0" fontId="33" fillId="0" borderId="0">
      <alignment horizontal="left" vertical="top"/>
    </xf>
    <xf numFmtId="0" fontId="35" fillId="0" borderId="0">
      <alignment horizontal="left" vertical="top"/>
    </xf>
    <xf numFmtId="0" fontId="35" fillId="0" borderId="4">
      <alignment horizontal="center" vertical="center"/>
    </xf>
    <xf numFmtId="0" fontId="33" fillId="0" borderId="4">
      <alignment horizontal="center" vertical="center"/>
    </xf>
    <xf numFmtId="0" fontId="35" fillId="0" borderId="4">
      <alignment horizontal="left" vertical="center"/>
    </xf>
    <xf numFmtId="0" fontId="35" fillId="0" borderId="2">
      <alignment horizontal="left" vertical="top"/>
    </xf>
    <xf numFmtId="0" fontId="35" fillId="0" borderId="4">
      <alignment horizontal="right" vertical="center"/>
    </xf>
    <xf numFmtId="0" fontId="35" fillId="0" borderId="4">
      <alignment horizontal="right" vertical="top"/>
    </xf>
    <xf numFmtId="0" fontId="35" fillId="0" borderId="0">
      <alignment horizontal="left" vertical="center"/>
    </xf>
    <xf numFmtId="0" fontId="9" fillId="0" borderId="0"/>
    <xf numFmtId="0" fontId="8" fillId="0" borderId="0"/>
    <xf numFmtId="0" fontId="7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0" fillId="0" borderId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7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0" borderId="0"/>
    <xf numFmtId="0" fontId="33" fillId="0" borderId="0">
      <alignment horizontal="right" vertical="center"/>
    </xf>
    <xf numFmtId="0" fontId="33" fillId="0" borderId="0">
      <alignment horizontal="right" vertical="center"/>
    </xf>
    <xf numFmtId="0" fontId="35" fillId="0" borderId="4">
      <alignment horizontal="right" vertical="top"/>
    </xf>
    <xf numFmtId="0" fontId="35" fillId="0" borderId="4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7" fillId="0" borderId="0"/>
    <xf numFmtId="167" fontId="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171" fontId="20" fillId="0" borderId="0" applyFont="0" applyFill="0" applyBorder="0" applyAlignment="0" applyProtection="0"/>
    <xf numFmtId="0" fontId="2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4" borderId="0" applyNumberFormat="0" applyBorder="0" applyAlignment="0" applyProtection="0"/>
    <xf numFmtId="0" fontId="57" fillId="8" borderId="0" applyNumberFormat="0" applyBorder="0" applyAlignment="0" applyProtection="0"/>
    <xf numFmtId="0" fontId="58" fillId="25" borderId="17" applyNumberFormat="0" applyAlignment="0" applyProtection="0"/>
    <xf numFmtId="0" fontId="59" fillId="26" borderId="18" applyNumberFormat="0" applyAlignment="0" applyProtection="0"/>
    <xf numFmtId="0" fontId="60" fillId="0" borderId="0" applyNumberFormat="0" applyFill="0" applyBorder="0" applyAlignment="0" applyProtection="0"/>
    <xf numFmtId="0" fontId="61" fillId="9" borderId="0" applyNumberFormat="0" applyBorder="0" applyAlignment="0" applyProtection="0"/>
    <xf numFmtId="0" fontId="62" fillId="0" borderId="19" applyNumberFormat="0" applyFill="0" applyAlignment="0" applyProtection="0"/>
    <xf numFmtId="0" fontId="63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12" borderId="17" applyNumberFormat="0" applyAlignment="0" applyProtection="0"/>
    <xf numFmtId="0" fontId="66" fillId="0" borderId="22" applyNumberFormat="0" applyFill="0" applyAlignment="0" applyProtection="0"/>
    <xf numFmtId="0" fontId="67" fillId="27" borderId="0" applyNumberFormat="0" applyBorder="0" applyAlignment="0" applyProtection="0"/>
    <xf numFmtId="0" fontId="68" fillId="0" borderId="0" applyNumberFormat="0" applyFill="0" applyBorder="0" applyAlignment="0" applyProtection="0"/>
    <xf numFmtId="0" fontId="20" fillId="28" borderId="23" applyNumberFormat="0" applyFont="0" applyAlignment="0" applyProtection="0"/>
    <xf numFmtId="0" fontId="69" fillId="25" borderId="24" applyNumberFormat="0" applyAlignment="0" applyProtection="0"/>
    <xf numFmtId="0" fontId="27" fillId="4" borderId="0">
      <alignment horizontal="left" vertical="center"/>
    </xf>
    <xf numFmtId="0" fontId="27" fillId="0" borderId="0">
      <alignment horizontal="center" vertical="center"/>
    </xf>
    <xf numFmtId="0" fontId="31" fillId="0" borderId="0">
      <alignment horizontal="center" vertical="center"/>
    </xf>
    <xf numFmtId="0" fontId="27" fillId="0" borderId="0">
      <alignment horizontal="left" vertical="center"/>
    </xf>
    <xf numFmtId="0" fontId="27" fillId="0" borderId="0">
      <alignment horizontal="right" vertical="center"/>
    </xf>
    <xf numFmtId="0" fontId="27" fillId="0" borderId="0">
      <alignment horizontal="center" vertical="center"/>
    </xf>
    <xf numFmtId="0" fontId="27" fillId="0" borderId="0">
      <alignment horizontal="left" vertical="top"/>
    </xf>
    <xf numFmtId="0" fontId="27" fillId="0" borderId="0">
      <alignment horizontal="right" vertical="center"/>
    </xf>
    <xf numFmtId="0" fontId="27" fillId="0" borderId="0">
      <alignment horizontal="left" vertical="center"/>
    </xf>
    <xf numFmtId="0" fontId="23" fillId="3" borderId="0">
      <alignment horizontal="center" vertical="center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70" fillId="0" borderId="0" applyNumberFormat="0" applyFill="0" applyBorder="0" applyAlignment="0" applyProtection="0"/>
    <xf numFmtId="0" fontId="71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3" fillId="12" borderId="17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4" fillId="25" borderId="24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0" fontId="75" fillId="25" borderId="17" applyNumberFormat="0" applyAlignment="0" applyProtection="0"/>
    <xf numFmtId="172" fontId="20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80" fillId="26" borderId="18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0"/>
    <xf numFmtId="0" fontId="6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21" fillId="0" borderId="0"/>
    <xf numFmtId="173" fontId="20" fillId="0" borderId="0" applyFont="0" applyFill="0" applyBorder="0" applyAlignment="0" applyProtection="0"/>
    <xf numFmtId="0" fontId="1" fillId="0" borderId="0"/>
  </cellStyleXfs>
  <cellXfs count="625">
    <xf numFmtId="0" fontId="0" fillId="0" borderId="0" xfId="0"/>
    <xf numFmtId="0" fontId="24" fillId="2" borderId="0" xfId="63" applyFont="1" applyFill="1"/>
    <xf numFmtId="0" fontId="24" fillId="2" borderId="0" xfId="63" applyFont="1" applyFill="1" applyAlignment="1">
      <alignment vertical="center"/>
    </xf>
    <xf numFmtId="0" fontId="24" fillId="2" borderId="4" xfId="1" applyFont="1" applyFill="1" applyBorder="1" applyAlignment="1">
      <alignment horizontal="left" vertical="center" wrapText="1" shrinkToFit="1"/>
    </xf>
    <xf numFmtId="0" fontId="38" fillId="2" borderId="4" xfId="1" applyFont="1" applyFill="1" applyBorder="1" applyAlignment="1">
      <alignment horizontal="center" vertical="center" wrapText="1"/>
    </xf>
    <xf numFmtId="0" fontId="38" fillId="2" borderId="11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42" fillId="2" borderId="4" xfId="1" applyFont="1" applyFill="1" applyBorder="1" applyAlignment="1">
      <alignment horizontal="left" vertical="center" wrapText="1"/>
    </xf>
    <xf numFmtId="0" fontId="38" fillId="0" borderId="0" xfId="1" applyFont="1"/>
    <xf numFmtId="0" fontId="39" fillId="3" borderId="0" xfId="1" applyFont="1" applyFill="1"/>
    <xf numFmtId="166" fontId="20" fillId="0" borderId="0" xfId="1" applyNumberFormat="1" applyFont="1"/>
    <xf numFmtId="0" fontId="20" fillId="0" borderId="0" xfId="1" applyFont="1" applyAlignment="1">
      <alignment horizontal="center" vertical="center"/>
    </xf>
    <xf numFmtId="9" fontId="38" fillId="2" borderId="11" xfId="1" applyNumberFormat="1" applyFont="1" applyFill="1" applyBorder="1" applyAlignment="1">
      <alignment horizontal="center" vertical="center" wrapText="1"/>
    </xf>
    <xf numFmtId="4" fontId="40" fillId="2" borderId="4" xfId="1" applyNumberFormat="1" applyFont="1" applyFill="1" applyBorder="1" applyAlignment="1">
      <alignment horizontal="center" vertical="center" wrapText="1"/>
    </xf>
    <xf numFmtId="0" fontId="20" fillId="0" borderId="0" xfId="1" applyFont="1"/>
    <xf numFmtId="0" fontId="22" fillId="2" borderId="0" xfId="63" applyFont="1" applyFill="1" applyAlignment="1">
      <alignment horizontal="left" vertical="center" wrapText="1"/>
    </xf>
    <xf numFmtId="0" fontId="38" fillId="0" borderId="0" xfId="1" applyFont="1" applyFill="1" applyAlignment="1">
      <alignment horizontal="center" vertical="center"/>
    </xf>
    <xf numFmtId="0" fontId="38" fillId="0" borderId="0" xfId="1" applyFont="1" applyFill="1"/>
    <xf numFmtId="0" fontId="37" fillId="0" borderId="0" xfId="1" applyFont="1" applyFill="1" applyAlignment="1">
      <alignment horizontal="center" vertical="center"/>
    </xf>
    <xf numFmtId="0" fontId="38" fillId="0" borderId="0" xfId="1" applyFont="1" applyFill="1" applyAlignment="1">
      <alignment horizontal="left" vertical="top"/>
    </xf>
    <xf numFmtId="0" fontId="40" fillId="0" borderId="0" xfId="1" applyFont="1" applyBorder="1" applyAlignment="1">
      <alignment horizontal="left" vertical="top"/>
    </xf>
    <xf numFmtId="0" fontId="38" fillId="0" borderId="0" xfId="1" applyFont="1" applyBorder="1" applyAlignment="1"/>
    <xf numFmtId="0" fontId="38" fillId="0" borderId="0" xfId="1" applyFont="1" applyBorder="1" applyAlignment="1">
      <alignment horizontal="center" vertical="center"/>
    </xf>
    <xf numFmtId="0" fontId="20" fillId="0" borderId="0" xfId="1" applyFont="1" applyBorder="1" applyAlignment="1"/>
    <xf numFmtId="0" fontId="37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left" vertical="center" wrapText="1"/>
    </xf>
    <xf numFmtId="0" fontId="38" fillId="3" borderId="4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2" fontId="24" fillId="3" borderId="4" xfId="1" applyNumberFormat="1" applyFont="1" applyFill="1" applyBorder="1" applyAlignment="1">
      <alignment horizontal="right" vertical="center"/>
    </xf>
    <xf numFmtId="0" fontId="21" fillId="3" borderId="4" xfId="1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left" vertical="center" wrapText="1"/>
    </xf>
    <xf numFmtId="0" fontId="42" fillId="3" borderId="4" xfId="1" applyFont="1" applyFill="1" applyBorder="1" applyAlignment="1">
      <alignment horizontal="center" vertical="center" wrapText="1"/>
    </xf>
    <xf numFmtId="4" fontId="42" fillId="3" borderId="4" xfId="1" applyNumberFormat="1" applyFont="1" applyFill="1" applyBorder="1" applyAlignment="1">
      <alignment horizontal="right" vertical="center" wrapText="1"/>
    </xf>
    <xf numFmtId="0" fontId="43" fillId="3" borderId="4" xfId="1" applyFont="1" applyFill="1" applyBorder="1" applyAlignment="1">
      <alignment horizontal="center" vertical="center" wrapText="1"/>
    </xf>
    <xf numFmtId="4" fontId="40" fillId="2" borderId="4" xfId="63" applyNumberFormat="1" applyFont="1" applyFill="1" applyBorder="1" applyAlignment="1">
      <alignment horizontal="center" vertical="center" wrapText="1"/>
    </xf>
    <xf numFmtId="0" fontId="42" fillId="2" borderId="4" xfId="63" applyFont="1" applyFill="1" applyBorder="1" applyAlignment="1">
      <alignment horizontal="left" vertical="center" wrapText="1"/>
    </xf>
    <xf numFmtId="0" fontId="38" fillId="2" borderId="4" xfId="63" applyFont="1" applyFill="1" applyBorder="1" applyAlignment="1">
      <alignment horizontal="center" vertical="center" wrapText="1"/>
    </xf>
    <xf numFmtId="9" fontId="38" fillId="2" borderId="4" xfId="63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4" fontId="24" fillId="0" borderId="4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10" fontId="24" fillId="0" borderId="11" xfId="1" applyNumberFormat="1" applyFont="1" applyFill="1" applyBorder="1" applyAlignment="1">
      <alignment horizontal="center" vertical="center" wrapText="1"/>
    </xf>
    <xf numFmtId="10" fontId="24" fillId="0" borderId="0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/>
    <xf numFmtId="0" fontId="42" fillId="0" borderId="4" xfId="1" applyFont="1" applyFill="1" applyBorder="1" applyAlignment="1">
      <alignment horizontal="left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left" vertical="center" wrapText="1"/>
    </xf>
    <xf numFmtId="2" fontId="24" fillId="3" borderId="4" xfId="1" applyNumberFormat="1" applyFont="1" applyFill="1" applyBorder="1" applyAlignment="1">
      <alignment horizontal="center" vertical="center" wrapText="1"/>
    </xf>
    <xf numFmtId="2" fontId="24" fillId="3" borderId="4" xfId="1" applyNumberFormat="1" applyFont="1" applyFill="1" applyBorder="1" applyAlignment="1">
      <alignment horizontal="left" vertical="center"/>
    </xf>
    <xf numFmtId="9" fontId="24" fillId="3" borderId="4" xfId="1" applyNumberFormat="1" applyFont="1" applyFill="1" applyBorder="1" applyAlignment="1">
      <alignment horizontal="center" vertical="center"/>
    </xf>
    <xf numFmtId="168" fontId="24" fillId="3" borderId="4" xfId="1" applyNumberFormat="1" applyFont="1" applyFill="1" applyBorder="1" applyAlignment="1">
      <alignment horizontal="center" vertical="center"/>
    </xf>
    <xf numFmtId="2" fontId="20" fillId="3" borderId="4" xfId="1" applyNumberFormat="1" applyFont="1" applyFill="1" applyBorder="1" applyAlignment="1">
      <alignment horizontal="center"/>
    </xf>
    <xf numFmtId="9" fontId="24" fillId="3" borderId="4" xfId="1" applyNumberFormat="1" applyFont="1" applyFill="1" applyBorder="1" applyAlignment="1">
      <alignment horizontal="left" vertical="center" wrapText="1"/>
    </xf>
    <xf numFmtId="4" fontId="24" fillId="3" borderId="4" xfId="1" applyNumberFormat="1" applyFont="1" applyFill="1" applyBorder="1" applyAlignment="1">
      <alignment horizontal="right" vertical="center" wrapText="1"/>
    </xf>
    <xf numFmtId="10" fontId="24" fillId="3" borderId="4" xfId="1" applyNumberFormat="1" applyFont="1" applyFill="1" applyBorder="1" applyAlignment="1">
      <alignment horizontal="center" vertical="center"/>
    </xf>
    <xf numFmtId="2" fontId="24" fillId="3" borderId="4" xfId="1" applyNumberFormat="1" applyFont="1" applyFill="1" applyBorder="1" applyAlignment="1">
      <alignment horizontal="left" vertical="center" wrapText="1"/>
    </xf>
    <xf numFmtId="0" fontId="22" fillId="3" borderId="4" xfId="1" applyFont="1" applyFill="1" applyBorder="1" applyAlignment="1">
      <alignment horizontal="left" vertical="center" wrapText="1"/>
    </xf>
    <xf numFmtId="2" fontId="22" fillId="3" borderId="4" xfId="1" applyNumberFormat="1" applyFont="1" applyFill="1" applyBorder="1" applyAlignment="1">
      <alignment horizontal="center" vertical="center" wrapText="1"/>
    </xf>
    <xf numFmtId="2" fontId="22" fillId="3" borderId="4" xfId="1" applyNumberFormat="1" applyFont="1" applyFill="1" applyBorder="1" applyAlignment="1">
      <alignment horizontal="left" vertical="center"/>
    </xf>
    <xf numFmtId="9" fontId="22" fillId="3" borderId="4" xfId="1" applyNumberFormat="1" applyFont="1" applyFill="1" applyBorder="1" applyAlignment="1">
      <alignment horizontal="center" vertical="center"/>
    </xf>
    <xf numFmtId="168" fontId="22" fillId="3" borderId="4" xfId="1" applyNumberFormat="1" applyFont="1" applyFill="1" applyBorder="1" applyAlignment="1">
      <alignment horizontal="center" vertical="center"/>
    </xf>
    <xf numFmtId="2" fontId="39" fillId="3" borderId="4" xfId="1" applyNumberFormat="1" applyFont="1" applyFill="1" applyBorder="1" applyAlignment="1">
      <alignment horizontal="center"/>
    </xf>
    <xf numFmtId="9" fontId="22" fillId="3" borderId="4" xfId="1" applyNumberFormat="1" applyFont="1" applyFill="1" applyBorder="1" applyAlignment="1">
      <alignment horizontal="left" vertical="center" wrapText="1"/>
    </xf>
    <xf numFmtId="4" fontId="22" fillId="3" borderId="4" xfId="1" applyNumberFormat="1" applyFont="1" applyFill="1" applyBorder="1" applyAlignment="1">
      <alignment horizontal="right" vertical="center" wrapText="1"/>
    </xf>
    <xf numFmtId="0" fontId="21" fillId="0" borderId="4" xfId="1" applyFont="1" applyBorder="1" applyAlignment="1">
      <alignment horizontal="center" vertical="center"/>
    </xf>
    <xf numFmtId="0" fontId="37" fillId="3" borderId="4" xfId="1" applyFont="1" applyFill="1" applyBorder="1" applyAlignment="1">
      <alignment horizontal="left" vertical="center" wrapText="1"/>
    </xf>
    <xf numFmtId="9" fontId="24" fillId="3" borderId="4" xfId="1" applyNumberFormat="1" applyFont="1" applyFill="1" applyBorder="1" applyAlignment="1">
      <alignment horizontal="center" vertical="center" wrapText="1"/>
    </xf>
    <xf numFmtId="2" fontId="24" fillId="3" borderId="4" xfId="1" applyNumberFormat="1" applyFont="1" applyFill="1" applyBorder="1" applyAlignment="1">
      <alignment horizontal="center" vertical="center"/>
    </xf>
    <xf numFmtId="0" fontId="20" fillId="0" borderId="0" xfId="1" applyFont="1" applyFill="1" applyBorder="1"/>
    <xf numFmtId="0" fontId="37" fillId="0" borderId="4" xfId="1" applyFont="1" applyBorder="1" applyAlignment="1">
      <alignment horizontal="left" vertical="center" wrapText="1"/>
    </xf>
    <xf numFmtId="0" fontId="38" fillId="0" borderId="4" xfId="1" applyFont="1" applyBorder="1"/>
    <xf numFmtId="166" fontId="37" fillId="0" borderId="4" xfId="3" applyFont="1" applyBorder="1" applyAlignment="1"/>
    <xf numFmtId="0" fontId="20" fillId="0" borderId="4" xfId="1" applyFont="1" applyBorder="1"/>
    <xf numFmtId="169" fontId="37" fillId="0" borderId="5" xfId="1" applyNumberFormat="1" applyFont="1" applyBorder="1" applyAlignment="1"/>
    <xf numFmtId="4" fontId="22" fillId="3" borderId="5" xfId="1" applyNumberFormat="1" applyFont="1" applyFill="1" applyBorder="1" applyAlignment="1">
      <alignment horizontal="right" vertical="center" wrapText="1"/>
    </xf>
    <xf numFmtId="0" fontId="20" fillId="0" borderId="4" xfId="1" applyFont="1" applyBorder="1" applyAlignment="1"/>
    <xf numFmtId="169" fontId="37" fillId="0" borderId="4" xfId="1" applyNumberFormat="1" applyFont="1" applyBorder="1" applyAlignment="1"/>
    <xf numFmtId="0" fontId="20" fillId="0" borderId="0" xfId="1" applyFont="1" applyBorder="1"/>
    <xf numFmtId="9" fontId="22" fillId="0" borderId="0" xfId="1" applyNumberFormat="1" applyFont="1" applyBorder="1" applyAlignment="1">
      <alignment horizontal="left"/>
    </xf>
    <xf numFmtId="4" fontId="22" fillId="3" borderId="0" xfId="1" applyNumberFormat="1" applyFont="1" applyFill="1" applyBorder="1" applyAlignment="1">
      <alignment horizontal="center" vertical="center" wrapText="1"/>
    </xf>
    <xf numFmtId="9" fontId="24" fillId="0" borderId="0" xfId="1" applyNumberFormat="1" applyFont="1" applyBorder="1" applyAlignment="1">
      <alignment horizontal="left"/>
    </xf>
    <xf numFmtId="0" fontId="45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3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2" fillId="2" borderId="4" xfId="63" applyFont="1" applyFill="1" applyBorder="1" applyAlignment="1">
      <alignment horizontal="center"/>
    </xf>
    <xf numFmtId="0" fontId="24" fillId="2" borderId="4" xfId="63" applyFont="1" applyFill="1" applyBorder="1"/>
    <xf numFmtId="0" fontId="10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justify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4" fillId="2" borderId="0" xfId="63" applyFont="1" applyFill="1"/>
    <xf numFmtId="0" fontId="5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2" fillId="2" borderId="0" xfId="63" applyNumberFormat="1" applyFont="1" applyFill="1" applyBorder="1" applyAlignment="1">
      <alignment horizontal="right" vertical="center" wrapText="1"/>
    </xf>
    <xf numFmtId="3" fontId="22" fillId="0" borderId="0" xfId="63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4" fontId="48" fillId="0" borderId="0" xfId="0" applyNumberFormat="1" applyFont="1" applyFill="1"/>
    <xf numFmtId="0" fontId="48" fillId="0" borderId="0" xfId="0" applyFont="1" applyAlignment="1">
      <alignment horizontal="right"/>
    </xf>
    <xf numFmtId="0" fontId="89" fillId="0" borderId="0" xfId="0" applyFont="1"/>
    <xf numFmtId="4" fontId="89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88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5" fontId="0" fillId="0" borderId="4" xfId="0" applyNumberFormat="1" applyBorder="1" applyAlignment="1">
      <alignment horizontal="center"/>
    </xf>
    <xf numFmtId="0" fontId="92" fillId="0" borderId="0" xfId="0" applyFont="1" applyFill="1" applyBorder="1" applyAlignment="1">
      <alignment horizontal="right"/>
    </xf>
    <xf numFmtId="4" fontId="92" fillId="0" borderId="0" xfId="0" applyNumberFormat="1" applyFont="1" applyBorder="1" applyAlignment="1">
      <alignment horizontal="center"/>
    </xf>
    <xf numFmtId="2" fontId="0" fillId="0" borderId="0" xfId="0" applyNumberFormat="1"/>
    <xf numFmtId="0" fontId="22" fillId="0" borderId="4" xfId="0" applyFont="1" applyBorder="1" applyAlignment="1">
      <alignment horizontal="center"/>
    </xf>
    <xf numFmtId="0" fontId="46" fillId="0" borderId="4" xfId="0" applyFont="1" applyFill="1" applyBorder="1" applyAlignment="1">
      <alignment horizontal="right"/>
    </xf>
    <xf numFmtId="4" fontId="46" fillId="0" borderId="4" xfId="0" applyNumberFormat="1" applyFont="1" applyBorder="1" applyAlignment="1">
      <alignment horizontal="center"/>
    </xf>
    <xf numFmtId="0" fontId="93" fillId="0" borderId="0" xfId="0" applyFont="1" applyAlignment="1">
      <alignment vertical="center"/>
    </xf>
    <xf numFmtId="0" fontId="88" fillId="0" borderId="4" xfId="0" applyFont="1" applyBorder="1" applyAlignment="1">
      <alignment vertical="center" wrapText="1"/>
    </xf>
    <xf numFmtId="0" fontId="88" fillId="0" borderId="4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175" fontId="88" fillId="0" borderId="4" xfId="0" applyNumberFormat="1" applyFont="1" applyBorder="1" applyAlignment="1">
      <alignment horizontal="center"/>
    </xf>
    <xf numFmtId="0" fontId="88" fillId="0" borderId="4" xfId="0" applyFont="1" applyBorder="1"/>
    <xf numFmtId="3" fontId="88" fillId="0" borderId="4" xfId="0" applyNumberFormat="1" applyFont="1" applyBorder="1" applyAlignment="1">
      <alignment horizontal="center"/>
    </xf>
    <xf numFmtId="0" fontId="46" fillId="0" borderId="4" xfId="0" applyFont="1" applyBorder="1" applyAlignment="1">
      <alignment vertical="center" wrapText="1"/>
    </xf>
    <xf numFmtId="3" fontId="46" fillId="0" borderId="4" xfId="0" applyNumberFormat="1" applyFont="1" applyBorder="1" applyAlignment="1">
      <alignment horizontal="center"/>
    </xf>
    <xf numFmtId="0" fontId="88" fillId="0" borderId="0" xfId="0" applyFont="1"/>
    <xf numFmtId="0" fontId="88" fillId="2" borderId="4" xfId="0" applyFont="1" applyFill="1" applyBorder="1" applyAlignment="1">
      <alignment vertical="center"/>
    </xf>
    <xf numFmtId="0" fontId="88" fillId="2" borderId="4" xfId="0" applyFont="1" applyFill="1" applyBorder="1" applyAlignment="1">
      <alignment horizontal="center" vertical="center"/>
    </xf>
    <xf numFmtId="175" fontId="88" fillId="2" borderId="4" xfId="0" applyNumberFormat="1" applyFont="1" applyFill="1" applyBorder="1" applyAlignment="1">
      <alignment horizontal="center" vertical="center"/>
    </xf>
    <xf numFmtId="176" fontId="88" fillId="2" borderId="4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88" fillId="0" borderId="4" xfId="139" quotePrefix="1" applyFont="1" applyAlignment="1">
      <alignment horizontal="center" vertical="center" wrapText="1"/>
    </xf>
    <xf numFmtId="0" fontId="24" fillId="2" borderId="4" xfId="0" applyFont="1" applyFill="1" applyBorder="1" applyAlignment="1">
      <alignment wrapText="1"/>
    </xf>
    <xf numFmtId="170" fontId="24" fillId="2" borderId="4" xfId="99" applyNumberFormat="1" applyFont="1" applyFill="1" applyBorder="1" applyAlignment="1">
      <alignment horizontal="center" wrapText="1"/>
    </xf>
    <xf numFmtId="3" fontId="24" fillId="2" borderId="4" xfId="0" applyNumberFormat="1" applyFont="1" applyFill="1" applyBorder="1" applyAlignment="1">
      <alignment horizontal="center" wrapText="1"/>
    </xf>
    <xf numFmtId="2" fontId="48" fillId="0" borderId="0" xfId="0" applyNumberFormat="1" applyFont="1" applyFill="1" applyAlignment="1">
      <alignment horizontal="center"/>
    </xf>
    <xf numFmtId="0" fontId="22" fillId="0" borderId="0" xfId="0" applyFont="1" applyAlignment="1">
      <alignment vertical="center"/>
    </xf>
    <xf numFmtId="0" fontId="93" fillId="0" borderId="0" xfId="0" applyFont="1"/>
    <xf numFmtId="0" fontId="22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" fontId="95" fillId="29" borderId="4" xfId="0" applyNumberFormat="1" applyFont="1" applyFill="1" applyBorder="1"/>
    <xf numFmtId="0" fontId="0" fillId="0" borderId="4" xfId="0" applyBorder="1" applyAlignment="1">
      <alignment horizontal="left" vertical="center"/>
    </xf>
    <xf numFmtId="0" fontId="96" fillId="0" borderId="0" xfId="0" applyFont="1"/>
    <xf numFmtId="0" fontId="0" fillId="0" borderId="4" xfId="0" applyBorder="1" applyAlignment="1">
      <alignment horizontal="center"/>
    </xf>
    <xf numFmtId="14" fontId="96" fillId="0" borderId="0" xfId="0" applyNumberFormat="1" applyFont="1" applyBorder="1" applyAlignment="1">
      <alignment horizontal="center" vertical="center" wrapText="1"/>
    </xf>
    <xf numFmtId="0" fontId="94" fillId="0" borderId="0" xfId="0" applyFont="1"/>
    <xf numFmtId="0" fontId="96" fillId="0" borderId="0" xfId="0" applyFont="1" applyAlignment="1">
      <alignment horizontal="left"/>
    </xf>
    <xf numFmtId="0" fontId="96" fillId="0" borderId="0" xfId="0" applyFont="1" applyAlignment="1">
      <alignment horizontal="center" vertical="center"/>
    </xf>
    <xf numFmtId="0" fontId="21" fillId="0" borderId="0" xfId="63"/>
    <xf numFmtId="0" fontId="0" fillId="0" borderId="4" xfId="0" applyBorder="1" applyAlignment="1">
      <alignment vertical="center"/>
    </xf>
    <xf numFmtId="0" fontId="0" fillId="0" borderId="4" xfId="0" applyBorder="1"/>
    <xf numFmtId="0" fontId="3" fillId="0" borderId="0" xfId="1922"/>
    <xf numFmtId="178" fontId="94" fillId="0" borderId="0" xfId="0" applyNumberFormat="1" applyFont="1"/>
    <xf numFmtId="10" fontId="94" fillId="0" borderId="0" xfId="0" applyNumberFormat="1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9" fillId="0" borderId="0" xfId="0" applyFont="1" applyAlignment="1">
      <alignment horizontal="right" vertical="center"/>
    </xf>
    <xf numFmtId="0" fontId="29" fillId="6" borderId="26" xfId="0" applyFont="1" applyFill="1" applyBorder="1" applyAlignment="1">
      <alignment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30" fillId="2" borderId="4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0" fillId="2" borderId="0" xfId="0" applyFill="1"/>
    <xf numFmtId="0" fontId="29" fillId="0" borderId="4" xfId="0" applyFont="1" applyBorder="1" applyAlignment="1">
      <alignment horizontal="justify" vertical="center"/>
    </xf>
    <xf numFmtId="0" fontId="95" fillId="0" borderId="4" xfId="0" applyFont="1" applyBorder="1" applyAlignment="1">
      <alignment wrapText="1"/>
    </xf>
    <xf numFmtId="4" fontId="95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justify" vertical="center"/>
    </xf>
    <xf numFmtId="0" fontId="100" fillId="2" borderId="28" xfId="1" applyFont="1" applyFill="1" applyBorder="1" applyAlignment="1">
      <alignment vertical="center" wrapText="1"/>
    </xf>
    <xf numFmtId="0" fontId="100" fillId="2" borderId="27" xfId="1" applyFont="1" applyFill="1" applyBorder="1" applyAlignment="1">
      <alignment horizontal="center" vertical="center" wrapText="1"/>
    </xf>
    <xf numFmtId="0" fontId="52" fillId="2" borderId="26" xfId="1" applyFont="1" applyFill="1" applyBorder="1" applyAlignment="1">
      <alignment horizontal="center" vertical="center" wrapText="1"/>
    </xf>
    <xf numFmtId="0" fontId="100" fillId="2" borderId="26" xfId="1" applyFont="1" applyFill="1" applyBorder="1" applyAlignment="1">
      <alignment vertical="center" wrapText="1"/>
    </xf>
    <xf numFmtId="0" fontId="100" fillId="2" borderId="26" xfId="1" applyFont="1" applyFill="1" applyBorder="1" applyAlignment="1">
      <alignment horizontal="center" vertical="center" wrapText="1"/>
    </xf>
    <xf numFmtId="0" fontId="52" fillId="2" borderId="27" xfId="1" applyFont="1" applyFill="1" applyBorder="1" applyAlignment="1">
      <alignment horizontal="center" vertical="center" wrapText="1"/>
    </xf>
    <xf numFmtId="0" fontId="100" fillId="2" borderId="31" xfId="1" applyFont="1" applyFill="1" applyBorder="1" applyAlignment="1">
      <alignment vertical="center" wrapText="1"/>
    </xf>
    <xf numFmtId="0" fontId="100" fillId="2" borderId="4" xfId="1" applyFont="1" applyFill="1" applyBorder="1" applyAlignment="1">
      <alignment horizontal="center" vertical="center" wrapText="1"/>
    </xf>
    <xf numFmtId="0" fontId="100" fillId="2" borderId="4" xfId="1" applyFont="1" applyFill="1" applyBorder="1" applyAlignment="1">
      <alignment vertical="center" wrapText="1"/>
    </xf>
    <xf numFmtId="0" fontId="100" fillId="2" borderId="28" xfId="1" applyFont="1" applyFill="1" applyBorder="1" applyAlignment="1">
      <alignment horizontal="center" vertical="center" wrapText="1"/>
    </xf>
    <xf numFmtId="0" fontId="52" fillId="2" borderId="26" xfId="1" applyFont="1" applyFill="1" applyBorder="1" applyAlignment="1">
      <alignment vertical="center" wrapText="1"/>
    </xf>
    <xf numFmtId="0" fontId="101" fillId="0" borderId="26" xfId="1" applyFont="1" applyBorder="1" applyAlignment="1">
      <alignment vertical="center" wrapText="1"/>
    </xf>
    <xf numFmtId="0" fontId="52" fillId="0" borderId="30" xfId="1" applyFont="1" applyBorder="1" applyAlignment="1">
      <alignment horizontal="center" vertical="center" wrapText="1"/>
    </xf>
    <xf numFmtId="0" fontId="52" fillId="0" borderId="26" xfId="1" applyFont="1" applyBorder="1" applyAlignment="1">
      <alignment horizontal="center" vertical="center" wrapText="1"/>
    </xf>
    <xf numFmtId="4" fontId="101" fillId="0" borderId="26" xfId="1" applyNumberFormat="1" applyFont="1" applyBorder="1" applyAlignment="1">
      <alignment horizontal="center" vertical="center" wrapText="1"/>
    </xf>
    <xf numFmtId="4" fontId="52" fillId="0" borderId="26" xfId="1" applyNumberFormat="1" applyFont="1" applyBorder="1" applyAlignment="1">
      <alignment horizontal="center" vertical="center" wrapText="1"/>
    </xf>
    <xf numFmtId="2" fontId="46" fillId="2" borderId="0" xfId="63" applyNumberFormat="1" applyFont="1" applyFill="1"/>
    <xf numFmtId="2" fontId="24" fillId="2" borderId="0" xfId="63" applyNumberFormat="1" applyFont="1" applyFill="1"/>
    <xf numFmtId="0" fontId="24" fillId="2" borderId="4" xfId="0" applyNumberFormat="1" applyFont="1" applyFill="1" applyBorder="1" applyAlignment="1">
      <alignment horizontal="center" wrapText="1"/>
    </xf>
    <xf numFmtId="0" fontId="24" fillId="2" borderId="4" xfId="0" applyNumberFormat="1" applyFont="1" applyFill="1" applyBorder="1" applyAlignment="1">
      <alignment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8" fillId="0" borderId="0" xfId="147" applyFont="1" applyAlignment="1">
      <alignment wrapText="1"/>
    </xf>
    <xf numFmtId="0" fontId="88" fillId="0" borderId="0" xfId="147" applyFont="1" applyFill="1" applyAlignment="1">
      <alignment wrapText="1"/>
    </xf>
    <xf numFmtId="0" fontId="88" fillId="0" borderId="0" xfId="147" applyFont="1" applyFill="1" applyAlignment="1"/>
    <xf numFmtId="2" fontId="88" fillId="0" borderId="0" xfId="147" applyNumberFormat="1" applyFont="1" applyFill="1" applyAlignment="1">
      <alignment wrapText="1"/>
    </xf>
    <xf numFmtId="0" fontId="46" fillId="0" borderId="0" xfId="147" applyFont="1" applyAlignment="1">
      <alignment wrapText="1"/>
    </xf>
    <xf numFmtId="0" fontId="89" fillId="0" borderId="0" xfId="0" applyFont="1" applyBorder="1"/>
    <xf numFmtId="4" fontId="89" fillId="0" borderId="0" xfId="0" applyNumberFormat="1" applyFont="1" applyBorder="1" applyAlignment="1">
      <alignment horizontal="right"/>
    </xf>
    <xf numFmtId="0" fontId="102" fillId="0" borderId="0" xfId="63" applyFont="1"/>
    <xf numFmtId="0" fontId="41" fillId="0" borderId="0" xfId="63" applyFont="1"/>
    <xf numFmtId="4" fontId="41" fillId="0" borderId="0" xfId="63" applyNumberFormat="1" applyFont="1" applyAlignment="1">
      <alignment vertical="center" wrapText="1"/>
    </xf>
    <xf numFmtId="49" fontId="102" fillId="0" borderId="0" xfId="63" applyNumberFormat="1" applyFont="1"/>
    <xf numFmtId="49" fontId="103" fillId="0" borderId="0" xfId="63" applyNumberFormat="1" applyFont="1"/>
    <xf numFmtId="0" fontId="52" fillId="0" borderId="0" xfId="0" applyFont="1" applyFill="1" applyBorder="1"/>
    <xf numFmtId="49" fontId="102" fillId="0" borderId="0" xfId="63" applyNumberFormat="1" applyFont="1" applyAlignment="1"/>
    <xf numFmtId="0" fontId="104" fillId="0" borderId="0" xfId="63" applyFont="1" applyBorder="1" applyAlignment="1"/>
    <xf numFmtId="0" fontId="105" fillId="0" borderId="0" xfId="63" applyFont="1" applyBorder="1" applyAlignment="1"/>
    <xf numFmtId="0" fontId="104" fillId="0" borderId="10" xfId="63" applyFont="1" applyBorder="1" applyAlignment="1">
      <alignment horizontal="center"/>
    </xf>
    <xf numFmtId="0" fontId="97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14" fontId="41" fillId="0" borderId="0" xfId="0" applyNumberFormat="1" applyFont="1" applyBorder="1" applyAlignment="1">
      <alignment horizontal="center" vertical="center" wrapText="1"/>
    </xf>
    <xf numFmtId="0" fontId="52" fillId="0" borderId="0" xfId="0" applyFont="1"/>
    <xf numFmtId="0" fontId="52" fillId="6" borderId="4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left" vertical="center" wrapText="1"/>
    </xf>
    <xf numFmtId="3" fontId="52" fillId="2" borderId="4" xfId="0" applyNumberFormat="1" applyFont="1" applyFill="1" applyBorder="1" applyAlignment="1">
      <alignment horizontal="center" vertical="center" wrapText="1"/>
    </xf>
    <xf numFmtId="4" fontId="52" fillId="2" borderId="4" xfId="0" applyNumberFormat="1" applyFont="1" applyFill="1" applyBorder="1" applyAlignment="1">
      <alignment horizontal="center" vertical="center" wrapText="1"/>
    </xf>
    <xf numFmtId="0" fontId="97" fillId="6" borderId="4" xfId="0" applyFont="1" applyFill="1" applyBorder="1" applyAlignment="1">
      <alignment vertical="center" wrapText="1"/>
    </xf>
    <xf numFmtId="3" fontId="97" fillId="6" borderId="4" xfId="0" applyNumberFormat="1" applyFont="1" applyFill="1" applyBorder="1" applyAlignment="1">
      <alignment horizontal="center" vertical="center" wrapText="1"/>
    </xf>
    <xf numFmtId="4" fontId="97" fillId="6" borderId="4" xfId="0" applyNumberFormat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vertical="center" wrapText="1"/>
    </xf>
    <xf numFmtId="0" fontId="52" fillId="0" borderId="4" xfId="0" applyFont="1" applyBorder="1" applyAlignment="1">
      <alignment horizontal="justify" vertical="center" wrapText="1"/>
    </xf>
    <xf numFmtId="3" fontId="52" fillId="0" borderId="4" xfId="0" applyNumberFormat="1" applyFont="1" applyBorder="1" applyAlignment="1">
      <alignment horizontal="center" vertical="center" wrapText="1"/>
    </xf>
    <xf numFmtId="4" fontId="52" fillId="0" borderId="4" xfId="0" applyNumberFormat="1" applyFont="1" applyBorder="1" applyAlignment="1">
      <alignment horizontal="center" vertical="center" wrapText="1"/>
    </xf>
    <xf numFmtId="0" fontId="103" fillId="0" borderId="0" xfId="0" applyFont="1"/>
    <xf numFmtId="3" fontId="102" fillId="0" borderId="4" xfId="63" applyNumberFormat="1" applyFont="1" applyBorder="1" applyAlignment="1">
      <alignment horizontal="center"/>
    </xf>
    <xf numFmtId="4" fontId="102" fillId="0" borderId="4" xfId="63" applyNumberFormat="1" applyFont="1" applyBorder="1" applyAlignment="1">
      <alignment horizontal="center"/>
    </xf>
    <xf numFmtId="0" fontId="97" fillId="0" borderId="0" xfId="0" quotePrefix="1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180" fontId="97" fillId="0" borderId="0" xfId="0" applyNumberFormat="1" applyFont="1" applyAlignment="1">
      <alignment horizontal="center" vertical="center"/>
    </xf>
    <xf numFmtId="0" fontId="102" fillId="0" borderId="0" xfId="0" applyFont="1" applyAlignment="1">
      <alignment vertical="center"/>
    </xf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/>
    </xf>
    <xf numFmtId="0" fontId="102" fillId="0" borderId="4" xfId="0" applyFont="1" applyBorder="1" applyAlignment="1">
      <alignment horizontal="center"/>
    </xf>
    <xf numFmtId="0" fontId="102" fillId="0" borderId="4" xfId="0" applyFont="1" applyBorder="1" applyAlignment="1">
      <alignment wrapText="1"/>
    </xf>
    <xf numFmtId="3" fontId="52" fillId="0" borderId="4" xfId="0" applyNumberFormat="1" applyFont="1" applyBorder="1" applyAlignment="1">
      <alignment horizontal="center" vertical="center"/>
    </xf>
    <xf numFmtId="175" fontId="52" fillId="0" borderId="4" xfId="0" applyNumberFormat="1" applyFont="1" applyBorder="1" applyAlignment="1">
      <alignment horizontal="center" vertical="center"/>
    </xf>
    <xf numFmtId="179" fontId="52" fillId="0" borderId="4" xfId="0" applyNumberFormat="1" applyFont="1" applyBorder="1" applyAlignment="1">
      <alignment horizontal="center" vertical="center"/>
    </xf>
    <xf numFmtId="3" fontId="102" fillId="0" borderId="4" xfId="0" applyNumberFormat="1" applyFont="1" applyBorder="1" applyAlignment="1">
      <alignment horizontal="center" vertical="center"/>
    </xf>
    <xf numFmtId="0" fontId="102" fillId="0" borderId="4" xfId="0" applyFont="1" applyBorder="1"/>
    <xf numFmtId="175" fontId="102" fillId="0" borderId="4" xfId="0" applyNumberFormat="1" applyFont="1" applyBorder="1" applyAlignment="1">
      <alignment horizontal="center" vertical="center"/>
    </xf>
    <xf numFmtId="3" fontId="102" fillId="0" borderId="4" xfId="0" applyNumberFormat="1" applyFont="1" applyBorder="1" applyAlignment="1">
      <alignment horizontal="center"/>
    </xf>
    <xf numFmtId="4" fontId="52" fillId="0" borderId="4" xfId="0" applyNumberFormat="1" applyFont="1" applyBorder="1" applyAlignment="1">
      <alignment horizontal="center" vertical="center"/>
    </xf>
    <xf numFmtId="4" fontId="102" fillId="0" borderId="4" xfId="0" applyNumberFormat="1" applyFont="1" applyBorder="1" applyAlignment="1">
      <alignment horizontal="center"/>
    </xf>
    <xf numFmtId="0" fontId="102" fillId="0" borderId="0" xfId="0" applyFont="1" applyBorder="1"/>
    <xf numFmtId="4" fontId="52" fillId="0" borderId="0" xfId="0" applyNumberFormat="1" applyFont="1" applyBorder="1" applyAlignment="1">
      <alignment horizontal="center" vertical="center"/>
    </xf>
    <xf numFmtId="176" fontId="52" fillId="0" borderId="0" xfId="0" applyNumberFormat="1" applyFont="1" applyAlignment="1">
      <alignment horizontal="center" vertical="top"/>
    </xf>
    <xf numFmtId="0" fontId="102" fillId="0" borderId="0" xfId="0" applyFont="1" applyAlignment="1">
      <alignment horizontal="left" vertical="top" wrapText="1"/>
    </xf>
    <xf numFmtId="0" fontId="102" fillId="0" borderId="0" xfId="0" applyFont="1" applyAlignment="1">
      <alignment horizontal="left" wrapText="1"/>
    </xf>
    <xf numFmtId="0" fontId="102" fillId="0" borderId="0" xfId="0" applyFont="1" applyAlignment="1">
      <alignment wrapText="1"/>
    </xf>
    <xf numFmtId="177" fontId="102" fillId="0" borderId="0" xfId="0" applyNumberFormat="1" applyFont="1" applyAlignment="1">
      <alignment horizontal="center"/>
    </xf>
    <xf numFmtId="14" fontId="102" fillId="0" borderId="0" xfId="0" applyNumberFormat="1" applyFont="1" applyBorder="1" applyAlignment="1">
      <alignment horizontal="center" vertical="center" wrapText="1"/>
    </xf>
    <xf numFmtId="2" fontId="102" fillId="0" borderId="0" xfId="0" applyNumberFormat="1" applyFont="1" applyBorder="1" applyAlignment="1">
      <alignment horizontal="center" vertical="center" wrapText="1"/>
    </xf>
    <xf numFmtId="0" fontId="102" fillId="2" borderId="0" xfId="63" applyFont="1" applyFill="1"/>
    <xf numFmtId="0" fontId="102" fillId="2" borderId="10" xfId="63" applyFont="1" applyFill="1" applyBorder="1"/>
    <xf numFmtId="0" fontId="102" fillId="2" borderId="0" xfId="63" applyFont="1" applyFill="1" applyAlignment="1">
      <alignment vertical="center"/>
    </xf>
    <xf numFmtId="0" fontId="41" fillId="2" borderId="10" xfId="63" applyFont="1" applyFill="1" applyBorder="1" applyAlignment="1">
      <alignment horizontal="right"/>
    </xf>
    <xf numFmtId="49" fontId="41" fillId="2" borderId="4" xfId="63" applyNumberFormat="1" applyFont="1" applyFill="1" applyBorder="1" applyAlignment="1">
      <alignment horizontal="center" vertical="center" wrapText="1"/>
    </xf>
    <xf numFmtId="0" fontId="41" fillId="2" borderId="4" xfId="63" applyFont="1" applyFill="1" applyBorder="1" applyAlignment="1">
      <alignment horizontal="center" vertical="center" wrapText="1"/>
    </xf>
    <xf numFmtId="49" fontId="102" fillId="2" borderId="4" xfId="63" applyNumberFormat="1" applyFont="1" applyFill="1" applyBorder="1" applyAlignment="1">
      <alignment horizontal="center" vertical="center" wrapText="1"/>
    </xf>
    <xf numFmtId="0" fontId="102" fillId="0" borderId="4" xfId="0" applyFont="1" applyBorder="1" applyAlignment="1">
      <alignment vertical="center"/>
    </xf>
    <xf numFmtId="0" fontId="102" fillId="2" borderId="4" xfId="63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center" vertical="center"/>
    </xf>
    <xf numFmtId="3" fontId="41" fillId="2" borderId="4" xfId="63" applyNumberFormat="1" applyFont="1" applyFill="1" applyBorder="1" applyAlignment="1">
      <alignment horizontal="center" vertical="center" wrapText="1"/>
    </xf>
    <xf numFmtId="49" fontId="102" fillId="2" borderId="8" xfId="63" applyNumberFormat="1" applyFont="1" applyFill="1" applyBorder="1" applyAlignment="1">
      <alignment horizontal="left" vertical="center" wrapText="1"/>
    </xf>
    <xf numFmtId="4" fontId="107" fillId="2" borderId="4" xfId="63" applyNumberFormat="1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right" vertical="center" wrapText="1"/>
    </xf>
    <xf numFmtId="49" fontId="41" fillId="2" borderId="0" xfId="63" applyNumberFormat="1" applyFont="1" applyFill="1" applyBorder="1" applyAlignment="1">
      <alignment horizontal="right" vertical="center" wrapText="1"/>
    </xf>
    <xf numFmtId="3" fontId="41" fillId="0" borderId="0" xfId="63" applyNumberFormat="1" applyFont="1" applyFill="1" applyBorder="1" applyAlignment="1">
      <alignment horizontal="right" vertical="center" wrapText="1"/>
    </xf>
    <xf numFmtId="3" fontId="41" fillId="0" borderId="0" xfId="63" applyNumberFormat="1" applyFont="1" applyFill="1" applyBorder="1" applyAlignment="1">
      <alignment horizontal="center" vertical="center" wrapText="1"/>
    </xf>
    <xf numFmtId="0" fontId="52" fillId="0" borderId="0" xfId="132" applyFont="1" applyFill="1" applyAlignment="1">
      <alignment horizontal="center"/>
    </xf>
    <xf numFmtId="0" fontId="52" fillId="0" borderId="0" xfId="132" applyFont="1" applyFill="1"/>
    <xf numFmtId="0" fontId="52" fillId="0" borderId="0" xfId="132" applyFont="1" applyFill="1" applyAlignment="1">
      <alignment wrapText="1"/>
    </xf>
    <xf numFmtId="4" fontId="52" fillId="0" borderId="0" xfId="132" applyNumberFormat="1" applyFont="1" applyFill="1"/>
    <xf numFmtId="0" fontId="52" fillId="0" borderId="4" xfId="93" quotePrefix="1" applyFont="1" applyFill="1" applyBorder="1" applyAlignment="1">
      <alignment horizontal="center" vertical="center" wrapText="1"/>
    </xf>
    <xf numFmtId="4" fontId="52" fillId="0" borderId="4" xfId="93" quotePrefix="1" applyNumberFormat="1" applyFont="1" applyFill="1" applyBorder="1" applyAlignment="1">
      <alignment horizontal="center" vertical="center" wrapText="1"/>
    </xf>
    <xf numFmtId="0" fontId="52" fillId="0" borderId="4" xfId="95" quotePrefix="1" applyFont="1" applyFill="1" applyBorder="1" applyAlignment="1">
      <alignment horizontal="left" vertical="center" wrapText="1"/>
    </xf>
    <xf numFmtId="0" fontId="52" fillId="0" borderId="4" xfId="95" quotePrefix="1" applyFont="1" applyFill="1" applyBorder="1" applyAlignment="1">
      <alignment horizontal="left" vertical="top" wrapText="1"/>
    </xf>
    <xf numFmtId="3" fontId="52" fillId="0" borderId="4" xfId="102" quotePrefix="1" applyNumberFormat="1" applyFont="1" applyFill="1" applyBorder="1" applyAlignment="1">
      <alignment horizontal="center" vertical="center" wrapText="1"/>
    </xf>
    <xf numFmtId="167" fontId="52" fillId="0" borderId="4" xfId="102" quotePrefix="1" applyNumberFormat="1" applyFont="1" applyFill="1" applyBorder="1" applyAlignment="1">
      <alignment horizontal="center" vertical="center" wrapText="1"/>
    </xf>
    <xf numFmtId="0" fontId="52" fillId="0" borderId="4" xfId="132" applyFont="1" applyFill="1" applyBorder="1" applyAlignment="1">
      <alignment wrapText="1"/>
    </xf>
    <xf numFmtId="2" fontId="52" fillId="0" borderId="4" xfId="102" quotePrefix="1" applyNumberFormat="1" applyFont="1" applyFill="1" applyBorder="1" applyAlignment="1">
      <alignment horizontal="center" vertical="center" wrapText="1"/>
    </xf>
    <xf numFmtId="0" fontId="52" fillId="0" borderId="4" xfId="102" quotePrefix="1" applyFont="1" applyFill="1" applyBorder="1" applyAlignment="1">
      <alignment horizontal="center" vertical="center" wrapText="1"/>
    </xf>
    <xf numFmtId="0" fontId="52" fillId="0" borderId="4" xfId="102" quotePrefix="1" applyNumberFormat="1" applyFont="1" applyFill="1" applyBorder="1" applyAlignment="1">
      <alignment horizontal="center" vertical="center" wrapText="1"/>
    </xf>
    <xf numFmtId="0" fontId="102" fillId="6" borderId="4" xfId="0" applyFont="1" applyFill="1" applyBorder="1" applyAlignment="1">
      <alignment horizontal="center" wrapText="1"/>
    </xf>
    <xf numFmtId="0" fontId="102" fillId="6" borderId="4" xfId="0" applyFont="1" applyFill="1" applyBorder="1" applyAlignment="1">
      <alignment horizontal="left" vertical="center" wrapText="1"/>
    </xf>
    <xf numFmtId="0" fontId="102" fillId="6" borderId="4" xfId="95" quotePrefix="1" applyFont="1" applyFill="1" applyBorder="1" applyAlignment="1">
      <alignment horizontal="left" vertical="center" wrapText="1"/>
    </xf>
    <xf numFmtId="3" fontId="102" fillId="6" borderId="4" xfId="102" quotePrefix="1" applyNumberFormat="1" applyFont="1" applyFill="1" applyBorder="1" applyAlignment="1">
      <alignment horizontal="center" vertical="center" wrapText="1"/>
    </xf>
    <xf numFmtId="167" fontId="102" fillId="6" borderId="4" xfId="102" quotePrefix="1" applyNumberFormat="1" applyFont="1" applyFill="1" applyBorder="1" applyAlignment="1">
      <alignment horizontal="center" vertical="center" wrapText="1"/>
    </xf>
    <xf numFmtId="0" fontId="102" fillId="6" borderId="4" xfId="132" applyFont="1" applyFill="1" applyBorder="1" applyAlignment="1">
      <alignment vertical="center" wrapText="1"/>
    </xf>
    <xf numFmtId="0" fontId="102" fillId="6" borderId="4" xfId="0" applyFont="1" applyFill="1" applyBorder="1" applyAlignment="1">
      <alignment horizontal="center" vertical="center" wrapText="1"/>
    </xf>
    <xf numFmtId="4" fontId="102" fillId="6" borderId="4" xfId="99" applyNumberFormat="1" applyFont="1" applyFill="1" applyBorder="1" applyAlignment="1">
      <alignment wrapText="1"/>
    </xf>
    <xf numFmtId="0" fontId="102" fillId="0" borderId="4" xfId="0" applyFont="1" applyBorder="1" applyAlignment="1">
      <alignment horizontal="center" wrapText="1"/>
    </xf>
    <xf numFmtId="0" fontId="102" fillId="0" borderId="4" xfId="0" quotePrefix="1" applyFont="1" applyFill="1" applyBorder="1" applyAlignment="1">
      <alignment vertical="center" wrapText="1"/>
    </xf>
    <xf numFmtId="0" fontId="102" fillId="0" borderId="4" xfId="95" quotePrefix="1" applyFont="1" applyFill="1" applyBorder="1" applyAlignment="1">
      <alignment horizontal="left" vertical="center" wrapText="1"/>
    </xf>
    <xf numFmtId="10" fontId="102" fillId="0" borderId="4" xfId="1921" quotePrefix="1" applyNumberFormat="1" applyFont="1" applyFill="1" applyBorder="1" applyAlignment="1">
      <alignment horizontal="center" vertical="center" wrapText="1"/>
    </xf>
    <xf numFmtId="0" fontId="102" fillId="0" borderId="4" xfId="102" quotePrefix="1" applyFont="1" applyFill="1" applyBorder="1" applyAlignment="1">
      <alignment horizontal="left" vertical="center" wrapText="1"/>
    </xf>
    <xf numFmtId="0" fontId="102" fillId="0" borderId="4" xfId="132" applyFont="1" applyFill="1" applyBorder="1" applyAlignment="1">
      <alignment vertical="center" wrapText="1"/>
    </xf>
    <xf numFmtId="0" fontId="102" fillId="0" borderId="4" xfId="132" applyFont="1" applyFill="1" applyBorder="1" applyAlignment="1">
      <alignment horizontal="center" wrapText="1"/>
    </xf>
    <xf numFmtId="3" fontId="102" fillId="0" borderId="4" xfId="132" applyNumberFormat="1" applyFont="1" applyFill="1" applyBorder="1" applyAlignment="1">
      <alignment horizontal="center" wrapText="1"/>
    </xf>
    <xf numFmtId="0" fontId="102" fillId="0" borderId="4" xfId="0" applyFont="1" applyBorder="1" applyAlignment="1">
      <alignment horizontal="left" vertical="center" wrapText="1"/>
    </xf>
    <xf numFmtId="0" fontId="102" fillId="0" borderId="4" xfId="95" quotePrefix="1" applyFont="1" applyFill="1" applyBorder="1" applyAlignment="1">
      <alignment horizontal="left" vertical="top" wrapText="1"/>
    </xf>
    <xf numFmtId="0" fontId="102" fillId="0" borderId="4" xfId="102" quotePrefix="1" applyFont="1" applyFill="1" applyBorder="1" applyAlignment="1">
      <alignment horizontal="center" vertical="top" wrapText="1"/>
    </xf>
    <xf numFmtId="0" fontId="102" fillId="0" borderId="4" xfId="102" quotePrefix="1" applyFont="1" applyFill="1" applyBorder="1" applyAlignment="1">
      <alignment horizontal="left" vertical="top" wrapText="1"/>
    </xf>
    <xf numFmtId="0" fontId="102" fillId="0" borderId="4" xfId="132" applyFont="1" applyFill="1" applyBorder="1" applyAlignment="1">
      <alignment wrapText="1"/>
    </xf>
    <xf numFmtId="3" fontId="102" fillId="0" borderId="4" xfId="99" applyNumberFormat="1" applyFont="1" applyFill="1" applyBorder="1" applyAlignment="1">
      <alignment horizontal="center" wrapText="1"/>
    </xf>
    <xf numFmtId="0" fontId="88" fillId="0" borderId="0" xfId="147" applyFont="1" applyAlignment="1">
      <alignment wrapText="1"/>
    </xf>
    <xf numFmtId="3" fontId="24" fillId="2" borderId="4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88" fillId="0" borderId="0" xfId="147" applyFont="1" applyAlignment="1">
      <alignment wrapText="1"/>
    </xf>
    <xf numFmtId="0" fontId="24" fillId="2" borderId="6" xfId="0" applyFont="1" applyFill="1" applyBorder="1" applyAlignment="1">
      <alignment horizontal="center" vertical="center" wrapText="1"/>
    </xf>
    <xf numFmtId="4" fontId="0" fillId="30" borderId="0" xfId="0" applyNumberFormat="1" applyFill="1"/>
    <xf numFmtId="0" fontId="102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49" fontId="102" fillId="0" borderId="0" xfId="0" applyNumberFormat="1" applyFont="1" applyBorder="1" applyAlignment="1">
      <alignment horizontal="center" vertical="center"/>
    </xf>
    <xf numFmtId="178" fontId="102" fillId="0" borderId="0" xfId="0" applyNumberFormat="1" applyFont="1" applyBorder="1" applyAlignment="1">
      <alignment horizontal="center" vertical="center"/>
    </xf>
    <xf numFmtId="0" fontId="102" fillId="0" borderId="0" xfId="0" applyFont="1" applyAlignment="1">
      <alignment horizontal="right" vertical="top"/>
    </xf>
    <xf numFmtId="0" fontId="102" fillId="4" borderId="0" xfId="0" applyFont="1" applyFill="1" applyBorder="1" applyAlignment="1">
      <alignment horizontal="left" vertical="center" wrapText="1"/>
    </xf>
    <xf numFmtId="49" fontId="102" fillId="0" borderId="0" xfId="0" applyNumberFormat="1" applyFont="1" applyBorder="1" applyAlignment="1">
      <alignment vertical="center"/>
    </xf>
    <xf numFmtId="0" fontId="102" fillId="0" borderId="0" xfId="0" applyFont="1" applyFill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8" fillId="0" borderId="0" xfId="147" applyFont="1" applyAlignment="1">
      <alignment wrapText="1"/>
    </xf>
    <xf numFmtId="0" fontId="24" fillId="2" borderId="4" xfId="0" applyFont="1" applyFill="1" applyBorder="1" applyAlignment="1">
      <alignment horizontal="center" wrapText="1"/>
    </xf>
    <xf numFmtId="0" fontId="46" fillId="0" borderId="0" xfId="147" applyFont="1" applyAlignment="1">
      <alignment horizontal="center" wrapText="1"/>
    </xf>
    <xf numFmtId="0" fontId="88" fillId="0" borderId="0" xfId="147" applyFont="1" applyAlignment="1">
      <alignment horizontal="center" wrapText="1"/>
    </xf>
    <xf numFmtId="4" fontId="88" fillId="0" borderId="0" xfId="147" applyNumberFormat="1" applyFont="1" applyFill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4" fontId="52" fillId="0" borderId="0" xfId="0" applyNumberFormat="1" applyFont="1"/>
    <xf numFmtId="0" fontId="30" fillId="0" borderId="11" xfId="0" applyFont="1" applyBorder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101" fillId="0" borderId="4" xfId="1" applyFont="1" applyBorder="1" applyAlignment="1">
      <alignment vertical="center" wrapText="1"/>
    </xf>
    <xf numFmtId="3" fontId="88" fillId="0" borderId="0" xfId="147" applyNumberFormat="1" applyFont="1" applyFill="1" applyAlignment="1">
      <alignment wrapText="1"/>
    </xf>
    <xf numFmtId="0" fontId="102" fillId="0" borderId="0" xfId="63" applyFont="1" applyAlignment="1">
      <alignment vertical="top"/>
    </xf>
    <xf numFmtId="0" fontId="88" fillId="0" borderId="0" xfId="147" applyFont="1" applyAlignment="1">
      <alignment wrapText="1"/>
    </xf>
    <xf numFmtId="0" fontId="109" fillId="0" borderId="4" xfId="0" applyFont="1" applyBorder="1" applyAlignment="1">
      <alignment horizontal="center" vertical="center" wrapText="1"/>
    </xf>
    <xf numFmtId="0" fontId="109" fillId="0" borderId="4" xfId="0" applyFont="1" applyFill="1" applyBorder="1" applyAlignment="1">
      <alignment horizontal="center" vertical="center" textRotation="90" wrapText="1"/>
    </xf>
    <xf numFmtId="0" fontId="110" fillId="0" borderId="4" xfId="0" applyFont="1" applyBorder="1" applyAlignment="1">
      <alignment horizontal="center" vertical="center" wrapText="1"/>
    </xf>
    <xf numFmtId="0" fontId="93" fillId="0" borderId="4" xfId="0" applyFont="1" applyBorder="1" applyAlignment="1">
      <alignment vertical="center" wrapText="1"/>
    </xf>
    <xf numFmtId="0" fontId="93" fillId="0" borderId="7" xfId="0" applyFont="1" applyBorder="1" applyAlignment="1">
      <alignment vertical="center" wrapText="1"/>
    </xf>
    <xf numFmtId="0" fontId="9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8" fillId="0" borderId="0" xfId="147" applyFont="1" applyAlignment="1">
      <alignment wrapText="1"/>
    </xf>
    <xf numFmtId="10" fontId="102" fillId="0" borderId="0" xfId="0" applyNumberFormat="1" applyFont="1" applyAlignment="1">
      <alignment horizontal="center" vertical="center"/>
    </xf>
    <xf numFmtId="178" fontId="102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49" fontId="41" fillId="0" borderId="0" xfId="0" applyNumberFormat="1" applyFont="1" applyAlignment="1">
      <alignment vertical="center" wrapText="1"/>
    </xf>
    <xf numFmtId="0" fontId="102" fillId="0" borderId="0" xfId="0" applyFont="1" applyAlignment="1">
      <alignment vertical="center" wrapText="1"/>
    </xf>
    <xf numFmtId="0" fontId="41" fillId="0" borderId="0" xfId="63" applyFont="1" applyFill="1" applyAlignment="1">
      <alignment vertical="center" wrapText="1"/>
    </xf>
    <xf numFmtId="0" fontId="88" fillId="0" borderId="0" xfId="147" applyFont="1" applyAlignment="1">
      <alignment wrapText="1"/>
    </xf>
    <xf numFmtId="9" fontId="22" fillId="0" borderId="7" xfId="1" applyNumberFormat="1" applyFont="1" applyBorder="1" applyAlignment="1">
      <alignment horizontal="left"/>
    </xf>
    <xf numFmtId="9" fontId="22" fillId="0" borderId="8" xfId="1" applyNumberFormat="1" applyFont="1" applyBorder="1" applyAlignment="1">
      <alignment horizontal="left"/>
    </xf>
    <xf numFmtId="9" fontId="22" fillId="0" borderId="6" xfId="1" applyNumberFormat="1" applyFont="1" applyBorder="1" applyAlignment="1">
      <alignment horizontal="left"/>
    </xf>
    <xf numFmtId="0" fontId="44" fillId="2" borderId="0" xfId="1" applyFont="1" applyFill="1" applyAlignment="1">
      <alignment horizontal="center" vertical="center" wrapText="1"/>
    </xf>
    <xf numFmtId="0" fontId="38" fillId="0" borderId="0" xfId="1" applyFont="1" applyFill="1" applyAlignment="1"/>
    <xf numFmtId="0" fontId="20" fillId="0" borderId="0" xfId="1" applyFont="1" applyFill="1" applyAlignment="1"/>
    <xf numFmtId="0" fontId="38" fillId="0" borderId="15" xfId="1" applyFont="1" applyFill="1" applyBorder="1" applyAlignment="1">
      <alignment vertical="center"/>
    </xf>
    <xf numFmtId="0" fontId="20" fillId="0" borderId="15" xfId="1" applyFont="1" applyFill="1" applyBorder="1" applyAlignment="1">
      <alignment vertical="center"/>
    </xf>
    <xf numFmtId="0" fontId="37" fillId="0" borderId="4" xfId="1" applyFont="1" applyBorder="1" applyAlignment="1">
      <alignment horizontal="center" vertical="center" wrapText="1"/>
    </xf>
    <xf numFmtId="0" fontId="39" fillId="0" borderId="4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/>
    </xf>
    <xf numFmtId="0" fontId="41" fillId="0" borderId="8" xfId="1" applyFont="1" applyBorder="1" applyAlignment="1">
      <alignment horizontal="center"/>
    </xf>
    <xf numFmtId="0" fontId="41" fillId="0" borderId="6" xfId="1" applyFont="1" applyBorder="1" applyAlignment="1">
      <alignment horizontal="center"/>
    </xf>
    <xf numFmtId="0" fontId="22" fillId="0" borderId="7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108" fillId="0" borderId="0" xfId="0" applyFont="1" applyAlignment="1">
      <alignment horizontal="center" wrapText="1"/>
    </xf>
    <xf numFmtId="0" fontId="108" fillId="0" borderId="10" xfId="0" applyFont="1" applyBorder="1" applyAlignment="1">
      <alignment horizontal="center" wrapText="1"/>
    </xf>
    <xf numFmtId="0" fontId="109" fillId="0" borderId="4" xfId="0" applyFont="1" applyBorder="1" applyAlignment="1">
      <alignment horizontal="center" vertical="center" wrapText="1"/>
    </xf>
    <xf numFmtId="0" fontId="109" fillId="0" borderId="4" xfId="0" applyFont="1" applyBorder="1" applyAlignment="1">
      <alignment horizontal="center" vertical="center"/>
    </xf>
    <xf numFmtId="0" fontId="110" fillId="0" borderId="1" xfId="0" applyFont="1" applyBorder="1" applyAlignment="1">
      <alignment horizontal="center" vertical="center" wrapText="1"/>
    </xf>
    <xf numFmtId="0" fontId="110" fillId="0" borderId="3" xfId="0" applyFont="1" applyBorder="1" applyAlignment="1">
      <alignment horizontal="center" vertical="center" wrapText="1"/>
    </xf>
    <xf numFmtId="0" fontId="110" fillId="0" borderId="16" xfId="0" applyFont="1" applyBorder="1" applyAlignment="1">
      <alignment horizontal="center" vertical="center" wrapText="1"/>
    </xf>
    <xf numFmtId="0" fontId="110" fillId="0" borderId="14" xfId="0" applyFont="1" applyBorder="1" applyAlignment="1">
      <alignment horizontal="center" vertical="center" wrapText="1"/>
    </xf>
    <xf numFmtId="0" fontId="110" fillId="0" borderId="4" xfId="0" applyFont="1" applyBorder="1" applyAlignment="1">
      <alignment horizontal="center" vertical="center"/>
    </xf>
    <xf numFmtId="0" fontId="98" fillId="0" borderId="0" xfId="0" applyFont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95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5" fillId="29" borderId="7" xfId="0" applyFont="1" applyFill="1" applyBorder="1" applyAlignment="1">
      <alignment horizontal="right"/>
    </xf>
    <xf numFmtId="0" fontId="95" fillId="29" borderId="8" xfId="0" applyFont="1" applyFill="1" applyBorder="1" applyAlignment="1">
      <alignment horizontal="right"/>
    </xf>
    <xf numFmtId="0" fontId="95" fillId="29" borderId="6" xfId="0" applyFont="1" applyFill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0" fillId="0" borderId="0" xfId="0" applyFont="1" applyBorder="1" applyAlignment="1">
      <alignment horizontal="left" vertical="top" wrapText="1"/>
    </xf>
    <xf numFmtId="49" fontId="48" fillId="0" borderId="0" xfId="0" applyNumberFormat="1" applyFont="1" applyFill="1" applyBorder="1" applyAlignment="1">
      <alignment horizontal="justify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vertical="center" wrapText="1"/>
    </xf>
    <xf numFmtId="0" fontId="91" fillId="0" borderId="0" xfId="0" applyFont="1" applyBorder="1" applyAlignment="1">
      <alignment horizontal="center" vertical="top" wrapText="1"/>
    </xf>
    <xf numFmtId="0" fontId="48" fillId="0" borderId="0" xfId="0" applyFont="1" applyAlignment="1">
      <alignment horizontal="left" wrapText="1"/>
    </xf>
    <xf numFmtId="0" fontId="90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0" borderId="0" xfId="0" applyFont="1" applyBorder="1" applyAlignment="1">
      <alignment horizontal="left" wrapText="1"/>
    </xf>
    <xf numFmtId="0" fontId="41" fillId="0" borderId="0" xfId="63" applyFont="1" applyAlignment="1">
      <alignment horizontal="center"/>
    </xf>
    <xf numFmtId="0" fontId="41" fillId="0" borderId="0" xfId="63" applyFont="1" applyAlignment="1">
      <alignment horizontal="left" vertical="center" wrapText="1"/>
    </xf>
    <xf numFmtId="49" fontId="102" fillId="0" borderId="0" xfId="63" applyNumberFormat="1" applyFont="1" applyAlignment="1">
      <alignment horizontal="left" vertical="center" wrapText="1"/>
    </xf>
    <xf numFmtId="49" fontId="102" fillId="0" borderId="0" xfId="63" applyNumberFormat="1" applyFont="1" applyAlignment="1">
      <alignment horizontal="left" wrapText="1"/>
    </xf>
    <xf numFmtId="0" fontId="41" fillId="0" borderId="0" xfId="63" applyFont="1" applyAlignment="1">
      <alignment horizontal="left" wrapText="1"/>
    </xf>
    <xf numFmtId="0" fontId="41" fillId="0" borderId="0" xfId="63" applyFont="1" applyFill="1" applyAlignment="1">
      <alignment horizontal="left" vertical="center" wrapText="1"/>
    </xf>
    <xf numFmtId="49" fontId="90" fillId="2" borderId="0" xfId="63" applyNumberFormat="1" applyFont="1" applyFill="1" applyBorder="1" applyAlignment="1">
      <alignment horizontal="left" vertical="center" wrapText="1"/>
    </xf>
    <xf numFmtId="0" fontId="97" fillId="0" borderId="0" xfId="0" applyFont="1" applyAlignment="1">
      <alignment horizontal="center" vertical="center"/>
    </xf>
    <xf numFmtId="0" fontId="97" fillId="0" borderId="0" xfId="0" quotePrefix="1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 wrapText="1"/>
    </xf>
    <xf numFmtId="0" fontId="102" fillId="0" borderId="0" xfId="0" applyFont="1" applyAlignment="1">
      <alignment horizontal="left" vertical="top" wrapText="1"/>
    </xf>
    <xf numFmtId="0" fontId="41" fillId="0" borderId="0" xfId="0" applyFont="1" applyAlignment="1">
      <alignment horizontal="center" vertical="center" wrapText="1"/>
    </xf>
    <xf numFmtId="49" fontId="41" fillId="0" borderId="0" xfId="0" quotePrefix="1" applyNumberFormat="1" applyFont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94" fillId="0" borderId="0" xfId="0" applyFont="1" applyAlignment="1">
      <alignment horizontal="center"/>
    </xf>
    <xf numFmtId="0" fontId="96" fillId="0" borderId="0" xfId="0" applyFont="1" applyAlignment="1">
      <alignment horizontal="left" wrapText="1"/>
    </xf>
    <xf numFmtId="0" fontId="104" fillId="0" borderId="0" xfId="0" applyFont="1" applyAlignment="1">
      <alignment horizontal="left" vertical="center" wrapText="1"/>
    </xf>
    <xf numFmtId="0" fontId="102" fillId="4" borderId="0" xfId="0" applyFont="1" applyFill="1" applyBorder="1" applyAlignment="1">
      <alignment horizontal="left" vertical="center" wrapText="1"/>
    </xf>
    <xf numFmtId="49" fontId="41" fillId="2" borderId="7" xfId="63" applyNumberFormat="1" applyFont="1" applyFill="1" applyBorder="1" applyAlignment="1">
      <alignment horizontal="right" vertical="center" wrapText="1"/>
    </xf>
    <xf numFmtId="49" fontId="41" fillId="2" borderId="8" xfId="63" applyNumberFormat="1" applyFont="1" applyFill="1" applyBorder="1" applyAlignment="1">
      <alignment horizontal="right" vertical="center" wrapText="1"/>
    </xf>
    <xf numFmtId="49" fontId="41" fillId="2" borderId="6" xfId="63" applyNumberFormat="1" applyFont="1" applyFill="1" applyBorder="1" applyAlignment="1">
      <alignment horizontal="right" vertical="center" wrapText="1"/>
    </xf>
    <xf numFmtId="0" fontId="22" fillId="6" borderId="0" xfId="63" applyFont="1" applyFill="1" applyAlignment="1">
      <alignment horizontal="center" wrapText="1"/>
    </xf>
    <xf numFmtId="0" fontId="93" fillId="6" borderId="4" xfId="0" applyFont="1" applyFill="1" applyBorder="1" applyAlignment="1">
      <alignment horizontal="center" vertical="center"/>
    </xf>
    <xf numFmtId="0" fontId="46" fillId="0" borderId="7" xfId="0" applyFont="1" applyBorder="1" applyAlignment="1">
      <alignment horizontal="left"/>
    </xf>
    <xf numFmtId="0" fontId="46" fillId="0" borderId="8" xfId="0" applyFont="1" applyBorder="1" applyAlignment="1">
      <alignment horizontal="left"/>
    </xf>
    <xf numFmtId="0" fontId="46" fillId="0" borderId="6" xfId="0" applyFont="1" applyBorder="1" applyAlignment="1">
      <alignment horizontal="left"/>
    </xf>
    <xf numFmtId="0" fontId="88" fillId="6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/>
    </xf>
    <xf numFmtId="0" fontId="88" fillId="0" borderId="4" xfId="0" applyFont="1" applyBorder="1" applyAlignment="1">
      <alignment horizontal="left"/>
    </xf>
    <xf numFmtId="0" fontId="88" fillId="0" borderId="7" xfId="0" applyFont="1" applyBorder="1" applyAlignment="1">
      <alignment horizontal="left"/>
    </xf>
    <xf numFmtId="0" fontId="88" fillId="0" borderId="8" xfId="0" applyFont="1" applyBorder="1" applyAlignment="1">
      <alignment horizontal="left"/>
    </xf>
    <xf numFmtId="0" fontId="88" fillId="0" borderId="6" xfId="0" applyFont="1" applyBorder="1" applyAlignment="1">
      <alignment horizontal="left"/>
    </xf>
    <xf numFmtId="0" fontId="41" fillId="2" borderId="7" xfId="63" applyFont="1" applyFill="1" applyBorder="1" applyAlignment="1">
      <alignment horizontal="center" vertical="center" wrapText="1"/>
    </xf>
    <xf numFmtId="0" fontId="41" fillId="2" borderId="8" xfId="63" applyFont="1" applyFill="1" applyBorder="1" applyAlignment="1">
      <alignment horizontal="center" vertical="center" wrapText="1"/>
    </xf>
    <xf numFmtId="0" fontId="41" fillId="2" borderId="1" xfId="63" applyFont="1" applyFill="1" applyBorder="1" applyAlignment="1">
      <alignment horizontal="center" vertical="center" wrapText="1"/>
    </xf>
    <xf numFmtId="0" fontId="41" fillId="2" borderId="2" xfId="63" applyFont="1" applyFill="1" applyBorder="1" applyAlignment="1">
      <alignment horizontal="center" vertical="center" wrapText="1"/>
    </xf>
    <xf numFmtId="0" fontId="41" fillId="2" borderId="3" xfId="63" applyFont="1" applyFill="1" applyBorder="1" applyAlignment="1">
      <alignment horizontal="center" vertical="center" wrapText="1"/>
    </xf>
    <xf numFmtId="49" fontId="41" fillId="2" borderId="5" xfId="63" applyNumberFormat="1" applyFont="1" applyFill="1" applyBorder="1" applyAlignment="1">
      <alignment horizontal="center" vertical="center" wrapText="1"/>
    </xf>
    <xf numFmtId="49" fontId="41" fillId="2" borderId="11" xfId="63" applyNumberFormat="1" applyFont="1" applyFill="1" applyBorder="1" applyAlignment="1">
      <alignment horizontal="center" vertical="center" wrapText="1"/>
    </xf>
    <xf numFmtId="0" fontId="22" fillId="2" borderId="5" xfId="63" applyFont="1" applyFill="1" applyBorder="1" applyAlignment="1">
      <alignment horizontal="center"/>
    </xf>
    <xf numFmtId="0" fontId="22" fillId="2" borderId="11" xfId="63" applyFont="1" applyFill="1" applyBorder="1" applyAlignment="1">
      <alignment horizontal="center"/>
    </xf>
    <xf numFmtId="49" fontId="41" fillId="2" borderId="9" xfId="63" applyNumberFormat="1" applyFont="1" applyFill="1" applyBorder="1" applyAlignment="1">
      <alignment horizontal="center" vertical="center" wrapText="1"/>
    </xf>
    <xf numFmtId="0" fontId="41" fillId="2" borderId="4" xfId="63" applyFont="1" applyFill="1" applyBorder="1" applyAlignment="1">
      <alignment horizontal="center"/>
    </xf>
    <xf numFmtId="0" fontId="41" fillId="2" borderId="0" xfId="63" applyFont="1" applyFill="1" applyAlignment="1">
      <alignment horizontal="center" vertical="center" wrapText="1"/>
    </xf>
    <xf numFmtId="0" fontId="102" fillId="2" borderId="0" xfId="63" applyFont="1" applyFill="1" applyAlignment="1">
      <alignment horizontal="left" vertical="top" wrapText="1"/>
    </xf>
    <xf numFmtId="0" fontId="102" fillId="2" borderId="0" xfId="63" applyFont="1" applyFill="1" applyAlignment="1">
      <alignment horizontal="left" vertical="top"/>
    </xf>
    <xf numFmtId="0" fontId="41" fillId="2" borderId="0" xfId="63" applyFont="1" applyFill="1" applyAlignment="1">
      <alignment horizontal="left" vertical="center" wrapText="1"/>
    </xf>
    <xf numFmtId="0" fontId="97" fillId="2" borderId="0" xfId="0" applyFont="1" applyFill="1" applyAlignment="1">
      <alignment horizontal="left" vertical="center"/>
    </xf>
    <xf numFmtId="0" fontId="102" fillId="2" borderId="0" xfId="63" applyFont="1" applyFill="1" applyAlignment="1">
      <alignment horizontal="left" vertical="center" wrapText="1"/>
    </xf>
    <xf numFmtId="0" fontId="41" fillId="2" borderId="0" xfId="63" applyFont="1" applyFill="1" applyAlignment="1">
      <alignment horizontal="left" vertical="top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" xfId="105" quotePrefix="1" applyFont="1" applyFill="1" applyBorder="1" applyAlignment="1">
      <alignment horizontal="left" vertical="top" wrapText="1"/>
    </xf>
    <xf numFmtId="0" fontId="24" fillId="0" borderId="3" xfId="105" quotePrefix="1" applyFont="1" applyFill="1" applyBorder="1" applyAlignment="1">
      <alignment horizontal="left" vertical="top" wrapText="1"/>
    </xf>
    <xf numFmtId="3" fontId="24" fillId="0" borderId="4" xfId="0" applyNumberFormat="1" applyFont="1" applyFill="1" applyBorder="1" applyAlignment="1">
      <alignment horizontal="center" vertical="center" wrapText="1"/>
    </xf>
    <xf numFmtId="0" fontId="24" fillId="0" borderId="12" xfId="105" quotePrefix="1" applyFont="1" applyFill="1" applyBorder="1" applyAlignment="1">
      <alignment horizontal="left" vertical="top" wrapText="1"/>
    </xf>
    <xf numFmtId="0" fontId="24" fillId="0" borderId="13" xfId="105" quotePrefix="1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6" xfId="105" quotePrefix="1" applyFont="1" applyFill="1" applyBorder="1" applyAlignment="1">
      <alignment horizontal="left" vertical="top" wrapText="1"/>
    </xf>
    <xf numFmtId="0" fontId="24" fillId="0" borderId="14" xfId="105" quotePrefix="1" applyFont="1" applyFill="1" applyBorder="1" applyAlignment="1">
      <alignment horizontal="left" vertical="top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0" fontId="24" fillId="2" borderId="16" xfId="105" quotePrefix="1" applyFont="1" applyFill="1" applyBorder="1" applyAlignment="1">
      <alignment horizontal="left" vertical="top" wrapText="1"/>
    </xf>
    <xf numFmtId="0" fontId="24" fillId="2" borderId="14" xfId="105" quotePrefix="1" applyFont="1" applyFill="1" applyBorder="1" applyAlignment="1">
      <alignment horizontal="left" vertical="top" wrapText="1"/>
    </xf>
    <xf numFmtId="0" fontId="24" fillId="2" borderId="1" xfId="105" quotePrefix="1" applyFont="1" applyFill="1" applyBorder="1" applyAlignment="1">
      <alignment horizontal="left" vertical="top" wrapText="1"/>
    </xf>
    <xf numFmtId="0" fontId="24" fillId="2" borderId="3" xfId="105" quotePrefix="1" applyFont="1" applyFill="1" applyBorder="1" applyAlignment="1">
      <alignment horizontal="left" vertical="top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2" xfId="105" quotePrefix="1" applyFont="1" applyFill="1" applyBorder="1" applyAlignment="1">
      <alignment horizontal="left" vertical="top" wrapText="1"/>
    </xf>
    <xf numFmtId="0" fontId="24" fillId="2" borderId="13" xfId="105" quotePrefix="1" applyFont="1" applyFill="1" applyBorder="1" applyAlignment="1">
      <alignment horizontal="left" vertical="top" wrapText="1"/>
    </xf>
    <xf numFmtId="3" fontId="24" fillId="2" borderId="11" xfId="0" applyNumberFormat="1" applyFont="1" applyFill="1" applyBorder="1" applyAlignment="1">
      <alignment horizontal="center" vertical="center" wrapText="1"/>
    </xf>
    <xf numFmtId="0" fontId="24" fillId="2" borderId="1" xfId="141" quotePrefix="1" applyFont="1" applyFill="1" applyBorder="1" applyAlignment="1">
      <alignment horizontal="center" vertical="center" wrapText="1"/>
    </xf>
    <xf numFmtId="0" fontId="24" fillId="2" borderId="2" xfId="141" quotePrefix="1" applyFont="1" applyFill="1" applyBorder="1" applyAlignment="1">
      <alignment horizontal="center" vertical="center" wrapText="1"/>
    </xf>
    <xf numFmtId="0" fontId="24" fillId="2" borderId="3" xfId="141" quotePrefix="1" applyFont="1" applyFill="1" applyBorder="1" applyAlignment="1">
      <alignment horizontal="center" vertical="center" wrapText="1"/>
    </xf>
    <xf numFmtId="0" fontId="24" fillId="2" borderId="12" xfId="141" quotePrefix="1" applyFont="1" applyFill="1" applyBorder="1" applyAlignment="1">
      <alignment horizontal="center" vertical="center" wrapText="1"/>
    </xf>
    <xf numFmtId="0" fontId="24" fillId="2" borderId="0" xfId="141" quotePrefix="1" applyFont="1" applyFill="1" applyBorder="1" applyAlignment="1">
      <alignment horizontal="center" vertical="center" wrapText="1"/>
    </xf>
    <xf numFmtId="0" fontId="24" fillId="2" borderId="13" xfId="141" quotePrefix="1" applyFont="1" applyFill="1" applyBorder="1" applyAlignment="1">
      <alignment horizontal="center" vertical="center" wrapText="1"/>
    </xf>
    <xf numFmtId="0" fontId="24" fillId="2" borderId="16" xfId="141" quotePrefix="1" applyFont="1" applyFill="1" applyBorder="1" applyAlignment="1">
      <alignment horizontal="center" vertical="center" wrapText="1"/>
    </xf>
    <xf numFmtId="0" fontId="24" fillId="2" borderId="10" xfId="141" quotePrefix="1" applyFont="1" applyFill="1" applyBorder="1" applyAlignment="1">
      <alignment horizontal="center" vertical="center" wrapText="1"/>
    </xf>
    <xf numFmtId="0" fontId="24" fillId="2" borderId="14" xfId="141" quotePrefix="1" applyFont="1" applyFill="1" applyBorder="1" applyAlignment="1">
      <alignment horizontal="center" vertical="center" wrapText="1"/>
    </xf>
    <xf numFmtId="0" fontId="24" fillId="2" borderId="1" xfId="106" quotePrefix="1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wrapText="1"/>
    </xf>
    <xf numFmtId="0" fontId="24" fillId="2" borderId="12" xfId="102" quotePrefix="1" applyFont="1" applyFill="1" applyBorder="1" applyAlignment="1">
      <alignment horizontal="left" vertical="top" wrapText="1"/>
    </xf>
    <xf numFmtId="0" fontId="24" fillId="2" borderId="13" xfId="0" applyFont="1" applyFill="1" applyBorder="1" applyAlignment="1">
      <alignment wrapText="1"/>
    </xf>
    <xf numFmtId="0" fontId="24" fillId="2" borderId="16" xfId="102" quotePrefix="1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wrapText="1"/>
    </xf>
    <xf numFmtId="0" fontId="24" fillId="2" borderId="5" xfId="0" applyNumberFormat="1" applyFont="1" applyFill="1" applyBorder="1" applyAlignment="1">
      <alignment horizontal="center" vertical="center" wrapText="1"/>
    </xf>
    <xf numFmtId="0" fontId="24" fillId="2" borderId="9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102" quotePrefix="1" applyFont="1" applyFill="1" applyBorder="1" applyAlignment="1">
      <alignment horizontal="center" vertical="top" wrapText="1"/>
    </xf>
    <xf numFmtId="0" fontId="24" fillId="2" borderId="6" xfId="102" quotePrefix="1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wrapText="1"/>
    </xf>
    <xf numFmtId="0" fontId="24" fillId="2" borderId="8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5" xfId="147" applyFont="1" applyFill="1" applyBorder="1" applyAlignment="1">
      <alignment horizontal="center" vertical="center" wrapText="1"/>
    </xf>
    <xf numFmtId="0" fontId="24" fillId="2" borderId="9" xfId="147" applyFont="1" applyFill="1" applyBorder="1" applyAlignment="1">
      <alignment horizontal="center" vertical="center" wrapText="1"/>
    </xf>
    <xf numFmtId="0" fontId="24" fillId="2" borderId="11" xfId="147" applyFont="1" applyFill="1" applyBorder="1" applyAlignment="1">
      <alignment horizontal="center" vertical="center" wrapText="1"/>
    </xf>
    <xf numFmtId="0" fontId="24" fillId="2" borderId="1" xfId="147" applyFont="1" applyFill="1" applyBorder="1" applyAlignment="1">
      <alignment horizontal="center" vertical="center" wrapText="1"/>
    </xf>
    <xf numFmtId="0" fontId="24" fillId="2" borderId="2" xfId="147" applyFont="1" applyFill="1" applyBorder="1" applyAlignment="1">
      <alignment horizontal="center" vertical="center" wrapText="1"/>
    </xf>
    <xf numFmtId="0" fontId="24" fillId="2" borderId="3" xfId="147" applyFont="1" applyFill="1" applyBorder="1" applyAlignment="1">
      <alignment horizontal="center" vertical="center" wrapText="1"/>
    </xf>
    <xf numFmtId="0" fontId="24" fillId="2" borderId="12" xfId="147" applyFont="1" applyFill="1" applyBorder="1" applyAlignment="1">
      <alignment horizontal="center" vertical="center" wrapText="1"/>
    </xf>
    <xf numFmtId="0" fontId="24" fillId="2" borderId="0" xfId="147" applyFont="1" applyFill="1" applyBorder="1" applyAlignment="1">
      <alignment horizontal="center" vertical="center" wrapText="1"/>
    </xf>
    <xf numFmtId="0" fontId="24" fillId="2" borderId="13" xfId="147" applyFont="1" applyFill="1" applyBorder="1" applyAlignment="1">
      <alignment horizontal="center" vertical="center" wrapText="1"/>
    </xf>
    <xf numFmtId="0" fontId="24" fillId="2" borderId="16" xfId="147" applyFont="1" applyFill="1" applyBorder="1" applyAlignment="1">
      <alignment horizontal="center" vertical="center" wrapText="1"/>
    </xf>
    <xf numFmtId="0" fontId="24" fillId="2" borderId="10" xfId="147" applyFont="1" applyFill="1" applyBorder="1" applyAlignment="1">
      <alignment horizontal="center" vertical="center" wrapText="1"/>
    </xf>
    <xf numFmtId="0" fontId="24" fillId="2" borderId="14" xfId="147" applyFont="1" applyFill="1" applyBorder="1" applyAlignment="1">
      <alignment horizontal="center" vertical="center" wrapText="1"/>
    </xf>
    <xf numFmtId="0" fontId="24" fillId="2" borderId="1" xfId="0" quotePrefix="1" applyFont="1" applyFill="1" applyBorder="1" applyAlignment="1">
      <alignment horizontal="left" vertical="center" wrapText="1"/>
    </xf>
    <xf numFmtId="0" fontId="24" fillId="2" borderId="5" xfId="141" quotePrefix="1" applyFont="1" applyFill="1" applyBorder="1" applyAlignment="1">
      <alignment horizontal="center" vertical="center" wrapText="1"/>
    </xf>
    <xf numFmtId="0" fontId="24" fillId="2" borderId="9" xfId="147" applyFont="1" applyFill="1" applyBorder="1" applyAlignment="1">
      <alignment horizontal="center" wrapText="1"/>
    </xf>
    <xf numFmtId="0" fontId="24" fillId="2" borderId="11" xfId="147" applyFont="1" applyFill="1" applyBorder="1" applyAlignment="1">
      <alignment horizontal="center" wrapText="1"/>
    </xf>
    <xf numFmtId="0" fontId="88" fillId="0" borderId="7" xfId="139" quotePrefix="1" applyFont="1" applyBorder="1" applyAlignment="1">
      <alignment horizontal="center" vertical="center" wrapText="1"/>
    </xf>
    <xf numFmtId="0" fontId="88" fillId="0" borderId="8" xfId="139" quotePrefix="1" applyFont="1" applyBorder="1" applyAlignment="1">
      <alignment horizontal="center" vertical="center" wrapText="1"/>
    </xf>
    <xf numFmtId="0" fontId="88" fillId="0" borderId="6" xfId="139" quotePrefix="1" applyFont="1" applyBorder="1" applyAlignment="1">
      <alignment horizontal="center" vertical="center" wrapText="1"/>
    </xf>
    <xf numFmtId="0" fontId="88" fillId="0" borderId="0" xfId="86" quotePrefix="1" applyFont="1" applyAlignment="1">
      <alignment horizontal="left" vertical="center" wrapText="1"/>
    </xf>
    <xf numFmtId="0" fontId="88" fillId="0" borderId="0" xfId="147" applyFont="1" applyAlignment="1">
      <alignment wrapText="1"/>
    </xf>
    <xf numFmtId="0" fontId="93" fillId="0" borderId="0" xfId="131" quotePrefix="1" applyFont="1" applyAlignment="1">
      <alignment horizontal="right" vertical="center" wrapText="1"/>
    </xf>
    <xf numFmtId="0" fontId="93" fillId="0" borderId="0" xfId="135" quotePrefix="1" applyFont="1" applyAlignment="1">
      <alignment horizontal="center" vertical="center" wrapText="1"/>
    </xf>
    <xf numFmtId="0" fontId="88" fillId="0" borderId="0" xfId="136" quotePrefix="1" applyFont="1" applyAlignment="1">
      <alignment horizontal="center" vertical="top" wrapText="1"/>
    </xf>
    <xf numFmtId="0" fontId="93" fillId="0" borderId="0" xfId="137" quotePrefix="1" applyFont="1" applyAlignment="1">
      <alignment horizontal="left" vertical="top" wrapText="1"/>
    </xf>
    <xf numFmtId="0" fontId="93" fillId="0" borderId="0" xfId="138" quotePrefix="1" applyFont="1" applyAlignment="1">
      <alignment horizontal="left" vertical="top" wrapText="1"/>
    </xf>
    <xf numFmtId="0" fontId="93" fillId="0" borderId="0" xfId="147" applyFont="1" applyAlignment="1">
      <alignment wrapText="1"/>
    </xf>
    <xf numFmtId="0" fontId="88" fillId="0" borderId="0" xfId="138" quotePrefix="1" applyFont="1" applyAlignment="1">
      <alignment horizontal="left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2" fontId="24" fillId="2" borderId="13" xfId="0" applyNumberFormat="1" applyFont="1" applyFill="1" applyBorder="1" applyAlignment="1">
      <alignment horizontal="center" vertical="center" wrapText="1"/>
    </xf>
    <xf numFmtId="2" fontId="24" fillId="2" borderId="14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88" fillId="0" borderId="6" xfId="147" applyFont="1" applyBorder="1" applyAlignment="1">
      <alignment wrapText="1"/>
    </xf>
    <xf numFmtId="0" fontId="24" fillId="2" borderId="6" xfId="0" applyFont="1" applyFill="1" applyBorder="1" applyAlignment="1">
      <alignment horizontal="center" vertical="center" wrapText="1"/>
    </xf>
    <xf numFmtId="3" fontId="24" fillId="2" borderId="4" xfId="147" applyNumberFormat="1" applyFont="1" applyFill="1" applyBorder="1" applyAlignment="1">
      <alignment horizontal="center" vertical="center" wrapText="1"/>
    </xf>
    <xf numFmtId="3" fontId="24" fillId="2" borderId="5" xfId="147" applyNumberFormat="1" applyFont="1" applyFill="1" applyBorder="1" applyAlignment="1">
      <alignment horizontal="center" vertical="center" wrapText="1"/>
    </xf>
    <xf numFmtId="3" fontId="24" fillId="2" borderId="9" xfId="147" applyNumberFormat="1" applyFont="1" applyFill="1" applyBorder="1" applyAlignment="1">
      <alignment horizontal="center" vertical="center" wrapText="1"/>
    </xf>
    <xf numFmtId="3" fontId="24" fillId="2" borderId="11" xfId="147" applyNumberFormat="1" applyFont="1" applyFill="1" applyBorder="1" applyAlignment="1">
      <alignment horizontal="center" vertical="center" wrapText="1"/>
    </xf>
    <xf numFmtId="4" fontId="24" fillId="0" borderId="0" xfId="141" quotePrefix="1" applyNumberFormat="1" applyFont="1" applyFill="1" applyBorder="1" applyAlignment="1">
      <alignment horizontal="center" vertical="center" wrapText="1"/>
    </xf>
    <xf numFmtId="0" fontId="24" fillId="2" borderId="5" xfId="147" applyNumberFormat="1" applyFont="1" applyFill="1" applyBorder="1" applyAlignment="1">
      <alignment horizontal="center" vertical="center" wrapText="1"/>
    </xf>
    <xf numFmtId="0" fontId="24" fillId="2" borderId="9" xfId="147" applyNumberFormat="1" applyFont="1" applyFill="1" applyBorder="1" applyAlignment="1">
      <alignment horizontal="center" vertical="center" wrapText="1"/>
    </xf>
    <xf numFmtId="0" fontId="24" fillId="2" borderId="11" xfId="147" applyNumberFormat="1" applyFont="1" applyFill="1" applyBorder="1" applyAlignment="1">
      <alignment horizontal="center" vertical="center" wrapText="1"/>
    </xf>
    <xf numFmtId="0" fontId="24" fillId="2" borderId="5" xfId="141" quotePrefix="1" applyNumberFormat="1" applyFont="1" applyFill="1" applyBorder="1" applyAlignment="1">
      <alignment horizontal="center" vertical="center" wrapText="1"/>
    </xf>
    <xf numFmtId="0" fontId="24" fillId="2" borderId="9" xfId="147" applyNumberFormat="1" applyFont="1" applyFill="1" applyBorder="1" applyAlignment="1">
      <alignment horizontal="center" wrapText="1"/>
    </xf>
    <xf numFmtId="0" fontId="24" fillId="2" borderId="11" xfId="147" applyNumberFormat="1" applyFont="1" applyFill="1" applyBorder="1" applyAlignment="1">
      <alignment horizontal="center" wrapText="1"/>
    </xf>
    <xf numFmtId="3" fontId="24" fillId="2" borderId="5" xfId="141" quotePrefix="1" applyNumberFormat="1" applyFont="1" applyFill="1" applyBorder="1" applyAlignment="1">
      <alignment horizontal="center" vertical="center" wrapText="1"/>
    </xf>
    <xf numFmtId="3" fontId="24" fillId="2" borderId="9" xfId="141" quotePrefix="1" applyNumberFormat="1" applyFont="1" applyFill="1" applyBorder="1" applyAlignment="1">
      <alignment horizontal="center" vertical="center" wrapText="1"/>
    </xf>
    <xf numFmtId="3" fontId="24" fillId="2" borderId="11" xfId="141" quotePrefix="1" applyNumberFormat="1" applyFont="1" applyFill="1" applyBorder="1" applyAlignment="1">
      <alignment horizontal="center" vertical="center" wrapText="1"/>
    </xf>
    <xf numFmtId="0" fontId="24" fillId="2" borderId="1" xfId="0" quotePrefix="1" applyFont="1" applyFill="1" applyBorder="1" applyAlignment="1">
      <alignment horizontal="center" vertical="center" wrapText="1"/>
    </xf>
    <xf numFmtId="0" fontId="97" fillId="0" borderId="0" xfId="109" quotePrefix="1" applyFont="1" applyFill="1" applyAlignment="1">
      <alignment horizontal="center" vertical="center" wrapText="1"/>
    </xf>
    <xf numFmtId="0" fontId="52" fillId="0" borderId="0" xfId="132" applyFont="1" applyFill="1" applyAlignment="1">
      <alignment wrapText="1"/>
    </xf>
    <xf numFmtId="0" fontId="52" fillId="0" borderId="0" xfId="108" quotePrefix="1" applyFont="1" applyFill="1" applyAlignment="1">
      <alignment horizontal="center" vertical="top" wrapText="1"/>
    </xf>
    <xf numFmtId="0" fontId="97" fillId="0" borderId="0" xfId="107" quotePrefix="1" applyFont="1" applyFill="1" applyAlignment="1">
      <alignment horizontal="left" vertical="top" wrapText="1"/>
    </xf>
    <xf numFmtId="0" fontId="97" fillId="0" borderId="0" xfId="102" quotePrefix="1" applyFont="1" applyFill="1" applyAlignment="1">
      <alignment horizontal="left" vertical="top" wrapText="1"/>
    </xf>
    <xf numFmtId="0" fontId="97" fillId="0" borderId="0" xfId="132" applyFont="1" applyFill="1" applyAlignment="1">
      <alignment wrapText="1"/>
    </xf>
    <xf numFmtId="0" fontId="52" fillId="0" borderId="0" xfId="87" quotePrefix="1" applyFont="1" applyFill="1" applyAlignment="1">
      <alignment horizontal="left" vertical="center" wrapText="1"/>
    </xf>
    <xf numFmtId="0" fontId="97" fillId="0" borderId="0" xfId="92" quotePrefix="1" applyFont="1" applyFill="1" applyAlignment="1">
      <alignment horizontal="left" vertical="center" wrapText="1"/>
    </xf>
    <xf numFmtId="0" fontId="52" fillId="0" borderId="0" xfId="102" quotePrefix="1" applyFont="1" applyFill="1" applyAlignment="1">
      <alignment horizontal="left" vertical="top" wrapText="1"/>
    </xf>
    <xf numFmtId="4" fontId="52" fillId="0" borderId="5" xfId="99" applyNumberFormat="1" applyFont="1" applyFill="1" applyBorder="1" applyAlignment="1">
      <alignment horizontal="center" vertical="center" wrapText="1"/>
    </xf>
    <xf numFmtId="4" fontId="52" fillId="0" borderId="9" xfId="99" applyNumberFormat="1" applyFont="1" applyFill="1" applyBorder="1" applyAlignment="1">
      <alignment horizontal="center" vertical="center" wrapText="1"/>
    </xf>
    <xf numFmtId="4" fontId="52" fillId="0" borderId="11" xfId="99" applyNumberFormat="1" applyFont="1" applyFill="1" applyBorder="1" applyAlignment="1">
      <alignment horizontal="center" vertical="center" wrapText="1"/>
    </xf>
    <xf numFmtId="0" fontId="52" fillId="0" borderId="4" xfId="93" quotePrefix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4" xfId="95" quotePrefix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wrapText="1"/>
    </xf>
    <xf numFmtId="0" fontId="52" fillId="0" borderId="4" xfId="95" quotePrefix="1" applyFont="1" applyFill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7" xfId="106" quotePrefix="1" applyFont="1" applyFill="1" applyBorder="1" applyAlignment="1">
      <alignment horizontal="left" vertical="top" wrapText="1"/>
    </xf>
    <xf numFmtId="0" fontId="52" fillId="0" borderId="8" xfId="106" quotePrefix="1" applyFont="1" applyFill="1" applyBorder="1" applyAlignment="1">
      <alignment horizontal="left" vertical="top" wrapText="1"/>
    </xf>
    <xf numFmtId="0" fontId="52" fillId="0" borderId="6" xfId="106" quotePrefix="1" applyFont="1" applyFill="1" applyBorder="1" applyAlignment="1">
      <alignment horizontal="left" vertical="top" wrapText="1"/>
    </xf>
    <xf numFmtId="0" fontId="52" fillId="0" borderId="5" xfId="95" quotePrefix="1" applyFont="1" applyFill="1" applyBorder="1" applyAlignment="1">
      <alignment horizontal="center" vertical="center" wrapText="1"/>
    </xf>
    <xf numFmtId="0" fontId="52" fillId="0" borderId="9" xfId="95" quotePrefix="1" applyFont="1" applyFill="1" applyBorder="1" applyAlignment="1">
      <alignment horizontal="center" vertical="center" wrapText="1"/>
    </xf>
    <xf numFmtId="0" fontId="52" fillId="0" borderId="11" xfId="95" quotePrefix="1" applyFont="1" applyFill="1" applyBorder="1" applyAlignment="1">
      <alignment horizontal="center" vertical="center" wrapText="1"/>
    </xf>
  </cellXfs>
  <cellStyles count="1926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3" xfId="91"/>
    <cellStyle name="S6 4" xfId="102"/>
    <cellStyle name="S6 5" xfId="139"/>
    <cellStyle name="S7" xfId="53"/>
    <cellStyle name="S7 2" xfId="5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4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3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5"/>
    <cellStyle name="Обычный 3" xfId="63"/>
    <cellStyle name="Обычный 3 2" xfId="69"/>
    <cellStyle name="Обычный 3 2 2" xfId="114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157653</xdr:colOff>
      <xdr:row>6</xdr:row>
      <xdr:rowOff>120264</xdr:rowOff>
    </xdr:from>
    <xdr:to>
      <xdr:col>7</xdr:col>
      <xdr:colOff>157656</xdr:colOff>
      <xdr:row>6</xdr:row>
      <xdr:rowOff>120264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4597768" y="2223091"/>
          <a:ext cx="556850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223346</xdr:colOff>
      <xdr:row>7</xdr:row>
      <xdr:rowOff>157655</xdr:rowOff>
    </xdr:from>
    <xdr:to>
      <xdr:col>8</xdr:col>
      <xdr:colOff>72259</xdr:colOff>
      <xdr:row>7</xdr:row>
      <xdr:rowOff>157656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4233371" y="2291255"/>
          <a:ext cx="791888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236574</xdr:colOff>
      <xdr:row>9</xdr:row>
      <xdr:rowOff>121135</xdr:rowOff>
    </xdr:from>
    <xdr:to>
      <xdr:col>9</xdr:col>
      <xdr:colOff>236981</xdr:colOff>
      <xdr:row>9</xdr:row>
      <xdr:rowOff>122600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5233536" y="3059231"/>
          <a:ext cx="557253" cy="1465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157655</xdr:colOff>
      <xdr:row>8</xdr:row>
      <xdr:rowOff>164224</xdr:rowOff>
    </xdr:from>
    <xdr:to>
      <xdr:col>9</xdr:col>
      <xdr:colOff>0</xdr:colOff>
      <xdr:row>8</xdr:row>
      <xdr:rowOff>164224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4482005" y="2612149"/>
          <a:ext cx="785320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106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141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38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180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304808</xdr:colOff>
      <xdr:row>35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762073" y="10780059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1,036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62073" y="10780059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12&amp;1,036)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3</xdr:col>
      <xdr:colOff>291362</xdr:colOff>
      <xdr:row>36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748627" y="11138648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</m:t>
                        </m:r>
                        <m:r>
                          <a:rPr lang="en-US" sz="1400" b="0" i="1">
                            <a:latin typeface="Cambria Math"/>
                          </a:rPr>
                          <m:t>7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748627" y="11138648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</a:t>
              </a:r>
              <a:r>
                <a:rPr lang="en-US" sz="1400" b="0" i="0">
                  <a:latin typeface="Cambria Math"/>
                </a:rPr>
                <a:t>7</a:t>
              </a:r>
              <a:r>
                <a:rPr lang="ru-RU" sz="1400" b="0" i="0">
                  <a:latin typeface="Cambria Math"/>
                </a:rPr>
                <a:t>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293041</xdr:colOff>
      <xdr:row>38</xdr:row>
      <xdr:rowOff>324971</xdr:rowOff>
    </xdr:from>
    <xdr:ext cx="2317933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730570" y="12954000"/>
              <a:ext cx="2317933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1*(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1,00303</a:t>
              </a:r>
              <a:r>
                <a:rPr lang="ru-RU" sz="1400">
                  <a:effectLst/>
                </a:rPr>
                <a:t>+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1,00303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  <m:r>
                    <a:rPr lang="ru-RU" sz="14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730570" y="12954000"/>
              <a:ext cx="2317933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1*(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1,00303</a:t>
              </a:r>
              <a:r>
                <a:rPr lang="ru-RU" sz="1400">
                  <a:effectLst/>
                </a:rPr>
                <a:t>+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1,00303〗^3)</a:t>
              </a:r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37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6647" y="1166532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291357</xdr:colOff>
      <xdr:row>39</xdr:row>
      <xdr:rowOff>44824</xdr:rowOff>
    </xdr:from>
    <xdr:ext cx="2330823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4728886" y="13603942"/>
              <a:ext cx="2330823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ru-RU" sz="1400" b="0" i="1">
                      <a:latin typeface="Cambria Math"/>
                    </a:rPr>
                    <m:t>1∗0,35+</m:t>
                  </m:r>
                  <m:r>
                    <a:rPr lang="ru-RU" sz="1400" b="0" i="0">
                      <a:latin typeface="Cambria Math"/>
                    </a:rPr>
                    <m:t>1,00607∗0,65</m:t>
                  </m:r>
                </m:oMath>
              </a14:m>
              <a:r>
                <a:rPr lang="ru-RU" sz="1400">
                  <a:effectLst/>
                </a:rPr>
                <a:t> =</a:t>
              </a: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4728886" y="13603942"/>
              <a:ext cx="2330823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 b="0" i="0">
                  <a:latin typeface="Cambria Math"/>
                </a:rPr>
                <a:t>1∗0,35+1,00607∗0,65</a:t>
              </a:r>
              <a:r>
                <a:rPr lang="ru-RU" sz="1400">
                  <a:effectLst/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38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6647" y="11519647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382" t="s">
        <v>47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8"/>
    </row>
    <row r="5" spans="1:13" x14ac:dyDescent="0.2">
      <c r="A5" s="383" t="s">
        <v>92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17"/>
    </row>
    <row r="6" spans="1:13" s="93" customFormat="1" ht="26.25" customHeight="1" thickBot="1" x14ac:dyDescent="0.3">
      <c r="A6" s="385" t="s">
        <v>93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6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387" t="s">
        <v>17</v>
      </c>
      <c r="B8" s="387" t="s">
        <v>18</v>
      </c>
      <c r="C8" s="387" t="s">
        <v>19</v>
      </c>
      <c r="D8" s="387" t="s">
        <v>20</v>
      </c>
      <c r="E8" s="387" t="s">
        <v>21</v>
      </c>
      <c r="F8" s="387" t="s">
        <v>22</v>
      </c>
      <c r="G8" s="387"/>
      <c r="H8" s="387"/>
      <c r="I8" s="387"/>
      <c r="J8" s="387"/>
      <c r="K8" s="388"/>
      <c r="L8" s="387" t="s">
        <v>23</v>
      </c>
    </row>
    <row r="9" spans="1:13" ht="18" customHeight="1" x14ac:dyDescent="0.2">
      <c r="A9" s="388"/>
      <c r="B9" s="388"/>
      <c r="C9" s="388"/>
      <c r="D9" s="388"/>
      <c r="E9" s="388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388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389" t="s">
        <v>30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1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389" t="s">
        <v>67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1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392" t="s">
        <v>75</v>
      </c>
      <c r="C32" s="393"/>
      <c r="D32" s="393"/>
      <c r="E32" s="393"/>
      <c r="F32" s="393"/>
      <c r="G32" s="393"/>
      <c r="H32" s="393"/>
      <c r="I32" s="393"/>
      <c r="J32" s="394"/>
      <c r="K32" s="80">
        <v>3.9</v>
      </c>
      <c r="L32" s="81">
        <f>L31*K32</f>
        <v>747819.58</v>
      </c>
    </row>
    <row r="33" spans="1:12" hidden="1" x14ac:dyDescent="0.2">
      <c r="A33" s="79"/>
      <c r="B33" s="392" t="s">
        <v>44</v>
      </c>
      <c r="C33" s="393"/>
      <c r="D33" s="393"/>
      <c r="E33" s="393"/>
      <c r="F33" s="393"/>
      <c r="G33" s="393"/>
      <c r="H33" s="393"/>
      <c r="I33" s="393"/>
      <c r="J33" s="394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379" t="s">
        <v>76</v>
      </c>
      <c r="C35" s="380"/>
      <c r="D35" s="380"/>
      <c r="E35" s="380"/>
      <c r="F35" s="380"/>
      <c r="G35" s="380"/>
      <c r="H35" s="380"/>
      <c r="I35" s="380"/>
      <c r="J35" s="380"/>
      <c r="K35" s="381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view="pageBreakPreview" topLeftCell="A48" zoomScale="85" zoomScaleNormal="85" zoomScaleSheetLayoutView="85" workbookViewId="0">
      <selection activeCell="C83" sqref="C83:D83"/>
    </sheetView>
  </sheetViews>
  <sheetFormatPr defaultColWidth="8.85546875" defaultRowHeight="12.75" x14ac:dyDescent="0.2"/>
  <cols>
    <col min="1" max="1" width="6.140625" style="212" customWidth="1"/>
    <col min="2" max="2" width="26" style="351" customWidth="1"/>
    <col min="3" max="3" width="20.140625" style="212" customWidth="1"/>
    <col min="4" max="4" width="23.7109375" style="212" customWidth="1"/>
    <col min="5" max="5" width="12" style="212" customWidth="1"/>
    <col min="6" max="6" width="7" style="212" customWidth="1"/>
    <col min="7" max="7" width="2.42578125" style="212" customWidth="1"/>
    <col min="8" max="8" width="8.7109375" style="212" customWidth="1"/>
    <col min="9" max="10" width="11.28515625" style="212" customWidth="1"/>
    <col min="11" max="11" width="13.85546875" style="212" customWidth="1"/>
    <col min="12" max="12" width="17.85546875" style="212" customWidth="1"/>
    <col min="13" max="13" width="11.7109375" style="212" bestFit="1" customWidth="1"/>
    <col min="14" max="14" width="8.85546875" style="212"/>
    <col min="15" max="15" width="54.85546875" style="212" customWidth="1"/>
    <col min="16" max="16384" width="8.85546875" style="212"/>
  </cols>
  <sheetData>
    <row r="1" spans="1:15" ht="17.649999999999999" customHeight="1" x14ac:dyDescent="0.2">
      <c r="A1" s="566"/>
      <c r="B1" s="567"/>
      <c r="C1" s="567"/>
      <c r="D1" s="567"/>
      <c r="E1" s="567"/>
      <c r="H1" s="568" t="s">
        <v>94</v>
      </c>
      <c r="I1" s="567"/>
      <c r="J1" s="567"/>
    </row>
    <row r="2" spans="1:15" ht="19.149999999999999" customHeight="1" x14ac:dyDescent="0.2">
      <c r="A2" s="569" t="s">
        <v>120</v>
      </c>
      <c r="B2" s="567"/>
      <c r="C2" s="567"/>
      <c r="D2" s="567"/>
      <c r="E2" s="567"/>
      <c r="F2" s="567"/>
      <c r="G2" s="567"/>
      <c r="H2" s="567"/>
      <c r="I2" s="567"/>
      <c r="J2" s="567"/>
    </row>
    <row r="3" spans="1:15" ht="22.9" customHeight="1" x14ac:dyDescent="0.2">
      <c r="A3" s="570" t="s">
        <v>6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5" ht="30.75" customHeight="1" x14ac:dyDescent="0.2">
      <c r="A4" s="571" t="s">
        <v>79</v>
      </c>
      <c r="B4" s="567"/>
      <c r="C4" s="572" t="s">
        <v>462</v>
      </c>
      <c r="D4" s="573"/>
      <c r="E4" s="573"/>
      <c r="F4" s="573"/>
      <c r="G4" s="573"/>
      <c r="H4" s="573"/>
      <c r="I4" s="573"/>
      <c r="J4" s="573"/>
    </row>
    <row r="5" spans="1:15" ht="17.649999999999999" customHeight="1" x14ac:dyDescent="0.2">
      <c r="A5" s="571" t="s">
        <v>80</v>
      </c>
      <c r="B5" s="567"/>
      <c r="C5" s="574" t="s">
        <v>81</v>
      </c>
      <c r="D5" s="567"/>
      <c r="E5" s="567"/>
      <c r="F5" s="567"/>
      <c r="G5" s="567"/>
      <c r="H5" s="567"/>
      <c r="I5" s="567"/>
      <c r="J5" s="567"/>
    </row>
    <row r="6" spans="1:15" ht="29.65" customHeight="1" x14ac:dyDescent="0.2">
      <c r="A6" s="571" t="s">
        <v>95</v>
      </c>
      <c r="B6" s="567"/>
      <c r="C6" s="574"/>
      <c r="D6" s="567"/>
      <c r="E6" s="567"/>
      <c r="F6" s="567"/>
      <c r="G6" s="567"/>
      <c r="H6" s="567"/>
      <c r="I6" s="567"/>
      <c r="J6" s="567"/>
    </row>
    <row r="7" spans="1:15" ht="29.65" customHeight="1" x14ac:dyDescent="0.2">
      <c r="A7" s="571" t="s">
        <v>83</v>
      </c>
      <c r="B7" s="567"/>
      <c r="C7" s="574" t="s">
        <v>78</v>
      </c>
      <c r="D7" s="567"/>
      <c r="E7" s="567"/>
      <c r="F7" s="567"/>
      <c r="G7" s="567"/>
      <c r="H7" s="567"/>
      <c r="I7" s="567"/>
      <c r="J7" s="567"/>
    </row>
    <row r="8" spans="1:15" ht="29.65" customHeight="1" x14ac:dyDescent="0.2">
      <c r="A8" s="571" t="s">
        <v>84</v>
      </c>
      <c r="B8" s="567"/>
      <c r="C8" s="574" t="s">
        <v>97</v>
      </c>
      <c r="D8" s="567"/>
      <c r="E8" s="567"/>
      <c r="F8" s="567"/>
      <c r="G8" s="567"/>
      <c r="H8" s="567"/>
      <c r="I8" s="567"/>
      <c r="J8" s="567"/>
    </row>
    <row r="9" spans="1:15" ht="81.400000000000006" customHeight="1" x14ac:dyDescent="0.2">
      <c r="A9" s="142" t="s">
        <v>2</v>
      </c>
      <c r="B9" s="142" t="s">
        <v>35</v>
      </c>
      <c r="C9" s="563" t="s">
        <v>85</v>
      </c>
      <c r="D9" s="584"/>
      <c r="E9" s="142" t="s">
        <v>36</v>
      </c>
      <c r="F9" s="563" t="s">
        <v>86</v>
      </c>
      <c r="G9" s="564"/>
      <c r="H9" s="564"/>
      <c r="I9" s="565"/>
      <c r="J9" s="142" t="s">
        <v>87</v>
      </c>
    </row>
    <row r="10" spans="1:15" s="370" customFormat="1" ht="53.25" customHeight="1" x14ac:dyDescent="0.2">
      <c r="A10" s="489">
        <v>1</v>
      </c>
      <c r="B10" s="490" t="s">
        <v>445</v>
      </c>
      <c r="C10" s="491" t="s">
        <v>446</v>
      </c>
      <c r="D10" s="492"/>
      <c r="E10" s="489" t="s">
        <v>132</v>
      </c>
      <c r="F10" s="489" t="s">
        <v>448</v>
      </c>
      <c r="G10" s="489"/>
      <c r="H10" s="489"/>
      <c r="I10" s="489"/>
      <c r="J10" s="493">
        <f>(363+2.31*150)*0.8
*(0.8*1.3+0.2)*0.4*1000</f>
        <v>281530</v>
      </c>
      <c r="K10" s="213"/>
      <c r="L10" s="213"/>
      <c r="M10" s="214"/>
      <c r="N10" s="213"/>
      <c r="O10" s="215">
        <f>(7+0.122*(0.4*750+0.6*730))*(0.796*1.2+0.204)*0.3*1000</f>
        <v>33745.24</v>
      </c>
    </row>
    <row r="11" spans="1:15" s="370" customFormat="1" ht="29.25" customHeight="1" x14ac:dyDescent="0.2">
      <c r="A11" s="489"/>
      <c r="B11" s="490"/>
      <c r="C11" s="494" t="s">
        <v>444</v>
      </c>
      <c r="D11" s="495"/>
      <c r="E11" s="489"/>
      <c r="F11" s="489"/>
      <c r="G11" s="489"/>
      <c r="H11" s="489"/>
      <c r="I11" s="489"/>
      <c r="J11" s="493"/>
      <c r="K11" s="213"/>
      <c r="L11" s="213"/>
      <c r="M11" s="213"/>
      <c r="N11" s="213"/>
      <c r="O11" s="213">
        <f>9.7+26.3+11+8.9+9+0.7+5+5+4</f>
        <v>79.599999999999994</v>
      </c>
    </row>
    <row r="12" spans="1:15" s="370" customFormat="1" ht="59.25" customHeight="1" x14ac:dyDescent="0.2">
      <c r="A12" s="489"/>
      <c r="B12" s="490"/>
      <c r="C12" s="496" t="s">
        <v>447</v>
      </c>
      <c r="D12" s="497"/>
      <c r="E12" s="489"/>
      <c r="F12" s="489"/>
      <c r="G12" s="489"/>
      <c r="H12" s="489"/>
      <c r="I12" s="489"/>
      <c r="J12" s="493"/>
      <c r="K12" s="213"/>
      <c r="L12" s="213"/>
      <c r="M12" s="213"/>
      <c r="N12" s="213"/>
      <c r="O12" s="213">
        <f>(228.23+1.756*(0.4*5+0.6*3))*0.4*1000</f>
        <v>93961.12</v>
      </c>
    </row>
    <row r="13" spans="1:15" s="370" customFormat="1" x14ac:dyDescent="0.2">
      <c r="A13" s="489"/>
      <c r="B13" s="490"/>
      <c r="C13" s="498" t="s">
        <v>119</v>
      </c>
      <c r="D13" s="499"/>
      <c r="E13" s="489"/>
      <c r="F13" s="489"/>
      <c r="G13" s="489"/>
      <c r="H13" s="489"/>
      <c r="I13" s="489"/>
      <c r="J13" s="493"/>
      <c r="K13" s="213"/>
      <c r="L13" s="213"/>
      <c r="M13" s="213"/>
      <c r="N13" s="213"/>
      <c r="O13" s="213"/>
    </row>
    <row r="14" spans="1:15" ht="69" customHeight="1" x14ac:dyDescent="0.2">
      <c r="A14" s="504">
        <v>2</v>
      </c>
      <c r="B14" s="501" t="s">
        <v>466</v>
      </c>
      <c r="C14" s="508" t="s">
        <v>356</v>
      </c>
      <c r="D14" s="509"/>
      <c r="E14" s="504" t="s">
        <v>358</v>
      </c>
      <c r="F14" s="504" t="s">
        <v>359</v>
      </c>
      <c r="G14" s="504"/>
      <c r="H14" s="504"/>
      <c r="I14" s="504"/>
      <c r="J14" s="505">
        <f>960*(0.52*1.3+0.48)*0.7
*0.4*1000</f>
        <v>310733</v>
      </c>
      <c r="K14" s="213"/>
      <c r="L14" s="213"/>
      <c r="M14" s="214"/>
      <c r="N14" s="213"/>
      <c r="O14" s="215">
        <f>(7+0.122*(0.4*750+0.6*730))*(0.796*1.2+0.204)*0.3*1000</f>
        <v>33745.24</v>
      </c>
    </row>
    <row r="15" spans="1:15" ht="30" customHeight="1" x14ac:dyDescent="0.2">
      <c r="A15" s="504"/>
      <c r="B15" s="501"/>
      <c r="C15" s="494" t="s">
        <v>444</v>
      </c>
      <c r="D15" s="495"/>
      <c r="E15" s="504"/>
      <c r="F15" s="504"/>
      <c r="G15" s="504"/>
      <c r="H15" s="504"/>
      <c r="I15" s="504"/>
      <c r="J15" s="505"/>
      <c r="K15" s="213"/>
      <c r="L15" s="213"/>
      <c r="M15" s="213"/>
      <c r="N15" s="213"/>
      <c r="O15" s="213">
        <f>9.7+26.3+11+8.9+9+0.7+5+5+4</f>
        <v>79.599999999999994</v>
      </c>
    </row>
    <row r="16" spans="1:15" ht="73.5" customHeight="1" x14ac:dyDescent="0.2">
      <c r="A16" s="504"/>
      <c r="B16" s="501"/>
      <c r="C16" s="512" t="s">
        <v>357</v>
      </c>
      <c r="D16" s="513"/>
      <c r="E16" s="504"/>
      <c r="F16" s="504"/>
      <c r="G16" s="504"/>
      <c r="H16" s="504"/>
      <c r="I16" s="504"/>
      <c r="J16" s="505"/>
      <c r="K16" s="213"/>
      <c r="L16" s="352">
        <f>(582.01+0.111*3000)*(0.66*1.3+0.34)*0.4*1000</f>
        <v>438472.79</v>
      </c>
      <c r="M16" s="352">
        <f>122.62*1.02*1.15*0.5*(0.66*1.3+0.34)*0.4*1000</f>
        <v>34462.449999999997</v>
      </c>
      <c r="N16" s="213"/>
      <c r="O16" s="213">
        <f>(228.23+1.756*(0.4*5+0.6*3))*0.4*1000</f>
        <v>93961.12</v>
      </c>
    </row>
    <row r="17" spans="1:15" x14ac:dyDescent="0.2">
      <c r="A17" s="504"/>
      <c r="B17" s="501"/>
      <c r="C17" s="506" t="s">
        <v>119</v>
      </c>
      <c r="D17" s="507"/>
      <c r="E17" s="504"/>
      <c r="F17" s="504"/>
      <c r="G17" s="504"/>
      <c r="H17" s="504"/>
      <c r="I17" s="504"/>
      <c r="J17" s="505"/>
      <c r="K17" s="213"/>
      <c r="L17" s="352">
        <f>(530.71+0.158*100)*0.5*(0.66*1.3+0.34)*0.4*1000</f>
        <v>130943.8</v>
      </c>
      <c r="M17" s="352">
        <f>158.09*1.02*1.15*(0.66*1.3+0.34)*0.4*1000</f>
        <v>88862.64</v>
      </c>
      <c r="N17" s="213"/>
      <c r="O17" s="213"/>
    </row>
    <row r="18" spans="1:15" s="335" customFormat="1" ht="55.5" customHeight="1" x14ac:dyDescent="0.2">
      <c r="A18" s="504">
        <v>3</v>
      </c>
      <c r="B18" s="501" t="s">
        <v>467</v>
      </c>
      <c r="C18" s="508" t="s">
        <v>360</v>
      </c>
      <c r="D18" s="509"/>
      <c r="E18" s="504" t="s">
        <v>358</v>
      </c>
      <c r="F18" s="504" t="s">
        <v>361</v>
      </c>
      <c r="G18" s="504"/>
      <c r="H18" s="504"/>
      <c r="I18" s="504"/>
      <c r="J18" s="505">
        <f>(18.92+5.06*(0.4*1+0.6*0.5))*0.7*0.4*1000</f>
        <v>6289</v>
      </c>
      <c r="K18" s="213"/>
      <c r="L18" s="213"/>
      <c r="M18" s="214"/>
      <c r="N18" s="213"/>
      <c r="O18" s="215">
        <f>(7+0.122*(0.4*750+0.6*730))*(0.796*1.2+0.204)*0.3*1000</f>
        <v>33745.24</v>
      </c>
    </row>
    <row r="19" spans="1:15" s="335" customFormat="1" x14ac:dyDescent="0.2">
      <c r="A19" s="504"/>
      <c r="B19" s="501"/>
      <c r="C19" s="506" t="s">
        <v>119</v>
      </c>
      <c r="D19" s="507"/>
      <c r="E19" s="504"/>
      <c r="F19" s="504"/>
      <c r="G19" s="504"/>
      <c r="H19" s="504"/>
      <c r="I19" s="504"/>
      <c r="J19" s="505"/>
      <c r="K19" s="213"/>
      <c r="L19" s="352"/>
      <c r="M19" s="352"/>
      <c r="N19" s="213"/>
      <c r="O19" s="213"/>
    </row>
    <row r="20" spans="1:15" s="331" customFormat="1" ht="53.25" customHeight="1" x14ac:dyDescent="0.2">
      <c r="A20" s="489">
        <v>4</v>
      </c>
      <c r="B20" s="490" t="s">
        <v>477</v>
      </c>
      <c r="C20" s="491" t="s">
        <v>367</v>
      </c>
      <c r="D20" s="492"/>
      <c r="E20" s="489" t="s">
        <v>166</v>
      </c>
      <c r="F20" s="489" t="s">
        <v>476</v>
      </c>
      <c r="G20" s="489"/>
      <c r="H20" s="489"/>
      <c r="I20" s="489"/>
      <c r="J20" s="493">
        <f>(89.55+0.08*12)*0.35
*(0.31*1.3+0.34)*0.4*1000*(1+0.2*50)</f>
        <v>103563</v>
      </c>
      <c r="K20" s="213"/>
      <c r="L20" s="213"/>
      <c r="M20" s="214"/>
      <c r="N20" s="213"/>
      <c r="O20" s="215">
        <f>(7+0.122*(0.4*750+0.6*730))*(0.796*1.2+0.204)*0.3*1000</f>
        <v>33745.24</v>
      </c>
    </row>
    <row r="21" spans="1:15" s="331" customFormat="1" ht="29.25" customHeight="1" x14ac:dyDescent="0.2">
      <c r="A21" s="489"/>
      <c r="B21" s="490"/>
      <c r="C21" s="494" t="s">
        <v>444</v>
      </c>
      <c r="D21" s="495"/>
      <c r="E21" s="489"/>
      <c r="F21" s="489"/>
      <c r="G21" s="489"/>
      <c r="H21" s="489"/>
      <c r="I21" s="489"/>
      <c r="J21" s="493"/>
      <c r="K21" s="213"/>
      <c r="L21" s="213"/>
      <c r="M21" s="213"/>
      <c r="N21" s="213"/>
      <c r="O21" s="213">
        <f>9.7+26.3+11+8.9+9+0.7+5+5+4</f>
        <v>79.599999999999994</v>
      </c>
    </row>
    <row r="22" spans="1:15" s="331" customFormat="1" ht="131.25" customHeight="1" x14ac:dyDescent="0.2">
      <c r="A22" s="489"/>
      <c r="B22" s="490"/>
      <c r="C22" s="496" t="s">
        <v>468</v>
      </c>
      <c r="D22" s="497"/>
      <c r="E22" s="489"/>
      <c r="F22" s="489"/>
      <c r="G22" s="489"/>
      <c r="H22" s="489"/>
      <c r="I22" s="489"/>
      <c r="J22" s="493"/>
      <c r="K22" s="213"/>
      <c r="L22" s="213">
        <f>(89.55+0.08*12)*0.35
*(0.31*1.3+0.34)*0.4*1000*(1+0.2*52)</f>
        <v>107329.29227999999</v>
      </c>
      <c r="M22" s="213">
        <f>L22*4.42*1.2</f>
        <v>569274.56625311996</v>
      </c>
      <c r="N22" s="213"/>
      <c r="O22" s="213">
        <f>(228.23+1.756*(0.4*5+0.6*3))*0.4*1000</f>
        <v>93961.12</v>
      </c>
    </row>
    <row r="23" spans="1:15" s="331" customFormat="1" x14ac:dyDescent="0.2">
      <c r="A23" s="489"/>
      <c r="B23" s="490"/>
      <c r="C23" s="498" t="s">
        <v>119</v>
      </c>
      <c r="D23" s="499"/>
      <c r="E23" s="489"/>
      <c r="F23" s="489"/>
      <c r="G23" s="489"/>
      <c r="H23" s="489"/>
      <c r="I23" s="489"/>
      <c r="J23" s="493"/>
      <c r="K23" s="213"/>
      <c r="L23" s="213"/>
      <c r="M23" s="213"/>
      <c r="N23" s="213"/>
      <c r="O23" s="213"/>
    </row>
    <row r="24" spans="1:15" s="378" customFormat="1" ht="43.5" customHeight="1" x14ac:dyDescent="0.2">
      <c r="A24" s="489">
        <v>5</v>
      </c>
      <c r="B24" s="490" t="s">
        <v>485</v>
      </c>
      <c r="C24" s="491" t="s">
        <v>478</v>
      </c>
      <c r="D24" s="492"/>
      <c r="E24" s="489" t="s">
        <v>480</v>
      </c>
      <c r="F24" s="489" t="s">
        <v>481</v>
      </c>
      <c r="G24" s="489"/>
      <c r="H24" s="489"/>
      <c r="I24" s="489"/>
      <c r="J24" s="493">
        <f>(110)*(0.57*1.3+0.35)*0.35
*0.4*1000</f>
        <v>16801</v>
      </c>
      <c r="K24" s="213"/>
      <c r="L24" s="213"/>
      <c r="M24" s="214"/>
      <c r="N24" s="213"/>
      <c r="O24" s="215">
        <f>(7+0.122*(0.4*750+0.6*730))*(0.796*1.2+0.204)*0.3*1000</f>
        <v>33745.24</v>
      </c>
    </row>
    <row r="25" spans="1:15" s="378" customFormat="1" ht="29.25" customHeight="1" x14ac:dyDescent="0.2">
      <c r="A25" s="489"/>
      <c r="B25" s="490"/>
      <c r="C25" s="494" t="s">
        <v>444</v>
      </c>
      <c r="D25" s="495"/>
      <c r="E25" s="489"/>
      <c r="F25" s="489"/>
      <c r="G25" s="489"/>
      <c r="H25" s="489"/>
      <c r="I25" s="489"/>
      <c r="J25" s="493"/>
      <c r="K25" s="213"/>
      <c r="L25" s="213"/>
      <c r="M25" s="213"/>
      <c r="N25" s="213"/>
      <c r="O25" s="213">
        <f>9.7+26.3+11+8.9+9+0.7+5+5+4</f>
        <v>79.599999999999994</v>
      </c>
    </row>
    <row r="26" spans="1:15" s="378" customFormat="1" ht="115.5" customHeight="1" x14ac:dyDescent="0.2">
      <c r="A26" s="489"/>
      <c r="B26" s="490"/>
      <c r="C26" s="496" t="s">
        <v>479</v>
      </c>
      <c r="D26" s="497"/>
      <c r="E26" s="489"/>
      <c r="F26" s="489"/>
      <c r="G26" s="489"/>
      <c r="H26" s="489"/>
      <c r="I26" s="489"/>
      <c r="J26" s="493"/>
      <c r="K26" s="213"/>
      <c r="L26" s="213"/>
      <c r="M26" s="213"/>
      <c r="N26" s="213"/>
      <c r="O26" s="213">
        <f>(228.23+1.756*(0.4*5+0.6*3))*0.4*1000</f>
        <v>93961.12</v>
      </c>
    </row>
    <row r="27" spans="1:15" s="378" customFormat="1" x14ac:dyDescent="0.2">
      <c r="A27" s="489"/>
      <c r="B27" s="490"/>
      <c r="C27" s="498" t="s">
        <v>119</v>
      </c>
      <c r="D27" s="499"/>
      <c r="E27" s="489"/>
      <c r="F27" s="489"/>
      <c r="G27" s="489"/>
      <c r="H27" s="489"/>
      <c r="I27" s="489"/>
      <c r="J27" s="493"/>
      <c r="K27" s="213"/>
      <c r="L27" s="213"/>
      <c r="M27" s="213"/>
      <c r="N27" s="213"/>
      <c r="O27" s="213"/>
    </row>
    <row r="28" spans="1:15" s="378" customFormat="1" ht="57.75" customHeight="1" x14ac:dyDescent="0.2">
      <c r="A28" s="489">
        <v>6</v>
      </c>
      <c r="B28" s="490" t="s">
        <v>484</v>
      </c>
      <c r="C28" s="491" t="s">
        <v>482</v>
      </c>
      <c r="D28" s="492"/>
      <c r="E28" s="489" t="s">
        <v>166</v>
      </c>
      <c r="F28" s="489" t="s">
        <v>483</v>
      </c>
      <c r="G28" s="489"/>
      <c r="H28" s="489"/>
      <c r="I28" s="489"/>
      <c r="J28" s="493">
        <f>(108)*(0.57*1.3+0.35)*0.35
*0.4*1000</f>
        <v>16496</v>
      </c>
      <c r="K28" s="213"/>
      <c r="L28" s="213"/>
      <c r="M28" s="214"/>
      <c r="N28" s="213"/>
      <c r="O28" s="215">
        <f>(7+0.122*(0.4*750+0.6*730))*(0.796*1.2+0.204)*0.3*1000</f>
        <v>33745.24</v>
      </c>
    </row>
    <row r="29" spans="1:15" s="378" customFormat="1" ht="29.25" customHeight="1" x14ac:dyDescent="0.2">
      <c r="A29" s="489"/>
      <c r="B29" s="490"/>
      <c r="C29" s="494" t="s">
        <v>444</v>
      </c>
      <c r="D29" s="495"/>
      <c r="E29" s="489"/>
      <c r="F29" s="489"/>
      <c r="G29" s="489"/>
      <c r="H29" s="489"/>
      <c r="I29" s="489"/>
      <c r="J29" s="493"/>
      <c r="K29" s="213"/>
      <c r="L29" s="213"/>
      <c r="M29" s="213"/>
      <c r="N29" s="213"/>
      <c r="O29" s="213">
        <f>9.7+26.3+11+8.9+9+0.7+5+5+4</f>
        <v>79.599999999999994</v>
      </c>
    </row>
    <row r="30" spans="1:15" s="378" customFormat="1" ht="115.5" customHeight="1" x14ac:dyDescent="0.2">
      <c r="A30" s="489"/>
      <c r="B30" s="490"/>
      <c r="C30" s="496" t="s">
        <v>479</v>
      </c>
      <c r="D30" s="497"/>
      <c r="E30" s="489"/>
      <c r="F30" s="489"/>
      <c r="G30" s="489"/>
      <c r="H30" s="489"/>
      <c r="I30" s="489"/>
      <c r="J30" s="493"/>
      <c r="K30" s="213"/>
      <c r="L30" s="213"/>
      <c r="M30" s="213"/>
      <c r="N30" s="213"/>
      <c r="O30" s="213">
        <f>(228.23+1.756*(0.4*5+0.6*3))*0.4*1000</f>
        <v>93961.12</v>
      </c>
    </row>
    <row r="31" spans="1:15" s="378" customFormat="1" x14ac:dyDescent="0.2">
      <c r="A31" s="489"/>
      <c r="B31" s="490"/>
      <c r="C31" s="498" t="s">
        <v>119</v>
      </c>
      <c r="D31" s="499"/>
      <c r="E31" s="489"/>
      <c r="F31" s="489"/>
      <c r="G31" s="489"/>
      <c r="H31" s="489"/>
      <c r="I31" s="489"/>
      <c r="J31" s="493"/>
      <c r="K31" s="213"/>
      <c r="L31" s="213"/>
      <c r="M31" s="213"/>
      <c r="N31" s="213"/>
      <c r="O31" s="213"/>
    </row>
    <row r="32" spans="1:15" s="331" customFormat="1" ht="66.75" customHeight="1" x14ac:dyDescent="0.2">
      <c r="A32" s="504">
        <v>7</v>
      </c>
      <c r="B32" s="501" t="s">
        <v>362</v>
      </c>
      <c r="C32" s="508" t="s">
        <v>363</v>
      </c>
      <c r="D32" s="509"/>
      <c r="E32" s="504" t="s">
        <v>365</v>
      </c>
      <c r="F32" s="504" t="s">
        <v>366</v>
      </c>
      <c r="G32" s="504"/>
      <c r="H32" s="504"/>
      <c r="I32" s="504"/>
      <c r="J32" s="505">
        <f>73.32*(0.66*1.3+0.34)*0.4*1000</f>
        <v>35135</v>
      </c>
      <c r="K32" s="213"/>
      <c r="L32" s="213"/>
      <c r="M32" s="214"/>
      <c r="N32" s="213"/>
      <c r="O32" s="215">
        <f>(7+0.122*(0.4*750+0.6*730))*(0.796*1.2+0.204)*0.3*1000</f>
        <v>33745.24</v>
      </c>
    </row>
    <row r="33" spans="1:15" s="331" customFormat="1" ht="29.25" customHeight="1" x14ac:dyDescent="0.2">
      <c r="A33" s="504"/>
      <c r="B33" s="501"/>
      <c r="C33" s="494" t="s">
        <v>444</v>
      </c>
      <c r="D33" s="495"/>
      <c r="E33" s="504"/>
      <c r="F33" s="504"/>
      <c r="G33" s="504"/>
      <c r="H33" s="504"/>
      <c r="I33" s="504"/>
      <c r="J33" s="505"/>
      <c r="K33" s="213"/>
      <c r="L33" s="213"/>
      <c r="M33" s="213"/>
      <c r="N33" s="213"/>
      <c r="O33" s="213">
        <f>9.7+26.3+11+8.9+9+0.7+5+5+4</f>
        <v>79.599999999999994</v>
      </c>
    </row>
    <row r="34" spans="1:15" s="331" customFormat="1" ht="39" customHeight="1" x14ac:dyDescent="0.2">
      <c r="A34" s="504"/>
      <c r="B34" s="501"/>
      <c r="C34" s="512" t="s">
        <v>364</v>
      </c>
      <c r="D34" s="513"/>
      <c r="E34" s="504"/>
      <c r="F34" s="504"/>
      <c r="G34" s="504"/>
      <c r="H34" s="504"/>
      <c r="I34" s="504"/>
      <c r="J34" s="505"/>
      <c r="K34" s="213"/>
      <c r="L34" s="213"/>
      <c r="M34" s="213"/>
      <c r="N34" s="213"/>
      <c r="O34" s="213">
        <f>(228.23+1.756*(0.4*5+0.6*3))*0.4*1000</f>
        <v>93961.12</v>
      </c>
    </row>
    <row r="35" spans="1:15" s="331" customFormat="1" x14ac:dyDescent="0.2">
      <c r="A35" s="504"/>
      <c r="B35" s="501"/>
      <c r="C35" s="506" t="s">
        <v>119</v>
      </c>
      <c r="D35" s="507"/>
      <c r="E35" s="504"/>
      <c r="F35" s="504"/>
      <c r="G35" s="504"/>
      <c r="H35" s="504"/>
      <c r="I35" s="504"/>
      <c r="J35" s="505"/>
      <c r="K35" s="213"/>
      <c r="L35" s="213"/>
      <c r="M35" s="213"/>
      <c r="N35" s="213"/>
      <c r="O35" s="213"/>
    </row>
    <row r="36" spans="1:15" ht="30" customHeight="1" x14ac:dyDescent="0.2">
      <c r="A36" s="532">
        <v>8</v>
      </c>
      <c r="B36" s="534" t="s">
        <v>469</v>
      </c>
      <c r="C36" s="502" t="s">
        <v>180</v>
      </c>
      <c r="D36" s="503"/>
      <c r="E36" s="534" t="s">
        <v>132</v>
      </c>
      <c r="F36" s="541" t="s">
        <v>470</v>
      </c>
      <c r="G36" s="542"/>
      <c r="H36" s="542"/>
      <c r="I36" s="542"/>
      <c r="J36" s="510">
        <f>(12+0.136*250)*1.1*1.15*1000*(0.76*1.3+0.24)*0.5</f>
        <v>35729</v>
      </c>
      <c r="K36" s="213"/>
      <c r="L36" s="213"/>
      <c r="M36" s="213"/>
      <c r="N36" s="213"/>
      <c r="O36" s="213"/>
    </row>
    <row r="37" spans="1:15" ht="19.149999999999999" customHeight="1" x14ac:dyDescent="0.2">
      <c r="A37" s="533"/>
      <c r="B37" s="535"/>
      <c r="C37" s="512" t="s">
        <v>181</v>
      </c>
      <c r="D37" s="513"/>
      <c r="E37" s="535"/>
      <c r="F37" s="543"/>
      <c r="G37" s="544"/>
      <c r="H37" s="544"/>
      <c r="I37" s="544"/>
      <c r="J37" s="511"/>
      <c r="K37" s="213"/>
      <c r="L37" s="213"/>
      <c r="M37" s="213"/>
      <c r="N37" s="213"/>
      <c r="O37" s="213"/>
    </row>
    <row r="38" spans="1:15" ht="36" customHeight="1" x14ac:dyDescent="0.2">
      <c r="A38" s="533"/>
      <c r="B38" s="535"/>
      <c r="C38" s="494" t="s">
        <v>444</v>
      </c>
      <c r="D38" s="495"/>
      <c r="E38" s="535"/>
      <c r="F38" s="543"/>
      <c r="G38" s="544"/>
      <c r="H38" s="544"/>
      <c r="I38" s="544"/>
      <c r="J38" s="511"/>
      <c r="K38" s="213"/>
      <c r="L38" s="213"/>
      <c r="M38" s="213"/>
      <c r="N38" s="213"/>
      <c r="O38" s="213"/>
    </row>
    <row r="39" spans="1:15" ht="41.45" customHeight="1" x14ac:dyDescent="0.2">
      <c r="A39" s="533"/>
      <c r="B39" s="535"/>
      <c r="C39" s="512" t="s">
        <v>133</v>
      </c>
      <c r="D39" s="513"/>
      <c r="E39" s="535"/>
      <c r="F39" s="543"/>
      <c r="G39" s="544"/>
      <c r="H39" s="544"/>
      <c r="I39" s="544"/>
      <c r="J39" s="511"/>
      <c r="K39" s="213"/>
      <c r="L39" s="213"/>
      <c r="M39" s="213"/>
      <c r="N39" s="213"/>
      <c r="O39" s="213"/>
    </row>
    <row r="40" spans="1:15" ht="19.149999999999999" customHeight="1" x14ac:dyDescent="0.2">
      <c r="A40" s="533"/>
      <c r="B40" s="535"/>
      <c r="C40" s="512" t="s">
        <v>134</v>
      </c>
      <c r="D40" s="513"/>
      <c r="E40" s="535"/>
      <c r="F40" s="543"/>
      <c r="G40" s="544"/>
      <c r="H40" s="544"/>
      <c r="I40" s="544"/>
      <c r="J40" s="511"/>
      <c r="K40" s="213"/>
      <c r="L40" s="213"/>
      <c r="M40" s="213"/>
      <c r="N40" s="213"/>
      <c r="O40" s="213"/>
    </row>
    <row r="41" spans="1:15" ht="19.149999999999999" customHeight="1" x14ac:dyDescent="0.2">
      <c r="A41" s="533"/>
      <c r="B41" s="535"/>
      <c r="C41" s="514" t="s">
        <v>135</v>
      </c>
      <c r="D41" s="515"/>
      <c r="E41" s="535"/>
      <c r="F41" s="543"/>
      <c r="G41" s="544"/>
      <c r="H41" s="544"/>
      <c r="I41" s="544"/>
      <c r="J41" s="511"/>
      <c r="K41" s="213"/>
      <c r="L41" s="213"/>
      <c r="M41" s="213"/>
      <c r="N41" s="213"/>
      <c r="O41" s="213"/>
    </row>
    <row r="42" spans="1:15" ht="30" customHeight="1" x14ac:dyDescent="0.2">
      <c r="A42" s="532">
        <v>9</v>
      </c>
      <c r="B42" s="534" t="s">
        <v>308</v>
      </c>
      <c r="C42" s="502" t="s">
        <v>189</v>
      </c>
      <c r="D42" s="503"/>
      <c r="E42" s="534" t="s">
        <v>309</v>
      </c>
      <c r="F42" s="541" t="s">
        <v>325</v>
      </c>
      <c r="G42" s="542"/>
      <c r="H42" s="542"/>
      <c r="I42" s="542"/>
      <c r="J42" s="510">
        <f>30000*(1+0.2*2)*(0.76*1.3+0.24)*0.5</f>
        <v>25788</v>
      </c>
      <c r="K42" s="213"/>
      <c r="L42" s="213"/>
      <c r="M42" s="213"/>
      <c r="N42" s="213"/>
      <c r="O42" s="213"/>
    </row>
    <row r="43" spans="1:15" ht="25.5" customHeight="1" x14ac:dyDescent="0.2">
      <c r="A43" s="533"/>
      <c r="B43" s="535"/>
      <c r="C43" s="512" t="s">
        <v>310</v>
      </c>
      <c r="D43" s="513"/>
      <c r="E43" s="535"/>
      <c r="F43" s="543"/>
      <c r="G43" s="544"/>
      <c r="H43" s="544"/>
      <c r="I43" s="544"/>
      <c r="J43" s="511"/>
      <c r="K43" s="213"/>
      <c r="L43" s="213"/>
      <c r="M43" s="213"/>
      <c r="N43" s="213"/>
      <c r="O43" s="213"/>
    </row>
    <row r="44" spans="1:15" ht="36" customHeight="1" x14ac:dyDescent="0.2">
      <c r="A44" s="533"/>
      <c r="B44" s="535"/>
      <c r="C44" s="494" t="s">
        <v>444</v>
      </c>
      <c r="D44" s="495"/>
      <c r="E44" s="535"/>
      <c r="F44" s="543"/>
      <c r="G44" s="544"/>
      <c r="H44" s="544"/>
      <c r="I44" s="544"/>
      <c r="J44" s="511"/>
      <c r="K44" s="213"/>
      <c r="L44" s="213"/>
      <c r="M44" s="213"/>
      <c r="N44" s="213"/>
      <c r="O44" s="213"/>
    </row>
    <row r="45" spans="1:15" ht="41.45" customHeight="1" x14ac:dyDescent="0.2">
      <c r="A45" s="533"/>
      <c r="B45" s="535"/>
      <c r="C45" s="512" t="s">
        <v>133</v>
      </c>
      <c r="D45" s="513"/>
      <c r="E45" s="535"/>
      <c r="F45" s="543"/>
      <c r="G45" s="544"/>
      <c r="H45" s="544"/>
      <c r="I45" s="544"/>
      <c r="J45" s="511"/>
      <c r="K45" s="213"/>
      <c r="L45" s="213"/>
      <c r="M45" s="213"/>
      <c r="N45" s="213"/>
      <c r="O45" s="213"/>
    </row>
    <row r="46" spans="1:15" ht="19.149999999999999" customHeight="1" x14ac:dyDescent="0.2">
      <c r="A46" s="533"/>
      <c r="B46" s="535"/>
      <c r="C46" s="514" t="s">
        <v>135</v>
      </c>
      <c r="D46" s="515"/>
      <c r="E46" s="535"/>
      <c r="F46" s="543"/>
      <c r="G46" s="544"/>
      <c r="H46" s="544"/>
      <c r="I46" s="544"/>
      <c r="J46" s="511"/>
      <c r="K46" s="213"/>
      <c r="L46" s="213"/>
      <c r="M46" s="213"/>
      <c r="N46" s="213"/>
      <c r="O46" s="213"/>
    </row>
    <row r="47" spans="1:15" s="335" customFormat="1" ht="27.6" customHeight="1" x14ac:dyDescent="0.2">
      <c r="A47" s="500">
        <v>10</v>
      </c>
      <c r="B47" s="501" t="s">
        <v>449</v>
      </c>
      <c r="C47" s="502" t="s">
        <v>368</v>
      </c>
      <c r="D47" s="503"/>
      <c r="E47" s="585" t="s">
        <v>132</v>
      </c>
      <c r="F47" s="541" t="s">
        <v>450</v>
      </c>
      <c r="G47" s="542"/>
      <c r="H47" s="542"/>
      <c r="I47" s="575"/>
      <c r="J47" s="510">
        <f>(55.04+0.213*900)*1.1
*(0.76*1.3+0.24)*0.5*1000</f>
        <v>166648</v>
      </c>
      <c r="K47" s="213" t="s">
        <v>175</v>
      </c>
      <c r="L47" s="213"/>
      <c r="M47" s="213"/>
      <c r="N47" s="213"/>
      <c r="O47" s="213"/>
    </row>
    <row r="48" spans="1:15" s="335" customFormat="1" ht="30.6" customHeight="1" x14ac:dyDescent="0.2">
      <c r="A48" s="500"/>
      <c r="B48" s="501"/>
      <c r="C48" s="494" t="s">
        <v>444</v>
      </c>
      <c r="D48" s="495"/>
      <c r="E48" s="585"/>
      <c r="F48" s="543"/>
      <c r="G48" s="544"/>
      <c r="H48" s="544"/>
      <c r="I48" s="576"/>
      <c r="J48" s="511"/>
      <c r="K48" s="213"/>
      <c r="L48" s="213"/>
      <c r="M48" s="213"/>
      <c r="N48" s="213"/>
      <c r="O48" s="213"/>
    </row>
    <row r="49" spans="1:15" s="335" customFormat="1" ht="42" customHeight="1" x14ac:dyDescent="0.2">
      <c r="A49" s="500"/>
      <c r="B49" s="501"/>
      <c r="C49" s="512" t="s">
        <v>133</v>
      </c>
      <c r="D49" s="513"/>
      <c r="E49" s="585"/>
      <c r="F49" s="543"/>
      <c r="G49" s="544"/>
      <c r="H49" s="544"/>
      <c r="I49" s="576"/>
      <c r="J49" s="511"/>
      <c r="K49" s="359"/>
      <c r="L49" s="213"/>
      <c r="M49" s="213"/>
      <c r="N49" s="213"/>
      <c r="O49" s="213"/>
    </row>
    <row r="50" spans="1:15" s="335" customFormat="1" ht="21.6" customHeight="1" x14ac:dyDescent="0.2">
      <c r="A50" s="500"/>
      <c r="B50" s="501"/>
      <c r="C50" s="512" t="s">
        <v>134</v>
      </c>
      <c r="D50" s="513"/>
      <c r="E50" s="585"/>
      <c r="F50" s="543"/>
      <c r="G50" s="544"/>
      <c r="H50" s="544"/>
      <c r="I50" s="576"/>
      <c r="J50" s="511"/>
      <c r="K50" s="213"/>
      <c r="L50" s="213"/>
      <c r="M50" s="213"/>
      <c r="N50" s="213"/>
      <c r="O50" s="213"/>
    </row>
    <row r="51" spans="1:15" s="335" customFormat="1" ht="30" customHeight="1" x14ac:dyDescent="0.2">
      <c r="A51" s="500"/>
      <c r="B51" s="501"/>
      <c r="C51" s="506" t="s">
        <v>135</v>
      </c>
      <c r="D51" s="507"/>
      <c r="E51" s="585"/>
      <c r="F51" s="546"/>
      <c r="G51" s="577"/>
      <c r="H51" s="577"/>
      <c r="I51" s="578"/>
      <c r="J51" s="516"/>
      <c r="K51" s="213"/>
      <c r="L51" s="213"/>
      <c r="M51" s="213"/>
      <c r="N51" s="213"/>
      <c r="O51" s="213"/>
    </row>
    <row r="52" spans="1:15" s="348" customFormat="1" ht="45.75" customHeight="1" x14ac:dyDescent="0.2">
      <c r="A52" s="500">
        <v>11</v>
      </c>
      <c r="B52" s="501" t="s">
        <v>379</v>
      </c>
      <c r="C52" s="559" t="s">
        <v>380</v>
      </c>
      <c r="D52" s="503"/>
      <c r="E52" s="585" t="s">
        <v>383</v>
      </c>
      <c r="F52" s="600" t="s">
        <v>384</v>
      </c>
      <c r="G52" s="542"/>
      <c r="H52" s="542"/>
      <c r="I52" s="575"/>
      <c r="J52" s="510">
        <f>(11.85+0.41*(0.4*24+0.6*45))
*(0.68*1.3+0.32)*0.6*1000</f>
        <v>19401</v>
      </c>
      <c r="K52" s="213"/>
      <c r="L52" s="213"/>
      <c r="M52" s="213"/>
      <c r="N52" s="213"/>
      <c r="O52" s="213"/>
    </row>
    <row r="53" spans="1:15" s="348" customFormat="1" ht="30.6" customHeight="1" x14ac:dyDescent="0.2">
      <c r="A53" s="500"/>
      <c r="B53" s="501"/>
      <c r="C53" s="494" t="s">
        <v>444</v>
      </c>
      <c r="D53" s="495"/>
      <c r="E53" s="585"/>
      <c r="F53" s="543"/>
      <c r="G53" s="544"/>
      <c r="H53" s="544"/>
      <c r="I53" s="576"/>
      <c r="J53" s="511"/>
      <c r="K53" s="213"/>
      <c r="L53" s="213"/>
      <c r="M53" s="213"/>
      <c r="N53" s="213"/>
      <c r="O53" s="213"/>
    </row>
    <row r="54" spans="1:15" s="348" customFormat="1" ht="55.5" customHeight="1" x14ac:dyDescent="0.2">
      <c r="A54" s="500"/>
      <c r="B54" s="501"/>
      <c r="C54" s="512" t="s">
        <v>381</v>
      </c>
      <c r="D54" s="513"/>
      <c r="E54" s="585"/>
      <c r="F54" s="543"/>
      <c r="G54" s="544"/>
      <c r="H54" s="544"/>
      <c r="I54" s="576"/>
      <c r="J54" s="511"/>
      <c r="K54" s="213"/>
      <c r="L54" s="213"/>
      <c r="M54" s="213"/>
      <c r="N54" s="213"/>
      <c r="O54" s="213"/>
    </row>
    <row r="55" spans="1:15" s="348" customFormat="1" x14ac:dyDescent="0.2">
      <c r="A55" s="500"/>
      <c r="B55" s="501"/>
      <c r="C55" s="506" t="s">
        <v>382</v>
      </c>
      <c r="D55" s="507"/>
      <c r="E55" s="585"/>
      <c r="F55" s="546"/>
      <c r="G55" s="577"/>
      <c r="H55" s="577"/>
      <c r="I55" s="578"/>
      <c r="J55" s="516"/>
      <c r="K55" s="213"/>
      <c r="L55" s="213"/>
      <c r="M55" s="213"/>
      <c r="N55" s="213"/>
      <c r="O55" s="213"/>
    </row>
    <row r="56" spans="1:15" ht="37.15" customHeight="1" x14ac:dyDescent="0.2">
      <c r="A56" s="532">
        <v>12</v>
      </c>
      <c r="B56" s="541" t="s">
        <v>326</v>
      </c>
      <c r="C56" s="502" t="s">
        <v>195</v>
      </c>
      <c r="D56" s="503"/>
      <c r="E56" s="579" t="s">
        <v>100</v>
      </c>
      <c r="F56" s="541" t="s">
        <v>327</v>
      </c>
      <c r="G56" s="542"/>
      <c r="H56" s="542"/>
      <c r="I56" s="575"/>
      <c r="J56" s="510">
        <f>(7.763+0.042*500)*1000*(0.76*1.3+0.24)*0.4</f>
        <v>14128</v>
      </c>
      <c r="K56" s="213"/>
      <c r="L56" s="213"/>
      <c r="M56" s="213"/>
      <c r="N56" s="213"/>
      <c r="O56" s="213"/>
    </row>
    <row r="57" spans="1:15" ht="37.5" customHeight="1" x14ac:dyDescent="0.2">
      <c r="A57" s="533"/>
      <c r="B57" s="543"/>
      <c r="C57" s="494" t="s">
        <v>444</v>
      </c>
      <c r="D57" s="495"/>
      <c r="E57" s="580"/>
      <c r="F57" s="543"/>
      <c r="G57" s="544"/>
      <c r="H57" s="544"/>
      <c r="I57" s="576"/>
      <c r="J57" s="511"/>
      <c r="K57" s="213"/>
      <c r="L57" s="213"/>
      <c r="M57" s="213"/>
      <c r="N57" s="213"/>
      <c r="O57" s="213"/>
    </row>
    <row r="58" spans="1:15" ht="52.15" customHeight="1" x14ac:dyDescent="0.2">
      <c r="A58" s="533"/>
      <c r="B58" s="543"/>
      <c r="C58" s="512" t="s">
        <v>314</v>
      </c>
      <c r="D58" s="513"/>
      <c r="E58" s="580"/>
      <c r="F58" s="543"/>
      <c r="G58" s="544"/>
      <c r="H58" s="544"/>
      <c r="I58" s="576"/>
      <c r="J58" s="511"/>
      <c r="K58" s="213"/>
      <c r="L58" s="213"/>
      <c r="M58" s="213"/>
      <c r="N58" s="213"/>
      <c r="O58" s="213"/>
    </row>
    <row r="59" spans="1:15" ht="33.6" customHeight="1" x14ac:dyDescent="0.2">
      <c r="A59" s="545"/>
      <c r="B59" s="546"/>
      <c r="C59" s="582" t="s">
        <v>165</v>
      </c>
      <c r="D59" s="583"/>
      <c r="E59" s="581"/>
      <c r="F59" s="546"/>
      <c r="G59" s="577"/>
      <c r="H59" s="577"/>
      <c r="I59" s="578"/>
      <c r="J59" s="516"/>
      <c r="K59" s="213"/>
      <c r="L59" s="213"/>
      <c r="M59" s="213"/>
      <c r="N59" s="213"/>
      <c r="O59" s="213"/>
    </row>
    <row r="60" spans="1:15" s="348" customFormat="1" ht="25.5" customHeight="1" x14ac:dyDescent="0.2">
      <c r="A60" s="532">
        <v>13</v>
      </c>
      <c r="B60" s="547" t="s">
        <v>471</v>
      </c>
      <c r="C60" s="502" t="s">
        <v>369</v>
      </c>
      <c r="D60" s="503"/>
      <c r="E60" s="547" t="s">
        <v>100</v>
      </c>
      <c r="F60" s="550" t="s">
        <v>472</v>
      </c>
      <c r="G60" s="551"/>
      <c r="H60" s="551"/>
      <c r="I60" s="552"/>
      <c r="J60" s="586">
        <f>(25.97+0.063*600)*1000
*(0.68*1.3+0.32)*0.4</f>
        <v>30712</v>
      </c>
      <c r="K60" s="213"/>
      <c r="L60" s="213"/>
      <c r="M60" s="213"/>
      <c r="N60" s="213"/>
      <c r="O60" s="213"/>
    </row>
    <row r="61" spans="1:15" s="348" customFormat="1" ht="25.5" customHeight="1" x14ac:dyDescent="0.2">
      <c r="A61" s="533"/>
      <c r="B61" s="548"/>
      <c r="C61" s="494" t="s">
        <v>444</v>
      </c>
      <c r="D61" s="495"/>
      <c r="E61" s="548"/>
      <c r="F61" s="553"/>
      <c r="G61" s="554"/>
      <c r="H61" s="554"/>
      <c r="I61" s="555"/>
      <c r="J61" s="586"/>
      <c r="K61" s="213"/>
      <c r="L61" s="213"/>
      <c r="M61" s="213"/>
      <c r="N61" s="213"/>
      <c r="O61" s="213"/>
    </row>
    <row r="62" spans="1:15" s="348" customFormat="1" ht="58.5" customHeight="1" x14ac:dyDescent="0.2">
      <c r="A62" s="533"/>
      <c r="B62" s="548"/>
      <c r="C62" s="512" t="s">
        <v>131</v>
      </c>
      <c r="D62" s="513"/>
      <c r="E62" s="548"/>
      <c r="F62" s="553"/>
      <c r="G62" s="554"/>
      <c r="H62" s="554"/>
      <c r="I62" s="555"/>
      <c r="J62" s="586"/>
      <c r="K62" s="213"/>
      <c r="L62" s="213"/>
      <c r="M62" s="213"/>
      <c r="N62" s="213"/>
      <c r="O62" s="213"/>
    </row>
    <row r="63" spans="1:15" s="348" customFormat="1" ht="25.5" customHeight="1" x14ac:dyDescent="0.2">
      <c r="A63" s="545"/>
      <c r="B63" s="549"/>
      <c r="C63" s="506" t="s">
        <v>119</v>
      </c>
      <c r="D63" s="507"/>
      <c r="E63" s="549"/>
      <c r="F63" s="556"/>
      <c r="G63" s="557"/>
      <c r="H63" s="557"/>
      <c r="I63" s="558"/>
      <c r="J63" s="586"/>
      <c r="K63" s="213"/>
      <c r="L63" s="213"/>
      <c r="M63" s="213"/>
      <c r="N63" s="213"/>
      <c r="O63" s="213"/>
    </row>
    <row r="64" spans="1:15" ht="46.5" customHeight="1" x14ac:dyDescent="0.2">
      <c r="A64" s="591">
        <v>14</v>
      </c>
      <c r="B64" s="547" t="s">
        <v>370</v>
      </c>
      <c r="C64" s="526" t="s">
        <v>371</v>
      </c>
      <c r="D64" s="527"/>
      <c r="E64" s="560" t="s">
        <v>373</v>
      </c>
      <c r="F64" s="517" t="s">
        <v>374</v>
      </c>
      <c r="G64" s="518"/>
      <c r="H64" s="518"/>
      <c r="I64" s="519"/>
      <c r="J64" s="597">
        <f>(1.39+0.102*4)*1000* (0.36*1.3+0.64) * 0.48</f>
        <v>956</v>
      </c>
      <c r="K64" s="213"/>
      <c r="L64" s="590"/>
      <c r="M64" s="590"/>
      <c r="N64" s="590"/>
      <c r="O64" s="590"/>
    </row>
    <row r="65" spans="1:15" ht="34.5" customHeight="1" x14ac:dyDescent="0.2">
      <c r="A65" s="592"/>
      <c r="B65" s="548"/>
      <c r="C65" s="494" t="s">
        <v>444</v>
      </c>
      <c r="D65" s="495"/>
      <c r="E65" s="561"/>
      <c r="F65" s="520"/>
      <c r="G65" s="521"/>
      <c r="H65" s="521"/>
      <c r="I65" s="522"/>
      <c r="J65" s="598"/>
      <c r="K65" s="213"/>
      <c r="L65" s="590"/>
      <c r="M65" s="590"/>
      <c r="N65" s="590"/>
      <c r="O65" s="590"/>
    </row>
    <row r="66" spans="1:15" ht="46.9" customHeight="1" x14ac:dyDescent="0.2">
      <c r="A66" s="592"/>
      <c r="B66" s="548"/>
      <c r="C66" s="528" t="s">
        <v>174</v>
      </c>
      <c r="D66" s="529"/>
      <c r="E66" s="561"/>
      <c r="F66" s="520"/>
      <c r="G66" s="521"/>
      <c r="H66" s="521"/>
      <c r="I66" s="522"/>
      <c r="J66" s="598"/>
      <c r="K66" s="213"/>
      <c r="L66" s="590"/>
      <c r="M66" s="590"/>
      <c r="N66" s="590"/>
      <c r="O66" s="590"/>
    </row>
    <row r="67" spans="1:15" ht="33" customHeight="1" x14ac:dyDescent="0.2">
      <c r="A67" s="593"/>
      <c r="B67" s="549"/>
      <c r="C67" s="530" t="s">
        <v>372</v>
      </c>
      <c r="D67" s="531"/>
      <c r="E67" s="562"/>
      <c r="F67" s="523"/>
      <c r="G67" s="524"/>
      <c r="H67" s="524"/>
      <c r="I67" s="525"/>
      <c r="J67" s="599"/>
      <c r="K67" s="213"/>
      <c r="L67" s="590"/>
      <c r="M67" s="590"/>
      <c r="N67" s="590"/>
      <c r="O67" s="590"/>
    </row>
    <row r="68" spans="1:15" ht="37.5" customHeight="1" x14ac:dyDescent="0.2">
      <c r="A68" s="594">
        <v>15</v>
      </c>
      <c r="B68" s="560" t="s">
        <v>375</v>
      </c>
      <c r="C68" s="526" t="s">
        <v>376</v>
      </c>
      <c r="D68" s="527"/>
      <c r="E68" s="560" t="s">
        <v>313</v>
      </c>
      <c r="F68" s="517" t="s">
        <v>377</v>
      </c>
      <c r="G68" s="518"/>
      <c r="H68" s="518"/>
      <c r="I68" s="519"/>
      <c r="J68" s="587">
        <f>(36.61+4.57*7)*1.1*(0.36*1.3+0.64)*0.5*1000</f>
        <v>41805</v>
      </c>
      <c r="K68" s="213"/>
      <c r="L68" s="213"/>
      <c r="M68" s="213"/>
      <c r="N68" s="213"/>
      <c r="O68" s="213" t="s">
        <v>301</v>
      </c>
    </row>
    <row r="69" spans="1:15" ht="45.75" customHeight="1" x14ac:dyDescent="0.2">
      <c r="A69" s="595"/>
      <c r="B69" s="561"/>
      <c r="C69" s="528" t="s">
        <v>177</v>
      </c>
      <c r="D69" s="529"/>
      <c r="E69" s="561"/>
      <c r="F69" s="520"/>
      <c r="G69" s="521"/>
      <c r="H69" s="521"/>
      <c r="I69" s="522"/>
      <c r="J69" s="588"/>
      <c r="K69" s="213"/>
      <c r="L69" s="213"/>
      <c r="M69" s="213"/>
      <c r="N69" s="213"/>
      <c r="O69" s="213"/>
    </row>
    <row r="70" spans="1:15" ht="28.5" customHeight="1" x14ac:dyDescent="0.2">
      <c r="A70" s="595"/>
      <c r="B70" s="561"/>
      <c r="C70" s="494" t="s">
        <v>444</v>
      </c>
      <c r="D70" s="495"/>
      <c r="E70" s="561"/>
      <c r="F70" s="520"/>
      <c r="G70" s="521"/>
      <c r="H70" s="521"/>
      <c r="I70" s="522"/>
      <c r="J70" s="588"/>
      <c r="K70" s="213"/>
      <c r="L70" s="213"/>
      <c r="M70" s="213"/>
      <c r="N70" s="213"/>
      <c r="O70" s="213"/>
    </row>
    <row r="71" spans="1:15" ht="40.15" customHeight="1" x14ac:dyDescent="0.2">
      <c r="A71" s="595"/>
      <c r="B71" s="561"/>
      <c r="C71" s="528" t="s">
        <v>174</v>
      </c>
      <c r="D71" s="529"/>
      <c r="E71" s="561"/>
      <c r="F71" s="520"/>
      <c r="G71" s="521"/>
      <c r="H71" s="521"/>
      <c r="I71" s="522"/>
      <c r="J71" s="588"/>
      <c r="K71" s="213"/>
      <c r="L71" s="213"/>
      <c r="M71" s="213"/>
      <c r="N71" s="213"/>
      <c r="O71" s="213"/>
    </row>
    <row r="72" spans="1:15" ht="19.149999999999999" customHeight="1" x14ac:dyDescent="0.2">
      <c r="A72" s="596"/>
      <c r="B72" s="562"/>
      <c r="C72" s="530" t="s">
        <v>178</v>
      </c>
      <c r="D72" s="531"/>
      <c r="E72" s="562"/>
      <c r="F72" s="523"/>
      <c r="G72" s="524"/>
      <c r="H72" s="524"/>
      <c r="I72" s="525"/>
      <c r="J72" s="589"/>
      <c r="K72" s="213"/>
      <c r="L72" s="213"/>
      <c r="M72" s="213"/>
      <c r="N72" s="213"/>
      <c r="O72" s="213"/>
    </row>
    <row r="73" spans="1:15" ht="28.5" customHeight="1" x14ac:dyDescent="0.2">
      <c r="A73" s="594">
        <v>16</v>
      </c>
      <c r="B73" s="560" t="s">
        <v>311</v>
      </c>
      <c r="C73" s="526" t="s">
        <v>378</v>
      </c>
      <c r="D73" s="527"/>
      <c r="E73" s="560" t="s">
        <v>312</v>
      </c>
      <c r="F73" s="517" t="s">
        <v>328</v>
      </c>
      <c r="G73" s="518"/>
      <c r="H73" s="518"/>
      <c r="I73" s="519"/>
      <c r="J73" s="587">
        <f>85.45*(0.36*1.3+0.64)
*0.5*1000</f>
        <v>47339</v>
      </c>
      <c r="K73" s="213"/>
      <c r="L73" s="213"/>
      <c r="M73" s="213"/>
      <c r="N73" s="213"/>
      <c r="O73" s="213" t="s">
        <v>301</v>
      </c>
    </row>
    <row r="74" spans="1:15" ht="28.5" customHeight="1" x14ac:dyDescent="0.2">
      <c r="A74" s="595"/>
      <c r="B74" s="561"/>
      <c r="C74" s="494" t="s">
        <v>444</v>
      </c>
      <c r="D74" s="495"/>
      <c r="E74" s="561"/>
      <c r="F74" s="520"/>
      <c r="G74" s="521"/>
      <c r="H74" s="521"/>
      <c r="I74" s="522"/>
      <c r="J74" s="588"/>
      <c r="K74" s="213"/>
      <c r="L74" s="213"/>
      <c r="M74" s="213"/>
      <c r="N74" s="213"/>
      <c r="O74" s="213"/>
    </row>
    <row r="75" spans="1:15" ht="40.15" customHeight="1" x14ac:dyDescent="0.2">
      <c r="A75" s="595"/>
      <c r="B75" s="561"/>
      <c r="C75" s="528" t="s">
        <v>174</v>
      </c>
      <c r="D75" s="529"/>
      <c r="E75" s="561"/>
      <c r="F75" s="520"/>
      <c r="G75" s="521"/>
      <c r="H75" s="521"/>
      <c r="I75" s="522"/>
      <c r="J75" s="588"/>
      <c r="K75" s="213"/>
      <c r="L75" s="213"/>
      <c r="M75" s="213"/>
      <c r="N75" s="213"/>
      <c r="O75" s="213"/>
    </row>
    <row r="76" spans="1:15" ht="19.149999999999999" customHeight="1" x14ac:dyDescent="0.2">
      <c r="A76" s="596"/>
      <c r="B76" s="562"/>
      <c r="C76" s="530" t="s">
        <v>178</v>
      </c>
      <c r="D76" s="531"/>
      <c r="E76" s="562"/>
      <c r="F76" s="523"/>
      <c r="G76" s="524"/>
      <c r="H76" s="524"/>
      <c r="I76" s="525"/>
      <c r="J76" s="589"/>
      <c r="K76" s="213"/>
      <c r="L76" s="213"/>
      <c r="M76" s="213"/>
      <c r="N76" s="213"/>
      <c r="O76" s="213"/>
    </row>
    <row r="77" spans="1:15" s="348" customFormat="1" ht="69" customHeight="1" x14ac:dyDescent="0.2">
      <c r="A77" s="504">
        <v>17</v>
      </c>
      <c r="B77" s="501" t="s">
        <v>385</v>
      </c>
      <c r="C77" s="508" t="s">
        <v>356</v>
      </c>
      <c r="D77" s="509"/>
      <c r="E77" s="504" t="s">
        <v>358</v>
      </c>
      <c r="F77" s="504" t="s">
        <v>386</v>
      </c>
      <c r="G77" s="504"/>
      <c r="H77" s="504"/>
      <c r="I77" s="504"/>
      <c r="J77" s="505">
        <f>960*(0.52*1.3+0.48)*0.7
*0.4*1000*0.25</f>
        <v>77683</v>
      </c>
      <c r="K77" s="213"/>
      <c r="L77" s="213"/>
      <c r="M77" s="214"/>
      <c r="N77" s="213"/>
      <c r="O77" s="215">
        <f>(7+0.122*(0.4*750+0.6*730))*(0.796*1.2+0.204)*0.3*1000</f>
        <v>33745.24</v>
      </c>
    </row>
    <row r="78" spans="1:15" s="348" customFormat="1" ht="30" customHeight="1" x14ac:dyDescent="0.2">
      <c r="A78" s="504"/>
      <c r="B78" s="501"/>
      <c r="C78" s="494" t="s">
        <v>444</v>
      </c>
      <c r="D78" s="495"/>
      <c r="E78" s="504"/>
      <c r="F78" s="504"/>
      <c r="G78" s="504"/>
      <c r="H78" s="504"/>
      <c r="I78" s="504"/>
      <c r="J78" s="505"/>
      <c r="K78" s="213"/>
      <c r="L78" s="213"/>
      <c r="M78" s="213"/>
      <c r="N78" s="213"/>
      <c r="O78" s="213">
        <f>9.7+26.3+11+8.9+9+0.7+5+5+4</f>
        <v>79.599999999999994</v>
      </c>
    </row>
    <row r="79" spans="1:15" s="348" customFormat="1" ht="111.75" customHeight="1" x14ac:dyDescent="0.2">
      <c r="A79" s="504"/>
      <c r="B79" s="501"/>
      <c r="C79" s="512" t="s">
        <v>387</v>
      </c>
      <c r="D79" s="513"/>
      <c r="E79" s="504"/>
      <c r="F79" s="504"/>
      <c r="G79" s="504"/>
      <c r="H79" s="504"/>
      <c r="I79" s="504"/>
      <c r="J79" s="505"/>
      <c r="K79" s="213"/>
      <c r="L79" s="352"/>
      <c r="M79" s="352"/>
      <c r="N79" s="213"/>
      <c r="O79" s="213">
        <f>(228.23+1.756*(0.4*5+0.6*3))*0.4*1000</f>
        <v>93961.12</v>
      </c>
    </row>
    <row r="80" spans="1:15" s="348" customFormat="1" x14ac:dyDescent="0.2">
      <c r="A80" s="504"/>
      <c r="B80" s="501"/>
      <c r="C80" s="506" t="s">
        <v>119</v>
      </c>
      <c r="D80" s="507"/>
      <c r="E80" s="504"/>
      <c r="F80" s="504"/>
      <c r="G80" s="504"/>
      <c r="H80" s="504"/>
      <c r="I80" s="504"/>
      <c r="J80" s="505"/>
      <c r="K80" s="213"/>
      <c r="L80" s="352"/>
      <c r="M80" s="352"/>
      <c r="N80" s="213"/>
      <c r="O80" s="213"/>
    </row>
    <row r="81" spans="1:15" s="335" customFormat="1" ht="53.25" customHeight="1" x14ac:dyDescent="0.2">
      <c r="A81" s="333">
        <v>18</v>
      </c>
      <c r="B81" s="334" t="s">
        <v>350</v>
      </c>
      <c r="C81" s="508" t="s">
        <v>435</v>
      </c>
      <c r="D81" s="509"/>
      <c r="E81" s="333"/>
      <c r="F81" s="334"/>
      <c r="G81" s="353"/>
      <c r="H81" s="353"/>
      <c r="I81" s="336"/>
      <c r="J81" s="332">
        <f>(SUM(J10:J76)+L82)*4%</f>
        <v>115305</v>
      </c>
      <c r="K81" s="213"/>
      <c r="L81" s="213"/>
      <c r="M81" s="214"/>
      <c r="N81" s="213"/>
      <c r="O81" s="215">
        <f>(7+0.122*(0.4*750+0.6*730))*(0.796*1.2+0.204)*0.3*1000</f>
        <v>33745.24</v>
      </c>
    </row>
    <row r="82" spans="1:15" ht="17.25" customHeight="1" x14ac:dyDescent="0.2">
      <c r="A82" s="207"/>
      <c r="B82" s="349" t="s">
        <v>101</v>
      </c>
      <c r="C82" s="536"/>
      <c r="D82" s="537"/>
      <c r="E82" s="143"/>
      <c r="F82" s="538"/>
      <c r="G82" s="539"/>
      <c r="H82" s="539"/>
      <c r="I82" s="540"/>
      <c r="J82" s="144">
        <f>SUM(J10:J81)</f>
        <v>1346041</v>
      </c>
      <c r="L82" s="145">
        <f>SUM(J10:J76)/40*60</f>
        <v>1729580</v>
      </c>
      <c r="M82" s="212" t="s">
        <v>280</v>
      </c>
    </row>
    <row r="83" spans="1:15" ht="52.5" customHeight="1" x14ac:dyDescent="0.2">
      <c r="A83" s="208"/>
      <c r="B83" s="333" t="s">
        <v>488</v>
      </c>
      <c r="C83" s="506" t="s">
        <v>489</v>
      </c>
      <c r="D83" s="531"/>
      <c r="E83" s="143"/>
      <c r="F83" s="538"/>
      <c r="G83" s="539"/>
      <c r="H83" s="539"/>
      <c r="I83" s="540"/>
      <c r="J83" s="145">
        <f>J82*4.47</f>
        <v>6016803</v>
      </c>
      <c r="L83" s="145">
        <f>L82*4.47</f>
        <v>7731223</v>
      </c>
      <c r="M83" s="361" t="s">
        <v>280</v>
      </c>
    </row>
    <row r="85" spans="1:15" x14ac:dyDescent="0.2">
      <c r="B85" s="350"/>
      <c r="C85" s="216"/>
    </row>
    <row r="86" spans="1:15" x14ac:dyDescent="0.2">
      <c r="B86" s="350"/>
      <c r="C86" s="216"/>
    </row>
    <row r="88" spans="1:15" x14ac:dyDescent="0.2">
      <c r="B88" s="350"/>
    </row>
    <row r="90" spans="1:15" x14ac:dyDescent="0.2">
      <c r="B90" s="350"/>
    </row>
  </sheetData>
  <mergeCells count="178">
    <mergeCell ref="B77:B80"/>
    <mergeCell ref="C77:D77"/>
    <mergeCell ref="E77:E80"/>
    <mergeCell ref="F77:I80"/>
    <mergeCell ref="J77:J80"/>
    <mergeCell ref="C78:D78"/>
    <mergeCell ref="C80:D80"/>
    <mergeCell ref="A52:A55"/>
    <mergeCell ref="B52:B55"/>
    <mergeCell ref="E52:E55"/>
    <mergeCell ref="F52:I55"/>
    <mergeCell ref="J52:J55"/>
    <mergeCell ref="C55:D55"/>
    <mergeCell ref="J73:J76"/>
    <mergeCell ref="J68:J72"/>
    <mergeCell ref="F68:I72"/>
    <mergeCell ref="L64:O67"/>
    <mergeCell ref="F64:I67"/>
    <mergeCell ref="A64:A67"/>
    <mergeCell ref="B64:B67"/>
    <mergeCell ref="C67:D67"/>
    <mergeCell ref="A68:A72"/>
    <mergeCell ref="B68:B72"/>
    <mergeCell ref="E68:E72"/>
    <mergeCell ref="A73:A76"/>
    <mergeCell ref="C71:D71"/>
    <mergeCell ref="C72:D72"/>
    <mergeCell ref="C68:D68"/>
    <mergeCell ref="B73:B76"/>
    <mergeCell ref="C64:D64"/>
    <mergeCell ref="E64:E67"/>
    <mergeCell ref="C65:D65"/>
    <mergeCell ref="C66:D66"/>
    <mergeCell ref="J64:J67"/>
    <mergeCell ref="C61:D61"/>
    <mergeCell ref="C62:D62"/>
    <mergeCell ref="C63:D63"/>
    <mergeCell ref="E47:E51"/>
    <mergeCell ref="F47:I51"/>
    <mergeCell ref="J47:J51"/>
    <mergeCell ref="C48:D48"/>
    <mergeCell ref="C49:D49"/>
    <mergeCell ref="C50:D50"/>
    <mergeCell ref="C51:D51"/>
    <mergeCell ref="J60:J63"/>
    <mergeCell ref="C56:D56"/>
    <mergeCell ref="A14:A17"/>
    <mergeCell ref="A32:A35"/>
    <mergeCell ref="B32:B35"/>
    <mergeCell ref="C32:D32"/>
    <mergeCell ref="E32:E35"/>
    <mergeCell ref="F32:I35"/>
    <mergeCell ref="J32:J35"/>
    <mergeCell ref="C33:D33"/>
    <mergeCell ref="C34:D34"/>
    <mergeCell ref="C35:D35"/>
    <mergeCell ref="A20:A23"/>
    <mergeCell ref="B20:B23"/>
    <mergeCell ref="J20:J23"/>
    <mergeCell ref="C21:D21"/>
    <mergeCell ref="C22:D22"/>
    <mergeCell ref="C23:D23"/>
    <mergeCell ref="B14:B17"/>
    <mergeCell ref="F56:I59"/>
    <mergeCell ref="C60:D60"/>
    <mergeCell ref="J14:J17"/>
    <mergeCell ref="E36:E41"/>
    <mergeCell ref="C17:D17"/>
    <mergeCell ref="C15:D15"/>
    <mergeCell ref="C36:D36"/>
    <mergeCell ref="C45:D45"/>
    <mergeCell ref="C46:D46"/>
    <mergeCell ref="C57:D57"/>
    <mergeCell ref="E56:E59"/>
    <mergeCell ref="C58:D58"/>
    <mergeCell ref="C37:D37"/>
    <mergeCell ref="C38:D38"/>
    <mergeCell ref="C39:D39"/>
    <mergeCell ref="C59:D59"/>
    <mergeCell ref="A10:A13"/>
    <mergeCell ref="B10:B13"/>
    <mergeCell ref="C10:D10"/>
    <mergeCell ref="E10:E13"/>
    <mergeCell ref="F10:I13"/>
    <mergeCell ref="C11:D11"/>
    <mergeCell ref="C12:D12"/>
    <mergeCell ref="C13:D13"/>
    <mergeCell ref="A1:E1"/>
    <mergeCell ref="H1:J1"/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C9:D9"/>
    <mergeCell ref="J10:J13"/>
    <mergeCell ref="F9:I9"/>
    <mergeCell ref="F14:I17"/>
    <mergeCell ref="C16:D16"/>
    <mergeCell ref="F36:I41"/>
    <mergeCell ref="C14:D14"/>
    <mergeCell ref="E14:E17"/>
    <mergeCell ref="F20:I23"/>
    <mergeCell ref="C20:D20"/>
    <mergeCell ref="E20:E23"/>
    <mergeCell ref="C83:D83"/>
    <mergeCell ref="C82:D82"/>
    <mergeCell ref="F83:I83"/>
    <mergeCell ref="F82:I82"/>
    <mergeCell ref="C69:D69"/>
    <mergeCell ref="C70:D70"/>
    <mergeCell ref="A42:A46"/>
    <mergeCell ref="B42:B46"/>
    <mergeCell ref="C42:D42"/>
    <mergeCell ref="E42:E46"/>
    <mergeCell ref="F42:I46"/>
    <mergeCell ref="C43:D43"/>
    <mergeCell ref="C44:D44"/>
    <mergeCell ref="A56:A59"/>
    <mergeCell ref="B56:B59"/>
    <mergeCell ref="A60:A63"/>
    <mergeCell ref="B60:B63"/>
    <mergeCell ref="E60:E63"/>
    <mergeCell ref="F60:I63"/>
    <mergeCell ref="C52:D52"/>
    <mergeCell ref="C53:D53"/>
    <mergeCell ref="C54:D54"/>
    <mergeCell ref="E73:E76"/>
    <mergeCell ref="A77:A80"/>
    <mergeCell ref="A47:A51"/>
    <mergeCell ref="B47:B51"/>
    <mergeCell ref="C47:D47"/>
    <mergeCell ref="F18:I19"/>
    <mergeCell ref="J18:J19"/>
    <mergeCell ref="C19:D19"/>
    <mergeCell ref="C81:D81"/>
    <mergeCell ref="J36:J41"/>
    <mergeCell ref="C40:D40"/>
    <mergeCell ref="C41:D41"/>
    <mergeCell ref="A18:A19"/>
    <mergeCell ref="B18:B19"/>
    <mergeCell ref="C18:D18"/>
    <mergeCell ref="E18:E19"/>
    <mergeCell ref="C79:D79"/>
    <mergeCell ref="J42:J46"/>
    <mergeCell ref="J56:J59"/>
    <mergeCell ref="F73:I76"/>
    <mergeCell ref="C73:D73"/>
    <mergeCell ref="C74:D74"/>
    <mergeCell ref="C75:D75"/>
    <mergeCell ref="C76:D76"/>
    <mergeCell ref="A36:A41"/>
    <mergeCell ref="B36:B41"/>
    <mergeCell ref="A24:A27"/>
    <mergeCell ref="B24:B27"/>
    <mergeCell ref="C24:D24"/>
    <mergeCell ref="E24:E27"/>
    <mergeCell ref="F24:I27"/>
    <mergeCell ref="J24:J27"/>
    <mergeCell ref="C25:D25"/>
    <mergeCell ref="C26:D26"/>
    <mergeCell ref="C27:D27"/>
    <mergeCell ref="A28:A31"/>
    <mergeCell ref="B28:B31"/>
    <mergeCell ref="C28:D28"/>
    <mergeCell ref="E28:E31"/>
    <mergeCell ref="F28:I31"/>
    <mergeCell ref="J28:J31"/>
    <mergeCell ref="C29:D29"/>
    <mergeCell ref="C30:D30"/>
    <mergeCell ref="C31:D31"/>
  </mergeCells>
  <pageMargins left="0.3611111111111111" right="0.3611111111111111" top="0.3611111111111111" bottom="0.3611111111111111" header="0.3" footer="0.3"/>
  <pageSetup paperSize="9" scale="70" fitToHeight="32767" orientation="portrait" r:id="rId1"/>
  <rowBreaks count="2" manualBreakCount="2">
    <brk id="31" max="9" man="1"/>
    <brk id="6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7" zoomScale="60" zoomScaleNormal="100" workbookViewId="0">
      <selection activeCell="H21" sqref="H21"/>
    </sheetView>
  </sheetViews>
  <sheetFormatPr defaultColWidth="9.140625" defaultRowHeight="15" x14ac:dyDescent="0.25"/>
  <cols>
    <col min="1" max="1" width="5.28515625" style="90" customWidth="1"/>
    <col min="2" max="2" width="21.85546875" style="89" customWidth="1"/>
    <col min="3" max="3" width="26.140625" style="89" customWidth="1"/>
    <col min="4" max="4" width="14.85546875" style="89" customWidth="1"/>
    <col min="5" max="5" width="8.7109375" style="89" customWidth="1"/>
    <col min="6" max="6" width="11.7109375" style="89" customWidth="1"/>
    <col min="7" max="7" width="23.7109375" style="89" customWidth="1"/>
    <col min="8" max="8" width="17.5703125" style="91" customWidth="1"/>
    <col min="9" max="16384" width="9.140625" style="89"/>
  </cols>
  <sheetData>
    <row r="1" spans="1:8" ht="15.75" x14ac:dyDescent="0.25">
      <c r="A1" s="295"/>
      <c r="B1" s="296"/>
      <c r="C1" s="297"/>
      <c r="D1" s="297"/>
      <c r="E1" s="297"/>
      <c r="F1" s="296"/>
      <c r="G1" s="296"/>
      <c r="H1" s="298"/>
    </row>
    <row r="2" spans="1:8" ht="15.75" x14ac:dyDescent="0.25">
      <c r="A2" s="601" t="s">
        <v>117</v>
      </c>
      <c r="B2" s="602"/>
      <c r="C2" s="602"/>
      <c r="D2" s="602"/>
      <c r="E2" s="602"/>
      <c r="F2" s="602"/>
      <c r="G2" s="602"/>
      <c r="H2" s="602"/>
    </row>
    <row r="3" spans="1:8" ht="15.75" x14ac:dyDescent="0.25">
      <c r="A3" s="603"/>
      <c r="B3" s="602"/>
      <c r="C3" s="602"/>
      <c r="D3" s="602"/>
      <c r="E3" s="602"/>
      <c r="F3" s="602"/>
      <c r="G3" s="602"/>
      <c r="H3" s="602"/>
    </row>
    <row r="4" spans="1:8" ht="55.9" customHeight="1" x14ac:dyDescent="0.25">
      <c r="A4" s="604" t="s">
        <v>79</v>
      </c>
      <c r="B4" s="602"/>
      <c r="C4" s="605" t="str">
        <f>'ПД '!C4:J4</f>
        <v>Всесезонный туристско-рекреационный комплекс «Эльбрус», Кабардино-Балкарская Республика. 
Благоустройство центральной части Поляны Азау 1 этап</v>
      </c>
      <c r="D4" s="605"/>
      <c r="E4" s="605"/>
      <c r="F4" s="606"/>
      <c r="G4" s="606"/>
      <c r="H4" s="606"/>
    </row>
    <row r="5" spans="1:8" ht="17.25" customHeight="1" x14ac:dyDescent="0.25">
      <c r="A5" s="604" t="s">
        <v>80</v>
      </c>
      <c r="B5" s="602"/>
      <c r="C5" s="607"/>
      <c r="D5" s="607"/>
      <c r="E5" s="607"/>
      <c r="F5" s="602"/>
      <c r="G5" s="602"/>
      <c r="H5" s="602"/>
    </row>
    <row r="6" spans="1:8" ht="30" customHeight="1" x14ac:dyDescent="0.25">
      <c r="A6" s="608" t="s">
        <v>82</v>
      </c>
      <c r="B6" s="602"/>
      <c r="C6" s="607" t="s">
        <v>88</v>
      </c>
      <c r="D6" s="607"/>
      <c r="E6" s="607"/>
      <c r="F6" s="602"/>
      <c r="G6" s="602"/>
      <c r="H6" s="602"/>
    </row>
    <row r="7" spans="1:8" ht="15.75" x14ac:dyDescent="0.25">
      <c r="A7" s="604" t="s">
        <v>83</v>
      </c>
      <c r="B7" s="602"/>
      <c r="C7" s="609"/>
      <c r="D7" s="609"/>
      <c r="E7" s="609"/>
      <c r="F7" s="602"/>
      <c r="G7" s="602"/>
      <c r="H7" s="602"/>
    </row>
    <row r="8" spans="1:8" ht="15.75" x14ac:dyDescent="0.25">
      <c r="A8" s="604" t="s">
        <v>84</v>
      </c>
      <c r="B8" s="602"/>
      <c r="C8" s="609" t="s">
        <v>48</v>
      </c>
      <c r="D8" s="609"/>
      <c r="E8" s="609"/>
      <c r="F8" s="602"/>
      <c r="G8" s="602"/>
      <c r="H8" s="602"/>
    </row>
    <row r="9" spans="1:8" ht="15.75" x14ac:dyDescent="0.25">
      <c r="A9" s="295"/>
      <c r="B9" s="296"/>
      <c r="C9" s="297"/>
      <c r="D9" s="297"/>
      <c r="E9" s="297"/>
      <c r="F9" s="296"/>
      <c r="G9" s="296"/>
      <c r="H9" s="298"/>
    </row>
    <row r="10" spans="1:8" ht="109.5" customHeight="1" x14ac:dyDescent="0.25">
      <c r="A10" s="299" t="s">
        <v>2</v>
      </c>
      <c r="B10" s="299" t="s">
        <v>35</v>
      </c>
      <c r="C10" s="613" t="s">
        <v>85</v>
      </c>
      <c r="D10" s="614"/>
      <c r="E10" s="614"/>
      <c r="F10" s="299" t="s">
        <v>36</v>
      </c>
      <c r="G10" s="299" t="s">
        <v>86</v>
      </c>
      <c r="H10" s="300" t="s">
        <v>87</v>
      </c>
    </row>
    <row r="11" spans="1:8" ht="15" customHeight="1" x14ac:dyDescent="0.25">
      <c r="A11" s="615">
        <v>1</v>
      </c>
      <c r="B11" s="617" t="s">
        <v>10</v>
      </c>
      <c r="C11" s="619"/>
      <c r="D11" s="620"/>
      <c r="E11" s="621"/>
      <c r="F11" s="301"/>
      <c r="G11" s="622"/>
      <c r="H11" s="610"/>
    </row>
    <row r="12" spans="1:8" ht="31.5" x14ac:dyDescent="0.25">
      <c r="A12" s="616"/>
      <c r="B12" s="618"/>
      <c r="C12" s="302" t="s">
        <v>496</v>
      </c>
      <c r="D12" s="303">
        <f>'Cводная смета ПИР'!G18</f>
        <v>6270876</v>
      </c>
      <c r="E12" s="304" t="s">
        <v>90</v>
      </c>
      <c r="F12" s="305"/>
      <c r="G12" s="623"/>
      <c r="H12" s="611"/>
    </row>
    <row r="13" spans="1:8" ht="15.75" x14ac:dyDescent="0.25">
      <c r="A13" s="616"/>
      <c r="B13" s="618"/>
      <c r="C13" s="302" t="s">
        <v>497</v>
      </c>
      <c r="D13" s="306">
        <v>4.55</v>
      </c>
      <c r="E13" s="307"/>
      <c r="F13" s="305"/>
      <c r="G13" s="623"/>
      <c r="H13" s="611"/>
    </row>
    <row r="14" spans="1:8" ht="47.25" x14ac:dyDescent="0.25">
      <c r="A14" s="616"/>
      <c r="B14" s="618"/>
      <c r="C14" s="302" t="s">
        <v>222</v>
      </c>
      <c r="D14" s="303">
        <f>D12/D13</f>
        <v>1378215</v>
      </c>
      <c r="E14" s="304" t="s">
        <v>90</v>
      </c>
      <c r="F14" s="305"/>
      <c r="G14" s="623"/>
      <c r="H14" s="611"/>
    </row>
    <row r="15" spans="1:8" ht="15" customHeight="1" x14ac:dyDescent="0.25">
      <c r="A15" s="615">
        <v>2</v>
      </c>
      <c r="B15" s="617" t="s">
        <v>81</v>
      </c>
      <c r="C15" s="619"/>
      <c r="D15" s="620"/>
      <c r="E15" s="621"/>
      <c r="F15" s="301"/>
      <c r="G15" s="623"/>
      <c r="H15" s="611"/>
    </row>
    <row r="16" spans="1:8" ht="32.450000000000003" customHeight="1" x14ac:dyDescent="0.25">
      <c r="A16" s="616"/>
      <c r="B16" s="618"/>
      <c r="C16" s="302" t="s">
        <v>498</v>
      </c>
      <c r="D16" s="303">
        <f>'Cводная смета ПИР'!G21</f>
        <v>6016803</v>
      </c>
      <c r="E16" s="304" t="s">
        <v>90</v>
      </c>
      <c r="F16" s="305"/>
      <c r="G16" s="623"/>
      <c r="H16" s="611"/>
    </row>
    <row r="17" spans="1:15" ht="25.9" customHeight="1" x14ac:dyDescent="0.25">
      <c r="A17" s="616"/>
      <c r="B17" s="618"/>
      <c r="C17" s="302" t="s">
        <v>497</v>
      </c>
      <c r="D17" s="308">
        <v>4.47</v>
      </c>
      <c r="E17" s="307"/>
      <c r="F17" s="305"/>
      <c r="G17" s="623"/>
      <c r="H17" s="611"/>
    </row>
    <row r="18" spans="1:15" ht="47.25" x14ac:dyDescent="0.25">
      <c r="A18" s="616"/>
      <c r="B18" s="618"/>
      <c r="C18" s="302" t="s">
        <v>223</v>
      </c>
      <c r="D18" s="303">
        <f>D16/D17</f>
        <v>1346041</v>
      </c>
      <c r="E18" s="304" t="s">
        <v>90</v>
      </c>
      <c r="F18" s="305"/>
      <c r="G18" s="624"/>
      <c r="H18" s="612"/>
      <c r="O18" s="89" t="s">
        <v>96</v>
      </c>
    </row>
    <row r="19" spans="1:15" ht="39.75" customHeight="1" x14ac:dyDescent="0.25">
      <c r="A19" s="309"/>
      <c r="B19" s="310"/>
      <c r="C19" s="311" t="s">
        <v>98</v>
      </c>
      <c r="D19" s="312">
        <f>D14+D18</f>
        <v>2724256</v>
      </c>
      <c r="E19" s="313" t="s">
        <v>90</v>
      </c>
      <c r="F19" s="314"/>
      <c r="G19" s="315" t="s">
        <v>499</v>
      </c>
      <c r="H19" s="316"/>
    </row>
    <row r="20" spans="1:15" ht="72" customHeight="1" x14ac:dyDescent="0.25">
      <c r="A20" s="317"/>
      <c r="B20" s="318" t="s">
        <v>89</v>
      </c>
      <c r="C20" s="319" t="s">
        <v>91</v>
      </c>
      <c r="D20" s="320">
        <v>0.1188</v>
      </c>
      <c r="E20" s="321"/>
      <c r="F20" s="322"/>
      <c r="G20" s="323"/>
      <c r="H20" s="324">
        <f>D19*D20</f>
        <v>323642</v>
      </c>
    </row>
    <row r="21" spans="1:15" ht="36.75" customHeight="1" x14ac:dyDescent="0.25">
      <c r="A21" s="317"/>
      <c r="B21" s="325"/>
      <c r="C21" s="326" t="s">
        <v>348</v>
      </c>
      <c r="D21" s="327">
        <v>5.44</v>
      </c>
      <c r="E21" s="328"/>
      <c r="F21" s="329"/>
      <c r="G21" s="255"/>
      <c r="H21" s="330">
        <f>H20*D21</f>
        <v>1760612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46"/>
      <c r="E23" s="109"/>
      <c r="F23" s="109"/>
      <c r="G23" s="109"/>
      <c r="H23" s="110"/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  <mergeCell ref="A6:B6"/>
    <mergeCell ref="C6:H6"/>
    <mergeCell ref="A7:B7"/>
    <mergeCell ref="C7:H7"/>
    <mergeCell ref="A8:B8"/>
    <mergeCell ref="C8:H8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130" zoomScaleNormal="130" workbookViewId="0">
      <selection sqref="A1:S2"/>
    </sheetView>
  </sheetViews>
  <sheetFormatPr defaultColWidth="9.140625" defaultRowHeight="15" x14ac:dyDescent="0.25"/>
  <cols>
    <col min="1" max="1" width="9.140625" style="165"/>
    <col min="2" max="2" width="30.140625" style="165" customWidth="1"/>
    <col min="3" max="5" width="9.140625" style="165"/>
    <col min="6" max="20" width="4.140625" style="165" customWidth="1"/>
    <col min="21" max="16384" width="9.140625" style="165"/>
  </cols>
  <sheetData>
    <row r="1" spans="1:19" ht="15" customHeight="1" x14ac:dyDescent="0.25">
      <c r="A1" s="395" t="s">
        <v>461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</row>
    <row r="2" spans="1:19" ht="33" customHeight="1" x14ac:dyDescent="0.2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</row>
    <row r="3" spans="1:19" ht="33.75" customHeight="1" x14ac:dyDescent="0.25">
      <c r="A3" s="397" t="s">
        <v>2</v>
      </c>
      <c r="B3" s="398" t="s">
        <v>412</v>
      </c>
      <c r="C3" s="397" t="s">
        <v>413</v>
      </c>
      <c r="D3" s="397"/>
      <c r="E3" s="397"/>
      <c r="F3" s="399">
        <v>2020</v>
      </c>
      <c r="G3" s="400"/>
      <c r="H3" s="403">
        <v>2021</v>
      </c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</row>
    <row r="4" spans="1:19" ht="11.25" customHeight="1" x14ac:dyDescent="0.25">
      <c r="A4" s="397"/>
      <c r="B4" s="398"/>
      <c r="C4" s="397"/>
      <c r="D4" s="397"/>
      <c r="E4" s="397"/>
      <c r="F4" s="401"/>
      <c r="G4" s="402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</row>
    <row r="5" spans="1:19" ht="49.5" customHeight="1" x14ac:dyDescent="0.25">
      <c r="A5" s="397"/>
      <c r="B5" s="398"/>
      <c r="C5" s="362" t="s">
        <v>414</v>
      </c>
      <c r="D5" s="362" t="s">
        <v>415</v>
      </c>
      <c r="E5" s="362" t="s">
        <v>416</v>
      </c>
      <c r="F5" s="363" t="s">
        <v>417</v>
      </c>
      <c r="G5" s="363" t="s">
        <v>418</v>
      </c>
      <c r="H5" s="363" t="s">
        <v>419</v>
      </c>
      <c r="I5" s="363" t="s">
        <v>420</v>
      </c>
      <c r="J5" s="363" t="s">
        <v>421</v>
      </c>
      <c r="K5" s="363" t="s">
        <v>422</v>
      </c>
      <c r="L5" s="363" t="s">
        <v>423</v>
      </c>
      <c r="M5" s="363" t="s">
        <v>424</v>
      </c>
      <c r="N5" s="363" t="s">
        <v>425</v>
      </c>
      <c r="O5" s="363" t="s">
        <v>426</v>
      </c>
      <c r="P5" s="363" t="s">
        <v>427</v>
      </c>
      <c r="Q5" s="363" t="s">
        <v>428</v>
      </c>
      <c r="R5" s="363" t="s">
        <v>417</v>
      </c>
      <c r="S5" s="363" t="s">
        <v>418</v>
      </c>
    </row>
    <row r="6" spans="1:19" ht="22.5" customHeight="1" x14ac:dyDescent="0.25">
      <c r="A6" s="362">
        <v>1</v>
      </c>
      <c r="B6" s="362">
        <v>2</v>
      </c>
      <c r="C6" s="362">
        <v>3</v>
      </c>
      <c r="D6" s="362">
        <v>4</v>
      </c>
      <c r="E6" s="362">
        <v>5</v>
      </c>
      <c r="F6" s="362">
        <v>6</v>
      </c>
      <c r="G6" s="362">
        <v>7</v>
      </c>
      <c r="H6" s="362">
        <v>8</v>
      </c>
      <c r="I6" s="362">
        <v>9</v>
      </c>
      <c r="J6" s="362">
        <v>10</v>
      </c>
      <c r="K6" s="362">
        <v>11</v>
      </c>
      <c r="L6" s="362">
        <v>12</v>
      </c>
      <c r="M6" s="362">
        <v>13</v>
      </c>
      <c r="N6" s="362">
        <v>14</v>
      </c>
      <c r="O6" s="362">
        <v>15</v>
      </c>
      <c r="P6" s="362">
        <v>16</v>
      </c>
      <c r="Q6" s="362">
        <v>17</v>
      </c>
      <c r="R6" s="362">
        <v>18</v>
      </c>
      <c r="S6" s="362">
        <v>19</v>
      </c>
    </row>
    <row r="7" spans="1:19" x14ac:dyDescent="0.25">
      <c r="A7" s="364">
        <v>1</v>
      </c>
      <c r="B7" s="365" t="s">
        <v>111</v>
      </c>
      <c r="C7" s="128" t="s">
        <v>429</v>
      </c>
      <c r="D7" s="128" t="s">
        <v>430</v>
      </c>
      <c r="E7" s="128">
        <v>60</v>
      </c>
      <c r="F7" s="128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</row>
    <row r="8" spans="1:19" ht="25.5" x14ac:dyDescent="0.25">
      <c r="A8" s="364">
        <v>2</v>
      </c>
      <c r="B8" s="366" t="s">
        <v>431</v>
      </c>
      <c r="C8" s="128" t="s">
        <v>436</v>
      </c>
      <c r="D8" s="128" t="s">
        <v>437</v>
      </c>
      <c r="E8" s="128">
        <v>75</v>
      </c>
      <c r="F8" s="128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</row>
    <row r="9" spans="1:19" ht="25.5" x14ac:dyDescent="0.25">
      <c r="A9" s="364">
        <v>3</v>
      </c>
      <c r="B9" s="366" t="s">
        <v>432</v>
      </c>
      <c r="C9" s="128" t="s">
        <v>438</v>
      </c>
      <c r="D9" s="128" t="s">
        <v>439</v>
      </c>
      <c r="E9" s="128">
        <v>75</v>
      </c>
      <c r="F9" s="128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</row>
    <row r="10" spans="1:19" x14ac:dyDescent="0.25">
      <c r="A10" s="364">
        <v>4</v>
      </c>
      <c r="B10" s="367" t="s">
        <v>433</v>
      </c>
      <c r="C10" s="128" t="s">
        <v>440</v>
      </c>
      <c r="D10" s="128" t="s">
        <v>441</v>
      </c>
      <c r="E10" s="128">
        <v>60</v>
      </c>
      <c r="F10" s="128"/>
      <c r="G10" s="151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</row>
  </sheetData>
  <mergeCells count="6">
    <mergeCell ref="A1:S2"/>
    <mergeCell ref="A3:A5"/>
    <mergeCell ref="B3:B5"/>
    <mergeCell ref="C3:E4"/>
    <mergeCell ref="F3:G4"/>
    <mergeCell ref="H3:S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113" workbookViewId="0">
      <selection activeCell="B121" sqref="B121"/>
    </sheetView>
  </sheetViews>
  <sheetFormatPr defaultRowHeight="15" x14ac:dyDescent="0.2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</cols>
  <sheetData>
    <row r="1" spans="1:7" ht="42.75" customHeight="1" x14ac:dyDescent="0.25">
      <c r="A1" s="404" t="s">
        <v>464</v>
      </c>
      <c r="B1" s="404"/>
      <c r="C1" s="404"/>
      <c r="D1" s="404"/>
      <c r="E1" s="404"/>
      <c r="F1" s="404"/>
      <c r="G1" s="404"/>
    </row>
    <row r="2" spans="1:7" x14ac:dyDescent="0.25">
      <c r="A2" s="173"/>
    </row>
    <row r="3" spans="1:7" ht="51" x14ac:dyDescent="0.25">
      <c r="A3" s="174" t="s">
        <v>2</v>
      </c>
      <c r="B3" s="175" t="s">
        <v>281</v>
      </c>
      <c r="C3" s="175" t="s">
        <v>282</v>
      </c>
      <c r="D3" s="175" t="s">
        <v>36</v>
      </c>
      <c r="E3" s="175" t="s">
        <v>283</v>
      </c>
      <c r="F3" s="176" t="s">
        <v>286</v>
      </c>
      <c r="G3" s="176" t="s">
        <v>284</v>
      </c>
    </row>
    <row r="4" spans="1:7" ht="157.5" x14ac:dyDescent="0.25">
      <c r="A4" s="200">
        <v>1</v>
      </c>
      <c r="B4" s="200" t="s">
        <v>452</v>
      </c>
      <c r="C4" s="193" t="s">
        <v>294</v>
      </c>
      <c r="D4" s="202" t="s">
        <v>291</v>
      </c>
      <c r="E4" s="202">
        <v>0.9</v>
      </c>
      <c r="F4" s="204">
        <v>7465.41</v>
      </c>
      <c r="G4" s="204">
        <f>E4*F4</f>
        <v>6718.87</v>
      </c>
    </row>
    <row r="5" spans="1:7" ht="157.5" x14ac:dyDescent="0.25">
      <c r="A5" s="200">
        <v>2</v>
      </c>
      <c r="B5" s="200" t="s">
        <v>335</v>
      </c>
      <c r="C5" s="193" t="s">
        <v>297</v>
      </c>
      <c r="D5" s="202" t="s">
        <v>291</v>
      </c>
      <c r="E5" s="202">
        <v>0</v>
      </c>
      <c r="F5" s="204">
        <v>4599.59</v>
      </c>
      <c r="G5" s="204">
        <f>E5*F5</f>
        <v>0</v>
      </c>
    </row>
    <row r="6" spans="1:7" ht="25.5" x14ac:dyDescent="0.25">
      <c r="A6" s="179"/>
      <c r="B6" s="180" t="s">
        <v>287</v>
      </c>
      <c r="C6" s="177"/>
      <c r="D6" s="177"/>
      <c r="E6" s="177"/>
      <c r="F6" s="177"/>
      <c r="G6" s="177"/>
    </row>
    <row r="7" spans="1:7" ht="63" x14ac:dyDescent="0.25">
      <c r="A7" s="181"/>
      <c r="B7" s="189" t="s">
        <v>330</v>
      </c>
      <c r="C7" s="190" t="s">
        <v>292</v>
      </c>
      <c r="D7" s="191"/>
      <c r="E7" s="191">
        <v>0.93</v>
      </c>
      <c r="F7" s="191"/>
      <c r="G7" s="191"/>
    </row>
    <row r="8" spans="1:7" ht="47.25" x14ac:dyDescent="0.25">
      <c r="A8" s="182"/>
      <c r="B8" s="192" t="s">
        <v>285</v>
      </c>
      <c r="C8" s="190" t="s">
        <v>295</v>
      </c>
      <c r="D8" s="191"/>
      <c r="E8" s="191">
        <v>0.98</v>
      </c>
      <c r="F8" s="193"/>
      <c r="G8" s="191"/>
    </row>
    <row r="9" spans="1:7" ht="31.5" x14ac:dyDescent="0.25">
      <c r="A9" s="183"/>
      <c r="B9" s="192" t="s">
        <v>288</v>
      </c>
      <c r="C9" s="190" t="s">
        <v>293</v>
      </c>
      <c r="D9" s="194"/>
      <c r="E9" s="194">
        <v>1</v>
      </c>
      <c r="F9" s="193"/>
      <c r="G9" s="191"/>
    </row>
    <row r="10" spans="1:7" ht="15.75" x14ac:dyDescent="0.25">
      <c r="A10" s="184"/>
      <c r="B10" s="195" t="s">
        <v>289</v>
      </c>
      <c r="C10" s="196"/>
      <c r="D10" s="197"/>
      <c r="E10" s="197"/>
      <c r="F10" s="198"/>
      <c r="G10" s="199"/>
    </row>
    <row r="11" spans="1:7" ht="15.75" x14ac:dyDescent="0.25">
      <c r="A11" s="178"/>
      <c r="B11" s="200" t="s">
        <v>16</v>
      </c>
      <c r="C11" s="201"/>
      <c r="D11" s="201"/>
      <c r="E11" s="201"/>
      <c r="F11" s="202"/>
      <c r="G11" s="203">
        <f>(G4+G5)*E7*E8*E9</f>
        <v>6123.58</v>
      </c>
    </row>
    <row r="12" spans="1:7" ht="45" x14ac:dyDescent="0.25">
      <c r="A12" s="185"/>
      <c r="B12" s="186" t="s">
        <v>336</v>
      </c>
      <c r="C12" s="157" t="s">
        <v>331</v>
      </c>
      <c r="D12" s="164"/>
      <c r="E12" s="164"/>
      <c r="F12" s="164"/>
      <c r="G12" s="187">
        <f>G11*1.036*1.037*1.037</f>
        <v>6822.17</v>
      </c>
    </row>
    <row r="13" spans="1:7" x14ac:dyDescent="0.25">
      <c r="A13" s="188"/>
    </row>
    <row r="15" spans="1:7" ht="157.5" x14ac:dyDescent="0.25">
      <c r="A15" s="200">
        <v>3</v>
      </c>
      <c r="B15" s="200" t="s">
        <v>179</v>
      </c>
      <c r="C15" s="193" t="s">
        <v>298</v>
      </c>
      <c r="D15" s="202" t="s">
        <v>291</v>
      </c>
      <c r="E15" s="202">
        <v>0.25</v>
      </c>
      <c r="F15" s="204">
        <v>4456.13</v>
      </c>
      <c r="G15" s="204">
        <f>E15*F15</f>
        <v>1114.03</v>
      </c>
    </row>
    <row r="16" spans="1:7" ht="25.5" x14ac:dyDescent="0.25">
      <c r="A16" s="179"/>
      <c r="B16" s="180" t="s">
        <v>287</v>
      </c>
      <c r="C16" s="177"/>
      <c r="D16" s="177"/>
      <c r="E16" s="177"/>
      <c r="F16" s="177"/>
      <c r="G16" s="177"/>
    </row>
    <row r="17" spans="1:7" ht="31.5" x14ac:dyDescent="0.25">
      <c r="A17" s="181"/>
      <c r="B17" s="189" t="s">
        <v>299</v>
      </c>
      <c r="C17" s="190" t="s">
        <v>300</v>
      </c>
      <c r="D17" s="191"/>
      <c r="E17" s="191">
        <v>1.72</v>
      </c>
      <c r="F17" s="191"/>
      <c r="G17" s="191"/>
    </row>
    <row r="18" spans="1:7" ht="63" x14ac:dyDescent="0.25">
      <c r="A18" s="181"/>
      <c r="B18" s="189" t="s">
        <v>330</v>
      </c>
      <c r="C18" s="190" t="s">
        <v>292</v>
      </c>
      <c r="D18" s="191"/>
      <c r="E18" s="191">
        <v>0.9</v>
      </c>
      <c r="F18" s="191"/>
      <c r="G18" s="191"/>
    </row>
    <row r="19" spans="1:7" ht="47.25" x14ac:dyDescent="0.25">
      <c r="A19" s="182"/>
      <c r="B19" s="192" t="s">
        <v>285</v>
      </c>
      <c r="C19" s="190" t="s">
        <v>295</v>
      </c>
      <c r="D19" s="191"/>
      <c r="E19" s="191">
        <v>0.99</v>
      </c>
      <c r="F19" s="193"/>
      <c r="G19" s="191"/>
    </row>
    <row r="20" spans="1:7" ht="31.5" x14ac:dyDescent="0.25">
      <c r="A20" s="183"/>
      <c r="B20" s="192" t="s">
        <v>288</v>
      </c>
      <c r="C20" s="190" t="s">
        <v>293</v>
      </c>
      <c r="D20" s="194"/>
      <c r="E20" s="194">
        <v>1.01</v>
      </c>
      <c r="F20" s="193"/>
      <c r="G20" s="191"/>
    </row>
    <row r="21" spans="1:7" ht="15.75" x14ac:dyDescent="0.25">
      <c r="A21" s="184"/>
      <c r="B21" s="195" t="s">
        <v>289</v>
      </c>
      <c r="C21" s="196"/>
      <c r="D21" s="197"/>
      <c r="E21" s="197"/>
      <c r="F21" s="198"/>
      <c r="G21" s="199"/>
    </row>
    <row r="22" spans="1:7" ht="15.75" x14ac:dyDescent="0.25">
      <c r="A22" s="178"/>
      <c r="B22" s="200" t="s">
        <v>16</v>
      </c>
      <c r="C22" s="201"/>
      <c r="D22" s="201"/>
      <c r="E22" s="201"/>
      <c r="F22" s="202"/>
      <c r="G22" s="203">
        <f>(G15)*E17*E18*E19*E20</f>
        <v>1724.35</v>
      </c>
    </row>
    <row r="23" spans="1:7" ht="45" x14ac:dyDescent="0.25">
      <c r="A23" s="185"/>
      <c r="B23" s="186" t="s">
        <v>336</v>
      </c>
      <c r="C23" s="157" t="s">
        <v>331</v>
      </c>
      <c r="D23" s="164"/>
      <c r="E23" s="164"/>
      <c r="F23" s="164"/>
      <c r="G23" s="187">
        <f>G22*1.036*1.037*1.037</f>
        <v>1921.07</v>
      </c>
    </row>
    <row r="26" spans="1:7" ht="94.5" x14ac:dyDescent="0.25">
      <c r="A26" s="200">
        <v>4</v>
      </c>
      <c r="B26" s="200" t="s">
        <v>316</v>
      </c>
      <c r="C26" s="193" t="s">
        <v>337</v>
      </c>
      <c r="D26" s="202" t="s">
        <v>317</v>
      </c>
      <c r="E26" s="202">
        <v>11</v>
      </c>
      <c r="F26" s="204">
        <v>81.61</v>
      </c>
      <c r="G26" s="204">
        <f>E26*F26</f>
        <v>897.71</v>
      </c>
    </row>
    <row r="27" spans="1:7" ht="25.5" x14ac:dyDescent="0.25">
      <c r="A27" s="179"/>
      <c r="B27" s="180" t="s">
        <v>287</v>
      </c>
      <c r="C27" s="177"/>
      <c r="D27" s="177"/>
      <c r="E27" s="177"/>
      <c r="F27" s="177"/>
      <c r="G27" s="177"/>
    </row>
    <row r="28" spans="1:7" ht="63" x14ac:dyDescent="0.25">
      <c r="A28" s="181"/>
      <c r="B28" s="189" t="s">
        <v>330</v>
      </c>
      <c r="C28" s="190" t="s">
        <v>318</v>
      </c>
      <c r="D28" s="191"/>
      <c r="E28" s="191">
        <v>0.9</v>
      </c>
      <c r="F28" s="191"/>
      <c r="G28" s="191"/>
    </row>
    <row r="29" spans="1:7" ht="47.25" x14ac:dyDescent="0.25">
      <c r="A29" s="182"/>
      <c r="B29" s="192" t="s">
        <v>285</v>
      </c>
      <c r="C29" s="190"/>
      <c r="D29" s="191"/>
      <c r="E29" s="191">
        <v>1</v>
      </c>
      <c r="F29" s="193"/>
      <c r="G29" s="191"/>
    </row>
    <row r="30" spans="1:7" ht="31.5" x14ac:dyDescent="0.25">
      <c r="A30" s="183"/>
      <c r="B30" s="192" t="s">
        <v>288</v>
      </c>
      <c r="C30" s="190" t="s">
        <v>319</v>
      </c>
      <c r="D30" s="194"/>
      <c r="E30" s="194">
        <v>1</v>
      </c>
      <c r="F30" s="193"/>
      <c r="G30" s="191"/>
    </row>
    <row r="31" spans="1:7" ht="15.75" x14ac:dyDescent="0.25">
      <c r="A31" s="184"/>
      <c r="B31" s="195" t="s">
        <v>289</v>
      </c>
      <c r="C31" s="196"/>
      <c r="D31" s="197"/>
      <c r="E31" s="197"/>
      <c r="F31" s="198"/>
      <c r="G31" s="199"/>
    </row>
    <row r="32" spans="1:7" ht="15.75" x14ac:dyDescent="0.25">
      <c r="A32" s="178"/>
      <c r="B32" s="200" t="s">
        <v>16</v>
      </c>
      <c r="C32" s="201"/>
      <c r="D32" s="201"/>
      <c r="E32" s="201"/>
      <c r="F32" s="202"/>
      <c r="G32" s="203">
        <f>(G26)*E28*E29*E30</f>
        <v>807.94</v>
      </c>
    </row>
    <row r="33" spans="1:7" ht="45" x14ac:dyDescent="0.25">
      <c r="A33" s="185"/>
      <c r="B33" s="186" t="s">
        <v>336</v>
      </c>
      <c r="C33" s="157" t="s">
        <v>331</v>
      </c>
      <c r="D33" s="164"/>
      <c r="E33" s="164"/>
      <c r="F33" s="164"/>
      <c r="G33" s="187">
        <f>G32*1.036*1.037*1.037</f>
        <v>900.11</v>
      </c>
    </row>
    <row r="35" spans="1:7" ht="78.75" x14ac:dyDescent="0.25">
      <c r="A35" s="200">
        <v>5</v>
      </c>
      <c r="B35" s="200" t="s">
        <v>388</v>
      </c>
      <c r="C35" s="193" t="s">
        <v>320</v>
      </c>
      <c r="D35" s="202" t="s">
        <v>317</v>
      </c>
      <c r="E35" s="202">
        <v>55</v>
      </c>
      <c r="F35" s="204">
        <v>295.25</v>
      </c>
      <c r="G35" s="204">
        <f>E35*F35</f>
        <v>16238.75</v>
      </c>
    </row>
    <row r="36" spans="1:7" ht="25.5" x14ac:dyDescent="0.25">
      <c r="A36" s="179"/>
      <c r="B36" s="180" t="s">
        <v>287</v>
      </c>
      <c r="C36" s="177"/>
      <c r="D36" s="177"/>
      <c r="E36" s="177"/>
      <c r="F36" s="177"/>
      <c r="G36" s="177"/>
    </row>
    <row r="37" spans="1:7" ht="63" x14ac:dyDescent="0.25">
      <c r="A37" s="181"/>
      <c r="B37" s="189" t="s">
        <v>330</v>
      </c>
      <c r="C37" s="190" t="s">
        <v>321</v>
      </c>
      <c r="D37" s="191"/>
      <c r="E37" s="191">
        <v>0.9</v>
      </c>
      <c r="F37" s="191"/>
      <c r="G37" s="191"/>
    </row>
    <row r="38" spans="1:7" ht="47.25" x14ac:dyDescent="0.25">
      <c r="A38" s="182"/>
      <c r="B38" s="192" t="s">
        <v>285</v>
      </c>
      <c r="C38" s="190" t="s">
        <v>322</v>
      </c>
      <c r="D38" s="191"/>
      <c r="E38" s="191">
        <v>0.99</v>
      </c>
      <c r="F38" s="193"/>
      <c r="G38" s="191"/>
    </row>
    <row r="39" spans="1:7" ht="31.5" x14ac:dyDescent="0.25">
      <c r="A39" s="183"/>
      <c r="B39" s="192" t="s">
        <v>288</v>
      </c>
      <c r="C39" s="190" t="s">
        <v>315</v>
      </c>
      <c r="D39" s="194"/>
      <c r="E39" s="194">
        <v>1</v>
      </c>
      <c r="F39" s="193"/>
      <c r="G39" s="191"/>
    </row>
    <row r="40" spans="1:7" ht="15.75" x14ac:dyDescent="0.25">
      <c r="A40" s="184"/>
      <c r="B40" s="195" t="s">
        <v>289</v>
      </c>
      <c r="C40" s="196"/>
      <c r="D40" s="197"/>
      <c r="E40" s="197"/>
      <c r="F40" s="198"/>
      <c r="G40" s="199"/>
    </row>
    <row r="41" spans="1:7" ht="15.75" x14ac:dyDescent="0.25">
      <c r="A41" s="178"/>
      <c r="B41" s="200" t="s">
        <v>16</v>
      </c>
      <c r="C41" s="201"/>
      <c r="D41" s="201"/>
      <c r="E41" s="201"/>
      <c r="F41" s="202"/>
      <c r="G41" s="203">
        <f>(G35)*E37*E38*E39</f>
        <v>14468.73</v>
      </c>
    </row>
    <row r="42" spans="1:7" ht="45" x14ac:dyDescent="0.25">
      <c r="A42" s="185"/>
      <c r="B42" s="186" t="s">
        <v>336</v>
      </c>
      <c r="C42" s="157" t="s">
        <v>331</v>
      </c>
      <c r="D42" s="164"/>
      <c r="E42" s="164"/>
      <c r="F42" s="164"/>
      <c r="G42" s="187">
        <f>G41*1.036*1.037*1.037</f>
        <v>16119.36</v>
      </c>
    </row>
    <row r="44" spans="1:7" ht="126" x14ac:dyDescent="0.25">
      <c r="A44" s="200">
        <v>6</v>
      </c>
      <c r="B44" s="200" t="s">
        <v>390</v>
      </c>
      <c r="C44" s="193" t="s">
        <v>389</v>
      </c>
      <c r="D44" s="202" t="s">
        <v>317</v>
      </c>
      <c r="E44" s="202">
        <v>0</v>
      </c>
      <c r="F44" s="204">
        <v>361.66</v>
      </c>
      <c r="G44" s="204">
        <f>E44*F44</f>
        <v>0</v>
      </c>
    </row>
    <row r="45" spans="1:7" ht="25.5" x14ac:dyDescent="0.25">
      <c r="A45" s="179"/>
      <c r="B45" s="180" t="s">
        <v>287</v>
      </c>
      <c r="C45" s="177"/>
      <c r="D45" s="177"/>
      <c r="E45" s="177"/>
      <c r="F45" s="177"/>
      <c r="G45" s="177"/>
    </row>
    <row r="46" spans="1:7" ht="63" x14ac:dyDescent="0.25">
      <c r="A46" s="181"/>
      <c r="B46" s="189" t="s">
        <v>330</v>
      </c>
      <c r="C46" s="190" t="s">
        <v>321</v>
      </c>
      <c r="D46" s="191"/>
      <c r="E46" s="191">
        <v>0.9</v>
      </c>
      <c r="F46" s="191"/>
      <c r="G46" s="191"/>
    </row>
    <row r="47" spans="1:7" ht="47.25" x14ac:dyDescent="0.25">
      <c r="A47" s="182"/>
      <c r="B47" s="192" t="s">
        <v>285</v>
      </c>
      <c r="C47" s="190" t="s">
        <v>322</v>
      </c>
      <c r="D47" s="191"/>
      <c r="E47" s="191">
        <v>0.99</v>
      </c>
      <c r="F47" s="193"/>
      <c r="G47" s="191"/>
    </row>
    <row r="48" spans="1:7" ht="31.5" x14ac:dyDescent="0.25">
      <c r="A48" s="183"/>
      <c r="B48" s="192" t="s">
        <v>288</v>
      </c>
      <c r="C48" s="190" t="s">
        <v>315</v>
      </c>
      <c r="D48" s="194"/>
      <c r="E48" s="194">
        <v>1</v>
      </c>
      <c r="F48" s="193"/>
      <c r="G48" s="191"/>
    </row>
    <row r="49" spans="1:7" ht="15.75" x14ac:dyDescent="0.25">
      <c r="A49" s="184"/>
      <c r="B49" s="195" t="s">
        <v>289</v>
      </c>
      <c r="C49" s="196"/>
      <c r="D49" s="197"/>
      <c r="E49" s="197"/>
      <c r="F49" s="198"/>
      <c r="G49" s="199"/>
    </row>
    <row r="50" spans="1:7" ht="15.75" x14ac:dyDescent="0.25">
      <c r="A50" s="178"/>
      <c r="B50" s="200" t="s">
        <v>16</v>
      </c>
      <c r="C50" s="201"/>
      <c r="D50" s="201"/>
      <c r="E50" s="201"/>
      <c r="F50" s="202"/>
      <c r="G50" s="203">
        <f>(G44)*E46*E47*E48</f>
        <v>0</v>
      </c>
    </row>
    <row r="51" spans="1:7" ht="45" x14ac:dyDescent="0.25">
      <c r="A51" s="185"/>
      <c r="B51" s="186" t="s">
        <v>336</v>
      </c>
      <c r="C51" s="157" t="s">
        <v>331</v>
      </c>
      <c r="D51" s="164"/>
      <c r="E51" s="164"/>
      <c r="F51" s="164"/>
      <c r="G51" s="187">
        <f>G50*1.036*1.037*1.037</f>
        <v>0</v>
      </c>
    </row>
    <row r="53" spans="1:7" ht="78.75" x14ac:dyDescent="0.25">
      <c r="A53" s="200">
        <v>7</v>
      </c>
      <c r="B53" s="200" t="s">
        <v>391</v>
      </c>
      <c r="C53" s="193" t="s">
        <v>473</v>
      </c>
      <c r="D53" s="202" t="s">
        <v>317</v>
      </c>
      <c r="E53" s="202">
        <v>66</v>
      </c>
      <c r="F53" s="204">
        <v>134.32</v>
      </c>
      <c r="G53" s="204">
        <f>E53*F53</f>
        <v>8865.1200000000008</v>
      </c>
    </row>
    <row r="54" spans="1:7" ht="25.5" x14ac:dyDescent="0.25">
      <c r="A54" s="179"/>
      <c r="B54" s="180" t="s">
        <v>287</v>
      </c>
      <c r="C54" s="177"/>
      <c r="D54" s="177"/>
      <c r="E54" s="177"/>
      <c r="F54" s="177"/>
      <c r="G54" s="177"/>
    </row>
    <row r="55" spans="1:7" ht="63" x14ac:dyDescent="0.25">
      <c r="A55" s="181"/>
      <c r="B55" s="189" t="s">
        <v>330</v>
      </c>
      <c r="C55" s="190" t="s">
        <v>321</v>
      </c>
      <c r="D55" s="191"/>
      <c r="E55" s="191">
        <v>0.9</v>
      </c>
      <c r="F55" s="191"/>
      <c r="G55" s="191"/>
    </row>
    <row r="56" spans="1:7" ht="47.25" x14ac:dyDescent="0.25">
      <c r="A56" s="182"/>
      <c r="B56" s="192" t="s">
        <v>285</v>
      </c>
      <c r="C56" s="190" t="s">
        <v>322</v>
      </c>
      <c r="D56" s="191"/>
      <c r="E56" s="191">
        <v>0.99</v>
      </c>
      <c r="F56" s="193"/>
      <c r="G56" s="191"/>
    </row>
    <row r="57" spans="1:7" ht="31.5" x14ac:dyDescent="0.25">
      <c r="A57" s="183"/>
      <c r="B57" s="192" t="s">
        <v>288</v>
      </c>
      <c r="C57" s="190" t="s">
        <v>315</v>
      </c>
      <c r="D57" s="194"/>
      <c r="E57" s="194">
        <v>1</v>
      </c>
      <c r="F57" s="193"/>
      <c r="G57" s="191"/>
    </row>
    <row r="58" spans="1:7" ht="15.75" x14ac:dyDescent="0.25">
      <c r="A58" s="184"/>
      <c r="B58" s="195" t="s">
        <v>289</v>
      </c>
      <c r="C58" s="196"/>
      <c r="D58" s="197"/>
      <c r="E58" s="197"/>
      <c r="F58" s="198"/>
      <c r="G58" s="199"/>
    </row>
    <row r="59" spans="1:7" ht="15.75" x14ac:dyDescent="0.25">
      <c r="A59" s="178"/>
      <c r="B59" s="200" t="s">
        <v>16</v>
      </c>
      <c r="C59" s="201"/>
      <c r="D59" s="201"/>
      <c r="E59" s="201"/>
      <c r="F59" s="202"/>
      <c r="G59" s="203">
        <f>(G53)*E55*E56*E57</f>
        <v>7898.82</v>
      </c>
    </row>
    <row r="60" spans="1:7" ht="45" x14ac:dyDescent="0.25">
      <c r="A60" s="185"/>
      <c r="B60" s="186" t="s">
        <v>336</v>
      </c>
      <c r="C60" s="157" t="s">
        <v>331</v>
      </c>
      <c r="D60" s="164"/>
      <c r="E60" s="164"/>
      <c r="F60" s="164"/>
      <c r="G60" s="187">
        <f>G59*1.036*1.037*1.037</f>
        <v>8799.94</v>
      </c>
    </row>
    <row r="62" spans="1:7" ht="126" x14ac:dyDescent="0.25">
      <c r="A62" s="358">
        <v>8</v>
      </c>
      <c r="B62" s="358" t="s">
        <v>392</v>
      </c>
      <c r="C62" s="198" t="s">
        <v>394</v>
      </c>
      <c r="D62" s="202" t="s">
        <v>393</v>
      </c>
      <c r="E62" s="202">
        <v>0.35</v>
      </c>
      <c r="F62" s="204">
        <v>53537.66</v>
      </c>
      <c r="G62" s="204">
        <f>E62*F62</f>
        <v>18738.18</v>
      </c>
    </row>
    <row r="63" spans="1:7" ht="63" x14ac:dyDescent="0.25">
      <c r="A63" s="358">
        <v>9</v>
      </c>
      <c r="B63" s="358" t="s">
        <v>395</v>
      </c>
      <c r="C63" s="198" t="s">
        <v>396</v>
      </c>
      <c r="D63" s="202" t="s">
        <v>393</v>
      </c>
      <c r="E63" s="202">
        <v>0.35</v>
      </c>
      <c r="F63" s="204">
        <v>2643.35</v>
      </c>
      <c r="G63" s="204">
        <f>E63*F63</f>
        <v>925.17</v>
      </c>
    </row>
    <row r="64" spans="1:7" ht="15.75" x14ac:dyDescent="0.25">
      <c r="A64" s="358"/>
      <c r="B64" s="358" t="s">
        <v>16</v>
      </c>
      <c r="C64" s="198"/>
      <c r="D64" s="202"/>
      <c r="E64" s="202"/>
      <c r="F64" s="204"/>
      <c r="G64" s="204">
        <f>G62+G63</f>
        <v>19663.349999999999</v>
      </c>
    </row>
    <row r="65" spans="1:7" ht="25.5" x14ac:dyDescent="0.25">
      <c r="A65" s="356"/>
      <c r="B65" s="357" t="s">
        <v>287</v>
      </c>
      <c r="C65" s="177"/>
      <c r="D65" s="177"/>
      <c r="E65" s="177"/>
      <c r="F65" s="177"/>
      <c r="G65" s="177"/>
    </row>
    <row r="66" spans="1:7" ht="47.25" x14ac:dyDescent="0.25">
      <c r="A66" s="181"/>
      <c r="B66" s="189" t="s">
        <v>397</v>
      </c>
      <c r="C66" s="190" t="s">
        <v>398</v>
      </c>
      <c r="D66" s="191"/>
      <c r="E66" s="191">
        <v>1.07</v>
      </c>
      <c r="F66" s="191"/>
      <c r="G66" s="191"/>
    </row>
    <row r="67" spans="1:7" ht="47.25" x14ac:dyDescent="0.25">
      <c r="A67" s="181"/>
      <c r="B67" s="189" t="s">
        <v>399</v>
      </c>
      <c r="C67" s="190" t="s">
        <v>400</v>
      </c>
      <c r="D67" s="191"/>
      <c r="E67" s="191">
        <v>1.03</v>
      </c>
      <c r="F67" s="191"/>
      <c r="G67" s="191"/>
    </row>
    <row r="68" spans="1:7" ht="63" x14ac:dyDescent="0.25">
      <c r="A68" s="181"/>
      <c r="B68" s="189" t="s">
        <v>330</v>
      </c>
      <c r="C68" s="190" t="s">
        <v>401</v>
      </c>
      <c r="D68" s="191"/>
      <c r="E68" s="191">
        <v>0.9</v>
      </c>
      <c r="F68" s="191"/>
      <c r="G68" s="191"/>
    </row>
    <row r="69" spans="1:7" ht="47.25" x14ac:dyDescent="0.25">
      <c r="A69" s="182"/>
      <c r="B69" s="192" t="s">
        <v>285</v>
      </c>
      <c r="C69" s="190" t="s">
        <v>402</v>
      </c>
      <c r="D69" s="191"/>
      <c r="E69" s="191">
        <v>0.98</v>
      </c>
      <c r="F69" s="193"/>
      <c r="G69" s="191"/>
    </row>
    <row r="70" spans="1:7" ht="31.5" x14ac:dyDescent="0.25">
      <c r="A70" s="183"/>
      <c r="B70" s="192" t="s">
        <v>288</v>
      </c>
      <c r="C70" s="190" t="s">
        <v>315</v>
      </c>
      <c r="D70" s="194"/>
      <c r="E70" s="194">
        <v>1</v>
      </c>
      <c r="F70" s="193"/>
      <c r="G70" s="191"/>
    </row>
    <row r="71" spans="1:7" ht="15.75" x14ac:dyDescent="0.25">
      <c r="A71" s="184"/>
      <c r="B71" s="195" t="s">
        <v>289</v>
      </c>
      <c r="C71" s="196"/>
      <c r="D71" s="197"/>
      <c r="E71" s="197"/>
      <c r="F71" s="198"/>
      <c r="G71" s="199"/>
    </row>
    <row r="72" spans="1:7" ht="15.75" x14ac:dyDescent="0.25">
      <c r="A72" s="178"/>
      <c r="B72" s="200" t="s">
        <v>16</v>
      </c>
      <c r="C72" s="201"/>
      <c r="D72" s="201"/>
      <c r="E72" s="201"/>
      <c r="F72" s="202"/>
      <c r="G72" s="203">
        <f>(G64)*E66*E67*E68*E69*E70</f>
        <v>19113.8</v>
      </c>
    </row>
    <row r="73" spans="1:7" ht="45" x14ac:dyDescent="0.25">
      <c r="A73" s="185"/>
      <c r="B73" s="186" t="s">
        <v>336</v>
      </c>
      <c r="C73" s="157" t="s">
        <v>331</v>
      </c>
      <c r="D73" s="164"/>
      <c r="E73" s="164"/>
      <c r="F73" s="164"/>
      <c r="G73" s="187">
        <f>G72*1.036*1.037*1.037</f>
        <v>21294.35</v>
      </c>
    </row>
    <row r="75" spans="1:7" ht="126" x14ac:dyDescent="0.25">
      <c r="A75" s="358">
        <v>10</v>
      </c>
      <c r="B75" s="358" t="s">
        <v>404</v>
      </c>
      <c r="C75" s="198" t="s">
        <v>403</v>
      </c>
      <c r="D75" s="202" t="s">
        <v>349</v>
      </c>
      <c r="E75" s="202">
        <v>450</v>
      </c>
      <c r="F75" s="204">
        <v>6.22</v>
      </c>
      <c r="G75" s="204">
        <f>E75*F75</f>
        <v>2799</v>
      </c>
    </row>
    <row r="76" spans="1:7" ht="25.5" x14ac:dyDescent="0.25">
      <c r="A76" s="356"/>
      <c r="B76" s="357" t="s">
        <v>287</v>
      </c>
      <c r="C76" s="177"/>
      <c r="D76" s="177"/>
      <c r="E76" s="177"/>
      <c r="F76" s="177"/>
      <c r="G76" s="177"/>
    </row>
    <row r="77" spans="1:7" ht="47.25" x14ac:dyDescent="0.25">
      <c r="A77" s="181"/>
      <c r="B77" s="189" t="s">
        <v>397</v>
      </c>
      <c r="C77" s="190" t="s">
        <v>398</v>
      </c>
      <c r="D77" s="191"/>
      <c r="E77" s="191">
        <v>1.07</v>
      </c>
      <c r="F77" s="191"/>
      <c r="G77" s="191"/>
    </row>
    <row r="78" spans="1:7" ht="63" x14ac:dyDescent="0.25">
      <c r="A78" s="181"/>
      <c r="B78" s="189" t="s">
        <v>330</v>
      </c>
      <c r="C78" s="190" t="s">
        <v>401</v>
      </c>
      <c r="D78" s="191"/>
      <c r="E78" s="191">
        <v>0.9</v>
      </c>
      <c r="F78" s="191"/>
      <c r="G78" s="191"/>
    </row>
    <row r="79" spans="1:7" ht="47.25" x14ac:dyDescent="0.25">
      <c r="A79" s="182"/>
      <c r="B79" s="192" t="s">
        <v>285</v>
      </c>
      <c r="C79" s="190" t="s">
        <v>402</v>
      </c>
      <c r="D79" s="191"/>
      <c r="E79" s="191">
        <v>0.99</v>
      </c>
      <c r="F79" s="193"/>
      <c r="G79" s="191"/>
    </row>
    <row r="80" spans="1:7" ht="31.5" x14ac:dyDescent="0.25">
      <c r="A80" s="183"/>
      <c r="B80" s="192" t="s">
        <v>288</v>
      </c>
      <c r="C80" s="190" t="s">
        <v>315</v>
      </c>
      <c r="D80" s="194"/>
      <c r="E80" s="194">
        <v>1</v>
      </c>
      <c r="F80" s="193"/>
      <c r="G80" s="191"/>
    </row>
    <row r="81" spans="1:7" ht="15.75" x14ac:dyDescent="0.25">
      <c r="A81" s="184"/>
      <c r="B81" s="195" t="s">
        <v>289</v>
      </c>
      <c r="C81" s="196"/>
      <c r="D81" s="197"/>
      <c r="E81" s="197"/>
      <c r="F81" s="198"/>
      <c r="G81" s="199"/>
    </row>
    <row r="82" spans="1:7" ht="15.75" x14ac:dyDescent="0.25">
      <c r="A82" s="178"/>
      <c r="B82" s="200" t="s">
        <v>16</v>
      </c>
      <c r="C82" s="201"/>
      <c r="D82" s="201"/>
      <c r="E82" s="201"/>
      <c r="F82" s="202"/>
      <c r="G82" s="203">
        <f>(G75)*E77*E78*E79*E80</f>
        <v>2668.48</v>
      </c>
    </row>
    <row r="83" spans="1:7" ht="45" x14ac:dyDescent="0.25">
      <c r="A83" s="185"/>
      <c r="B83" s="186" t="s">
        <v>336</v>
      </c>
      <c r="C83" s="157" t="s">
        <v>331</v>
      </c>
      <c r="D83" s="164"/>
      <c r="E83" s="164"/>
      <c r="F83" s="164"/>
      <c r="G83" s="187">
        <f>G82*1.036*1.037*1.037</f>
        <v>2972.91</v>
      </c>
    </row>
    <row r="85" spans="1:7" ht="126" x14ac:dyDescent="0.25">
      <c r="A85" s="200">
        <v>11</v>
      </c>
      <c r="B85" s="200" t="s">
        <v>405</v>
      </c>
      <c r="C85" s="193" t="s">
        <v>406</v>
      </c>
      <c r="D85" s="202" t="s">
        <v>317</v>
      </c>
      <c r="E85" s="202">
        <v>55</v>
      </c>
      <c r="F85" s="204">
        <v>69.569999999999993</v>
      </c>
      <c r="G85" s="204">
        <f>E85*F85</f>
        <v>3826.35</v>
      </c>
    </row>
    <row r="86" spans="1:7" ht="25.5" x14ac:dyDescent="0.25">
      <c r="A86" s="179"/>
      <c r="B86" s="180" t="s">
        <v>287</v>
      </c>
      <c r="C86" s="177"/>
      <c r="D86" s="177"/>
      <c r="E86" s="177"/>
      <c r="F86" s="177"/>
      <c r="G86" s="177"/>
    </row>
    <row r="87" spans="1:7" ht="63" x14ac:dyDescent="0.25">
      <c r="A87" s="181"/>
      <c r="B87" s="189" t="s">
        <v>330</v>
      </c>
      <c r="C87" s="190" t="s">
        <v>321</v>
      </c>
      <c r="D87" s="191"/>
      <c r="E87" s="191">
        <v>0.9</v>
      </c>
      <c r="F87" s="191"/>
      <c r="G87" s="191"/>
    </row>
    <row r="88" spans="1:7" ht="47.25" x14ac:dyDescent="0.25">
      <c r="A88" s="182"/>
      <c r="B88" s="192" t="s">
        <v>285</v>
      </c>
      <c r="C88" s="190" t="s">
        <v>322</v>
      </c>
      <c r="D88" s="191"/>
      <c r="E88" s="191">
        <v>0.99</v>
      </c>
      <c r="F88" s="193"/>
      <c r="G88" s="191"/>
    </row>
    <row r="89" spans="1:7" ht="31.5" x14ac:dyDescent="0.25">
      <c r="A89" s="183"/>
      <c r="B89" s="192" t="s">
        <v>288</v>
      </c>
      <c r="C89" s="190" t="s">
        <v>315</v>
      </c>
      <c r="D89" s="194"/>
      <c r="E89" s="194">
        <v>1</v>
      </c>
      <c r="F89" s="193"/>
      <c r="G89" s="191"/>
    </row>
    <row r="90" spans="1:7" ht="15.75" x14ac:dyDescent="0.25">
      <c r="A90" s="184"/>
      <c r="B90" s="195" t="s">
        <v>289</v>
      </c>
      <c r="C90" s="196"/>
      <c r="D90" s="197"/>
      <c r="E90" s="197"/>
      <c r="F90" s="198"/>
      <c r="G90" s="199"/>
    </row>
    <row r="91" spans="1:7" ht="15.75" x14ac:dyDescent="0.25">
      <c r="A91" s="178"/>
      <c r="B91" s="200" t="s">
        <v>16</v>
      </c>
      <c r="C91" s="201"/>
      <c r="D91" s="201"/>
      <c r="E91" s="201"/>
      <c r="F91" s="202"/>
      <c r="G91" s="203">
        <f>(G85)*E87*E88*E89</f>
        <v>3409.28</v>
      </c>
    </row>
    <row r="92" spans="1:7" ht="45" x14ac:dyDescent="0.25">
      <c r="A92" s="185"/>
      <c r="B92" s="186" t="s">
        <v>336</v>
      </c>
      <c r="C92" s="157" t="s">
        <v>331</v>
      </c>
      <c r="D92" s="164"/>
      <c r="E92" s="164"/>
      <c r="F92" s="164"/>
      <c r="G92" s="187">
        <f>G91*1.036*1.037*1.037</f>
        <v>3798.22</v>
      </c>
    </row>
    <row r="94" spans="1:7" ht="78.75" x14ac:dyDescent="0.25">
      <c r="A94" s="200">
        <v>12</v>
      </c>
      <c r="B94" s="200" t="s">
        <v>411</v>
      </c>
      <c r="C94" s="193" t="s">
        <v>409</v>
      </c>
      <c r="D94" s="202" t="s">
        <v>410</v>
      </c>
      <c r="E94" s="202">
        <f>12*2.45*53</f>
        <v>1558.2</v>
      </c>
      <c r="F94" s="204">
        <v>18.29</v>
      </c>
      <c r="G94" s="204">
        <f>E94*F94</f>
        <v>28499.48</v>
      </c>
    </row>
    <row r="95" spans="1:7" ht="25.5" x14ac:dyDescent="0.25">
      <c r="A95" s="179"/>
      <c r="B95" s="180" t="s">
        <v>287</v>
      </c>
      <c r="C95" s="177"/>
      <c r="D95" s="177"/>
      <c r="E95" s="177"/>
      <c r="F95" s="177"/>
      <c r="G95" s="177"/>
    </row>
    <row r="96" spans="1:7" ht="63" x14ac:dyDescent="0.25">
      <c r="A96" s="181"/>
      <c r="B96" s="189" t="s">
        <v>330</v>
      </c>
      <c r="C96" s="190" t="s">
        <v>407</v>
      </c>
      <c r="D96" s="191"/>
      <c r="E96" s="191">
        <v>0.69</v>
      </c>
      <c r="F96" s="191"/>
      <c r="G96" s="191"/>
    </row>
    <row r="97" spans="1:7" ht="47.25" x14ac:dyDescent="0.25">
      <c r="A97" s="182"/>
      <c r="B97" s="192" t="s">
        <v>285</v>
      </c>
      <c r="C97" s="190" t="s">
        <v>398</v>
      </c>
      <c r="D97" s="191"/>
      <c r="E97" s="191">
        <v>0.99</v>
      </c>
      <c r="F97" s="193"/>
      <c r="G97" s="191"/>
    </row>
    <row r="98" spans="1:7" ht="31.5" x14ac:dyDescent="0.25">
      <c r="A98" s="183"/>
      <c r="B98" s="192" t="s">
        <v>288</v>
      </c>
      <c r="C98" s="190" t="s">
        <v>408</v>
      </c>
      <c r="D98" s="194"/>
      <c r="E98" s="194">
        <v>1.03</v>
      </c>
      <c r="F98" s="193"/>
      <c r="G98" s="191"/>
    </row>
    <row r="99" spans="1:7" ht="15.75" x14ac:dyDescent="0.25">
      <c r="A99" s="184"/>
      <c r="B99" s="195" t="s">
        <v>289</v>
      </c>
      <c r="C99" s="196"/>
      <c r="D99" s="197"/>
      <c r="E99" s="197"/>
      <c r="F99" s="198"/>
      <c r="G99" s="199"/>
    </row>
    <row r="100" spans="1:7" ht="15.75" x14ac:dyDescent="0.25">
      <c r="A100" s="178"/>
      <c r="B100" s="200" t="s">
        <v>16</v>
      </c>
      <c r="C100" s="201"/>
      <c r="D100" s="201"/>
      <c r="E100" s="201"/>
      <c r="F100" s="202"/>
      <c r="G100" s="203">
        <f>(G94)*E96*E97*E98</f>
        <v>20052.03</v>
      </c>
    </row>
    <row r="101" spans="1:7" ht="45" x14ac:dyDescent="0.25">
      <c r="A101" s="185"/>
      <c r="B101" s="186" t="s">
        <v>336</v>
      </c>
      <c r="C101" s="157" t="s">
        <v>331</v>
      </c>
      <c r="D101" s="164"/>
      <c r="E101" s="164"/>
      <c r="F101" s="164"/>
      <c r="G101" s="187">
        <f>G100*1.036*1.037*1.037</f>
        <v>22339.61</v>
      </c>
    </row>
    <row r="103" spans="1:7" ht="94.5" x14ac:dyDescent="0.25">
      <c r="A103" s="358">
        <v>13</v>
      </c>
      <c r="B103" s="358" t="s">
        <v>453</v>
      </c>
      <c r="C103" s="198" t="s">
        <v>454</v>
      </c>
      <c r="D103" s="202" t="s">
        <v>455</v>
      </c>
      <c r="E103" s="202">
        <v>150</v>
      </c>
      <c r="F103" s="204">
        <v>345.75</v>
      </c>
      <c r="G103" s="204">
        <f>E103*F103</f>
        <v>51862.5</v>
      </c>
    </row>
    <row r="104" spans="1:7" ht="25.5" x14ac:dyDescent="0.25">
      <c r="A104" s="356"/>
      <c r="B104" s="357" t="s">
        <v>287</v>
      </c>
      <c r="C104" s="177"/>
      <c r="D104" s="177"/>
      <c r="E104" s="177"/>
      <c r="F104" s="177"/>
      <c r="G104" s="177"/>
    </row>
    <row r="105" spans="1:7" ht="47.25" x14ac:dyDescent="0.25">
      <c r="A105" s="181"/>
      <c r="B105" s="189" t="s">
        <v>397</v>
      </c>
      <c r="C105" s="190" t="s">
        <v>398</v>
      </c>
      <c r="D105" s="191"/>
      <c r="E105" s="191">
        <v>1.07</v>
      </c>
      <c r="F105" s="191"/>
      <c r="G105" s="191"/>
    </row>
    <row r="106" spans="1:7" ht="63" x14ac:dyDescent="0.25">
      <c r="A106" s="181"/>
      <c r="B106" s="189" t="s">
        <v>330</v>
      </c>
      <c r="C106" s="190" t="s">
        <v>401</v>
      </c>
      <c r="D106" s="191"/>
      <c r="E106" s="191">
        <v>0.9</v>
      </c>
      <c r="F106" s="191"/>
      <c r="G106" s="191"/>
    </row>
    <row r="107" spans="1:7" ht="47.25" x14ac:dyDescent="0.25">
      <c r="A107" s="182"/>
      <c r="B107" s="192" t="s">
        <v>285</v>
      </c>
      <c r="C107" s="190" t="s">
        <v>402</v>
      </c>
      <c r="D107" s="191"/>
      <c r="E107" s="191">
        <v>0.98</v>
      </c>
      <c r="F107" s="193"/>
      <c r="G107" s="191"/>
    </row>
    <row r="108" spans="1:7" ht="31.5" x14ac:dyDescent="0.25">
      <c r="A108" s="183"/>
      <c r="B108" s="192" t="s">
        <v>288</v>
      </c>
      <c r="C108" s="190" t="s">
        <v>315</v>
      </c>
      <c r="D108" s="194"/>
      <c r="E108" s="194">
        <v>1</v>
      </c>
      <c r="F108" s="193"/>
      <c r="G108" s="191"/>
    </row>
    <row r="109" spans="1:7" ht="15.75" x14ac:dyDescent="0.25">
      <c r="A109" s="184"/>
      <c r="B109" s="195" t="s">
        <v>289</v>
      </c>
      <c r="C109" s="196"/>
      <c r="D109" s="197"/>
      <c r="E109" s="197"/>
      <c r="F109" s="198"/>
      <c r="G109" s="199"/>
    </row>
    <row r="110" spans="1:7" ht="15.75" x14ac:dyDescent="0.25">
      <c r="A110" s="178"/>
      <c r="B110" s="200" t="s">
        <v>16</v>
      </c>
      <c r="C110" s="201"/>
      <c r="D110" s="201"/>
      <c r="E110" s="201"/>
      <c r="F110" s="202"/>
      <c r="G110" s="203">
        <f>(G103)*E105*E106*E107*E108</f>
        <v>48944.72</v>
      </c>
    </row>
    <row r="111" spans="1:7" ht="45" x14ac:dyDescent="0.25">
      <c r="A111" s="185"/>
      <c r="B111" s="186" t="s">
        <v>336</v>
      </c>
      <c r="C111" s="157" t="s">
        <v>331</v>
      </c>
      <c r="D111" s="164"/>
      <c r="E111" s="164"/>
      <c r="F111" s="164"/>
      <c r="G111" s="187">
        <f>G110*1.036*1.037*1.037</f>
        <v>54528.45</v>
      </c>
    </row>
    <row r="113" spans="1:7" ht="63" x14ac:dyDescent="0.25">
      <c r="A113" s="200">
        <v>12</v>
      </c>
      <c r="B113" s="200" t="s">
        <v>486</v>
      </c>
      <c r="C113" s="193" t="s">
        <v>457</v>
      </c>
      <c r="D113" s="202" t="s">
        <v>166</v>
      </c>
      <c r="E113" s="202">
        <v>240</v>
      </c>
      <c r="F113" s="204">
        <v>31.2</v>
      </c>
      <c r="G113" s="204">
        <f>E113*F113</f>
        <v>7488</v>
      </c>
    </row>
    <row r="114" spans="1:7" ht="25.5" x14ac:dyDescent="0.25">
      <c r="A114" s="179"/>
      <c r="B114" s="180" t="s">
        <v>287</v>
      </c>
      <c r="C114" s="177"/>
      <c r="D114" s="177"/>
      <c r="E114" s="177"/>
      <c r="F114" s="177"/>
      <c r="G114" s="177"/>
    </row>
    <row r="115" spans="1:7" ht="63" x14ac:dyDescent="0.25">
      <c r="A115" s="181"/>
      <c r="B115" s="189" t="s">
        <v>330</v>
      </c>
      <c r="C115" s="190" t="s">
        <v>407</v>
      </c>
      <c r="D115" s="191"/>
      <c r="E115" s="191">
        <v>0.69</v>
      </c>
      <c r="F115" s="191"/>
      <c r="G115" s="191"/>
    </row>
    <row r="116" spans="1:7" ht="47.25" x14ac:dyDescent="0.25">
      <c r="A116" s="182"/>
      <c r="B116" s="192" t="s">
        <v>285</v>
      </c>
      <c r="C116" s="190" t="s">
        <v>398</v>
      </c>
      <c r="D116" s="191"/>
      <c r="E116" s="191">
        <v>0.99</v>
      </c>
      <c r="F116" s="193"/>
      <c r="G116" s="191"/>
    </row>
    <row r="117" spans="1:7" ht="31.5" x14ac:dyDescent="0.25">
      <c r="A117" s="183"/>
      <c r="B117" s="192" t="s">
        <v>288</v>
      </c>
      <c r="C117" s="190" t="s">
        <v>408</v>
      </c>
      <c r="D117" s="194"/>
      <c r="E117" s="194">
        <v>1.03</v>
      </c>
      <c r="F117" s="193"/>
      <c r="G117" s="191"/>
    </row>
    <row r="118" spans="1:7" ht="15.75" x14ac:dyDescent="0.25">
      <c r="A118" s="184"/>
      <c r="B118" s="195" t="s">
        <v>289</v>
      </c>
      <c r="C118" s="196"/>
      <c r="D118" s="197"/>
      <c r="E118" s="197"/>
      <c r="F118" s="198"/>
      <c r="G118" s="199"/>
    </row>
    <row r="119" spans="1:7" ht="15.75" x14ac:dyDescent="0.25">
      <c r="A119" s="178"/>
      <c r="B119" s="200" t="s">
        <v>16</v>
      </c>
      <c r="C119" s="201"/>
      <c r="D119" s="201"/>
      <c r="E119" s="201"/>
      <c r="F119" s="202"/>
      <c r="G119" s="203">
        <f>(G113)*E115*E116*E117</f>
        <v>5268.5</v>
      </c>
    </row>
    <row r="120" spans="1:7" ht="45" x14ac:dyDescent="0.25">
      <c r="A120" s="185"/>
      <c r="B120" s="186" t="s">
        <v>336</v>
      </c>
      <c r="C120" s="157" t="s">
        <v>331</v>
      </c>
      <c r="D120" s="164"/>
      <c r="E120" s="164"/>
      <c r="F120" s="164"/>
      <c r="G120" s="187">
        <f>G119*1.036*1.037*1.037</f>
        <v>5869.54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1" workbookViewId="0">
      <selection activeCell="M18" sqref="M18"/>
    </sheetView>
  </sheetViews>
  <sheetFormatPr defaultRowHeight="15" x14ac:dyDescent="0.25"/>
  <cols>
    <col min="2" max="2" width="30.7109375" customWidth="1"/>
    <col min="3" max="3" width="13.85546875" customWidth="1"/>
    <col min="4" max="4" width="11" customWidth="1"/>
    <col min="5" max="5" width="29.42578125" customWidth="1"/>
    <col min="6" max="6" width="12.140625" customWidth="1"/>
    <col min="7" max="7" width="12.7109375" customWidth="1"/>
    <col min="8" max="8" width="11.28515625" customWidth="1"/>
    <col min="9" max="9" width="12.42578125" customWidth="1"/>
    <col min="10" max="10" width="17.85546875" customWidth="1"/>
    <col min="11" max="11" width="15" customWidth="1"/>
    <col min="12" max="12" width="12.42578125" customWidth="1"/>
    <col min="13" max="13" width="13.85546875" customWidth="1"/>
    <col min="14" max="14" width="12.42578125" bestFit="1" customWidth="1"/>
    <col min="15" max="15" width="13.42578125" customWidth="1"/>
  </cols>
  <sheetData>
    <row r="1" spans="1:15" ht="30.75" customHeight="1" x14ac:dyDescent="0.25">
      <c r="A1" s="405" t="s">
        <v>463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3" spans="1:15" x14ac:dyDescent="0.25">
      <c r="A3" s="407" t="s">
        <v>202</v>
      </c>
      <c r="B3" s="407" t="s">
        <v>203</v>
      </c>
      <c r="C3" s="412" t="s">
        <v>214</v>
      </c>
      <c r="D3" s="408" t="s">
        <v>213</v>
      </c>
      <c r="E3" s="409" t="s">
        <v>204</v>
      </c>
      <c r="F3" s="410"/>
      <c r="G3" s="410"/>
      <c r="H3" s="410"/>
      <c r="I3" s="411"/>
      <c r="J3" s="412" t="s">
        <v>205</v>
      </c>
      <c r="K3" s="412" t="s">
        <v>333</v>
      </c>
      <c r="L3" s="412" t="s">
        <v>206</v>
      </c>
      <c r="M3" s="412" t="s">
        <v>207</v>
      </c>
    </row>
    <row r="4" spans="1:15" ht="99.75" customHeight="1" x14ac:dyDescent="0.25">
      <c r="A4" s="407"/>
      <c r="B4" s="407"/>
      <c r="C4" s="413"/>
      <c r="D4" s="408"/>
      <c r="E4" s="150" t="s">
        <v>208</v>
      </c>
      <c r="F4" s="118" t="s">
        <v>209</v>
      </c>
      <c r="G4" s="151" t="s">
        <v>210</v>
      </c>
      <c r="H4" s="151" t="s">
        <v>213</v>
      </c>
      <c r="I4" s="151" t="s">
        <v>215</v>
      </c>
      <c r="J4" s="413"/>
      <c r="K4" s="413"/>
      <c r="L4" s="413"/>
      <c r="M4" s="413"/>
    </row>
    <row r="5" spans="1:15" x14ac:dyDescent="0.25">
      <c r="A5" s="368">
        <v>1</v>
      </c>
      <c r="B5" s="209" t="s">
        <v>456</v>
      </c>
      <c r="C5" s="369" t="s">
        <v>100</v>
      </c>
      <c r="D5" s="368">
        <v>150</v>
      </c>
      <c r="E5" s="369" t="s">
        <v>290</v>
      </c>
      <c r="F5" s="369"/>
      <c r="G5" s="152"/>
      <c r="H5" s="368"/>
      <c r="I5" s="152"/>
      <c r="J5" s="152"/>
      <c r="K5" s="153"/>
      <c r="L5" s="354">
        <f>УНЦС!G111</f>
        <v>54528.45</v>
      </c>
      <c r="M5" s="152">
        <f t="shared" ref="M5" si="0">L5*1.2</f>
        <v>65434.14</v>
      </c>
      <c r="N5" s="100"/>
      <c r="O5" s="172"/>
    </row>
    <row r="6" spans="1:15" x14ac:dyDescent="0.25">
      <c r="A6" s="168">
        <v>2</v>
      </c>
      <c r="B6" s="209" t="s">
        <v>388</v>
      </c>
      <c r="C6" s="169" t="s">
        <v>166</v>
      </c>
      <c r="D6" s="168">
        <v>5500</v>
      </c>
      <c r="E6" s="169" t="s">
        <v>290</v>
      </c>
      <c r="F6" s="169"/>
      <c r="G6" s="152"/>
      <c r="H6" s="168"/>
      <c r="I6" s="152"/>
      <c r="J6" s="152"/>
      <c r="K6" s="153"/>
      <c r="L6" s="354">
        <f>УНЦС!G42</f>
        <v>16119.36</v>
      </c>
      <c r="M6" s="152">
        <f t="shared" ref="M6:M7" si="1">L6*1.2</f>
        <v>19343.23</v>
      </c>
      <c r="N6" s="100"/>
      <c r="O6" s="172"/>
    </row>
    <row r="7" spans="1:15" x14ac:dyDescent="0.25">
      <c r="A7" s="368">
        <v>3</v>
      </c>
      <c r="B7" s="151" t="s">
        <v>474</v>
      </c>
      <c r="C7" s="211" t="s">
        <v>166</v>
      </c>
      <c r="D7" s="210">
        <v>1100</v>
      </c>
      <c r="E7" s="211" t="s">
        <v>290</v>
      </c>
      <c r="F7" s="211"/>
      <c r="G7" s="152"/>
      <c r="H7" s="210"/>
      <c r="I7" s="152"/>
      <c r="J7" s="152"/>
      <c r="K7" s="153"/>
      <c r="L7" s="152">
        <f>УНЦС!G33</f>
        <v>900.11</v>
      </c>
      <c r="M7" s="152">
        <f t="shared" si="1"/>
        <v>1080.1300000000001</v>
      </c>
      <c r="N7" s="100"/>
      <c r="O7" s="172"/>
    </row>
    <row r="8" spans="1:15" ht="30" x14ac:dyDescent="0.25">
      <c r="A8" s="368">
        <v>4</v>
      </c>
      <c r="B8" s="151" t="s">
        <v>451</v>
      </c>
      <c r="C8" s="169" t="s">
        <v>100</v>
      </c>
      <c r="D8" s="168">
        <v>900</v>
      </c>
      <c r="E8" s="169" t="s">
        <v>290</v>
      </c>
      <c r="F8" s="169"/>
      <c r="G8" s="152"/>
      <c r="H8" s="168"/>
      <c r="I8" s="152"/>
      <c r="J8" s="152"/>
      <c r="K8" s="153"/>
      <c r="L8" s="152">
        <f>УНЦС!G12</f>
        <v>6822.17</v>
      </c>
      <c r="M8" s="152">
        <f t="shared" ref="M8:M17" si="2">L8*1.2</f>
        <v>8186.6</v>
      </c>
      <c r="N8" s="100"/>
      <c r="O8" s="172"/>
    </row>
    <row r="9" spans="1:15" ht="30" x14ac:dyDescent="0.25">
      <c r="A9" s="368">
        <v>5</v>
      </c>
      <c r="B9" s="151" t="s">
        <v>334</v>
      </c>
      <c r="C9" s="171" t="s">
        <v>100</v>
      </c>
      <c r="D9" s="170">
        <v>250</v>
      </c>
      <c r="E9" s="171" t="s">
        <v>290</v>
      </c>
      <c r="F9" s="171"/>
      <c r="G9" s="152"/>
      <c r="H9" s="170"/>
      <c r="I9" s="152"/>
      <c r="J9" s="152"/>
      <c r="K9" s="153"/>
      <c r="L9" s="152">
        <f>УНЦС!G23</f>
        <v>1921.07</v>
      </c>
      <c r="M9" s="152">
        <f t="shared" si="2"/>
        <v>2305.2800000000002</v>
      </c>
      <c r="N9" s="100"/>
      <c r="O9" s="172"/>
    </row>
    <row r="10" spans="1:15" x14ac:dyDescent="0.25">
      <c r="A10" s="368">
        <v>6</v>
      </c>
      <c r="B10" s="151" t="s">
        <v>391</v>
      </c>
      <c r="C10" s="347" t="s">
        <v>166</v>
      </c>
      <c r="D10" s="346">
        <v>6600</v>
      </c>
      <c r="E10" s="347" t="s">
        <v>290</v>
      </c>
      <c r="F10" s="347"/>
      <c r="G10" s="152"/>
      <c r="H10" s="346"/>
      <c r="I10" s="152"/>
      <c r="J10" s="152"/>
      <c r="K10" s="153"/>
      <c r="L10" s="152">
        <f>УНЦС!G60</f>
        <v>8799.94</v>
      </c>
      <c r="M10" s="152">
        <f t="shared" ref="M10" si="3">L10*1.2</f>
        <v>10559.93</v>
      </c>
      <c r="N10" s="100"/>
      <c r="O10" s="172"/>
    </row>
    <row r="11" spans="1:15" x14ac:dyDescent="0.25">
      <c r="A11" s="368">
        <v>7</v>
      </c>
      <c r="B11" s="151" t="s">
        <v>405</v>
      </c>
      <c r="C11" s="347" t="s">
        <v>166</v>
      </c>
      <c r="D11" s="346">
        <v>5500</v>
      </c>
      <c r="E11" s="347" t="s">
        <v>290</v>
      </c>
      <c r="F11" s="347"/>
      <c r="G11" s="152"/>
      <c r="H11" s="346"/>
      <c r="I11" s="152"/>
      <c r="J11" s="152"/>
      <c r="K11" s="153"/>
      <c r="L11" s="152">
        <f>УНЦС!G92</f>
        <v>3798.22</v>
      </c>
      <c r="M11" s="152">
        <f t="shared" ref="M11" si="4">L11*1.2</f>
        <v>4557.8599999999997</v>
      </c>
      <c r="N11" s="100"/>
      <c r="O11" s="172"/>
    </row>
    <row r="12" spans="1:15" x14ac:dyDescent="0.25">
      <c r="A12" s="368">
        <v>8</v>
      </c>
      <c r="B12" s="151" t="s">
        <v>487</v>
      </c>
      <c r="C12" s="347" t="s">
        <v>410</v>
      </c>
      <c r="D12" s="346">
        <f>3*4*2.45</f>
        <v>29.4</v>
      </c>
      <c r="E12" s="347" t="s">
        <v>290</v>
      </c>
      <c r="F12" s="347"/>
      <c r="G12" s="152"/>
      <c r="H12" s="346"/>
      <c r="I12" s="152"/>
      <c r="J12" s="152"/>
      <c r="K12" s="153"/>
      <c r="L12" s="152">
        <f>УНЦС!G101</f>
        <v>22339.61</v>
      </c>
      <c r="M12" s="152">
        <f t="shared" ref="M12" si="5">L12*1.2</f>
        <v>26807.53</v>
      </c>
      <c r="N12" s="100"/>
      <c r="O12" s="172"/>
    </row>
    <row r="13" spans="1:15" ht="23.25" customHeight="1" x14ac:dyDescent="0.25">
      <c r="A13" s="368">
        <v>9</v>
      </c>
      <c r="B13" s="151" t="s">
        <v>458</v>
      </c>
      <c r="C13" s="369" t="s">
        <v>166</v>
      </c>
      <c r="D13" s="368">
        <v>240</v>
      </c>
      <c r="E13" s="369" t="s">
        <v>290</v>
      </c>
      <c r="F13" s="369"/>
      <c r="G13" s="152"/>
      <c r="H13" s="368"/>
      <c r="I13" s="152"/>
      <c r="J13" s="152"/>
      <c r="K13" s="153"/>
      <c r="L13" s="152">
        <f>УНЦС!G120</f>
        <v>5869.54</v>
      </c>
      <c r="M13" s="152">
        <f t="shared" ref="M13:M14" si="6">L13*1.2</f>
        <v>7043.45</v>
      </c>
      <c r="N13" s="100"/>
      <c r="O13" s="172"/>
    </row>
    <row r="14" spans="1:15" ht="30" x14ac:dyDescent="0.25">
      <c r="A14" s="368">
        <v>10</v>
      </c>
      <c r="B14" s="155" t="s">
        <v>459</v>
      </c>
      <c r="C14" s="368" t="s">
        <v>216</v>
      </c>
      <c r="D14" s="368">
        <v>0</v>
      </c>
      <c r="E14" s="369" t="s">
        <v>460</v>
      </c>
      <c r="F14" s="369" t="s">
        <v>218</v>
      </c>
      <c r="G14" s="152">
        <v>61779.82</v>
      </c>
      <c r="H14" s="368">
        <v>580</v>
      </c>
      <c r="I14" s="152">
        <f>G14/H14</f>
        <v>106.52</v>
      </c>
      <c r="J14" s="152">
        <f>I14*D14</f>
        <v>0</v>
      </c>
      <c r="K14" s="153">
        <f>(1+0.074/2)*1.036*1.037*1.037</f>
        <v>1.155</v>
      </c>
      <c r="L14" s="152">
        <f>J14*K14</f>
        <v>0</v>
      </c>
      <c r="M14" s="152">
        <f t="shared" si="6"/>
        <v>0</v>
      </c>
    </row>
    <row r="15" spans="1:15" ht="105" x14ac:dyDescent="0.25">
      <c r="A15" s="368">
        <v>11</v>
      </c>
      <c r="B15" s="155" t="s">
        <v>182</v>
      </c>
      <c r="C15" s="150" t="s">
        <v>216</v>
      </c>
      <c r="D15" s="150">
        <v>500</v>
      </c>
      <c r="E15" s="118" t="s">
        <v>219</v>
      </c>
      <c r="F15" s="118" t="s">
        <v>212</v>
      </c>
      <c r="G15" s="152">
        <f>10041.08*1.124*6.15</f>
        <v>69409.97</v>
      </c>
      <c r="H15" s="150">
        <v>10708</v>
      </c>
      <c r="I15" s="152">
        <f>G15/H15</f>
        <v>6.48</v>
      </c>
      <c r="J15" s="152">
        <f>I15*D15</f>
        <v>3240</v>
      </c>
      <c r="K15" s="153">
        <f>(1+0.07/2)*1.037*1.053*1.074*1.036*1.037*1.037</f>
        <v>1.3520000000000001</v>
      </c>
      <c r="L15" s="152">
        <f>J15*K15</f>
        <v>4380.4799999999996</v>
      </c>
      <c r="M15" s="152">
        <f t="shared" si="2"/>
        <v>5256.58</v>
      </c>
    </row>
    <row r="16" spans="1:15" ht="165" x14ac:dyDescent="0.25">
      <c r="A16" s="368">
        <v>12</v>
      </c>
      <c r="B16" s="155" t="s">
        <v>176</v>
      </c>
      <c r="C16" s="150" t="s">
        <v>216</v>
      </c>
      <c r="D16" s="150">
        <v>0</v>
      </c>
      <c r="E16" s="118" t="s">
        <v>217</v>
      </c>
      <c r="F16" s="118" t="s">
        <v>218</v>
      </c>
      <c r="G16" s="152">
        <f>1386.62*7*1.26</f>
        <v>12229.99</v>
      </c>
      <c r="H16" s="150">
        <v>8165</v>
      </c>
      <c r="I16" s="152">
        <f>G16/H16</f>
        <v>1.5</v>
      </c>
      <c r="J16" s="152">
        <f>I16*D16</f>
        <v>0</v>
      </c>
      <c r="K16" s="153">
        <f>(1+0.074/2)*1.036*1.037*1.037</f>
        <v>1.155</v>
      </c>
      <c r="L16" s="152">
        <f>J16*K16</f>
        <v>0</v>
      </c>
      <c r="M16" s="152">
        <f>L16*1.2</f>
        <v>0</v>
      </c>
    </row>
    <row r="17" spans="1:15" ht="165" x14ac:dyDescent="0.25">
      <c r="A17" s="368">
        <v>13</v>
      </c>
      <c r="B17" s="155" t="s">
        <v>220</v>
      </c>
      <c r="C17" s="150" t="s">
        <v>216</v>
      </c>
      <c r="D17" s="150">
        <v>0</v>
      </c>
      <c r="E17" s="118" t="s">
        <v>221</v>
      </c>
      <c r="F17" s="118" t="s">
        <v>218</v>
      </c>
      <c r="G17" s="152">
        <f>5470.25*1.26</f>
        <v>6892.52</v>
      </c>
      <c r="H17" s="150">
        <v>3092.9</v>
      </c>
      <c r="I17" s="152">
        <f>G17/H17</f>
        <v>2.23</v>
      </c>
      <c r="J17" s="152">
        <f>I17*D17</f>
        <v>0</v>
      </c>
      <c r="K17" s="153">
        <f>(1+0.074/2)*1.036*1.037*1.037</f>
        <v>1.155</v>
      </c>
      <c r="L17" s="152">
        <f>J17*K17</f>
        <v>0</v>
      </c>
      <c r="M17" s="152">
        <f t="shared" si="2"/>
        <v>0</v>
      </c>
    </row>
    <row r="18" spans="1:15" ht="15.75" x14ac:dyDescent="0.25">
      <c r="A18" s="415" t="s">
        <v>211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7"/>
      <c r="L18" s="154">
        <f>SUM(L5:L17)</f>
        <v>125478.95</v>
      </c>
      <c r="M18" s="154">
        <f>SUM(M5:M17)</f>
        <v>150574.73000000001</v>
      </c>
      <c r="N18" s="355"/>
      <c r="O18" s="337"/>
    </row>
    <row r="20" spans="1:15" ht="33" customHeight="1" x14ac:dyDescent="0.25">
      <c r="A20" s="414" t="s">
        <v>270</v>
      </c>
      <c r="B20" s="414"/>
      <c r="C20" s="414"/>
      <c r="D20" s="414"/>
      <c r="E20" s="414"/>
      <c r="F20" s="414"/>
      <c r="G20" s="414"/>
      <c r="H20" s="414"/>
      <c r="I20" s="414"/>
      <c r="J20" s="414"/>
      <c r="K20" s="163" t="s">
        <v>268</v>
      </c>
      <c r="L20" s="163">
        <v>1.07</v>
      </c>
      <c r="M20" s="115"/>
    </row>
    <row r="21" spans="1:15" ht="18.75" customHeight="1" x14ac:dyDescent="0.25">
      <c r="A21" s="414" t="s">
        <v>271</v>
      </c>
      <c r="B21" s="414"/>
      <c r="C21" s="414"/>
      <c r="D21" s="414"/>
      <c r="E21" s="414"/>
      <c r="F21" s="414"/>
      <c r="G21" s="414"/>
      <c r="H21" s="414"/>
      <c r="I21" s="414"/>
      <c r="J21" s="414"/>
      <c r="K21" s="163" t="s">
        <v>269</v>
      </c>
      <c r="L21" s="163">
        <v>1.0369999999999999</v>
      </c>
    </row>
    <row r="22" spans="1:15" ht="15" customHeight="1" x14ac:dyDescent="0.25">
      <c r="A22" s="418" t="s">
        <v>272</v>
      </c>
      <c r="B22" s="418"/>
      <c r="C22" s="418"/>
      <c r="D22" s="418"/>
      <c r="E22" s="418"/>
      <c r="F22" s="418"/>
      <c r="G22" s="418"/>
      <c r="H22" s="418"/>
      <c r="I22" s="418"/>
      <c r="J22" s="419"/>
      <c r="K22" s="163" t="s">
        <v>273</v>
      </c>
      <c r="L22" s="163">
        <v>1.0529999999999999</v>
      </c>
    </row>
    <row r="23" spans="1:15" x14ac:dyDescent="0.25">
      <c r="A23" s="420"/>
      <c r="B23" s="420"/>
      <c r="C23" s="420"/>
      <c r="D23" s="420"/>
      <c r="E23" s="420"/>
      <c r="F23" s="420"/>
      <c r="G23" s="420"/>
      <c r="H23" s="420"/>
      <c r="I23" s="420"/>
      <c r="J23" s="421"/>
      <c r="K23" s="163" t="s">
        <v>274</v>
      </c>
      <c r="L23" s="164">
        <v>1.0740000000000001</v>
      </c>
    </row>
    <row r="24" spans="1:15" x14ac:dyDescent="0.25">
      <c r="A24" s="420"/>
      <c r="B24" s="420"/>
      <c r="C24" s="420"/>
      <c r="D24" s="420"/>
      <c r="E24" s="420"/>
      <c r="F24" s="420"/>
      <c r="G24" s="420"/>
      <c r="H24" s="420"/>
      <c r="I24" s="420"/>
      <c r="J24" s="421"/>
      <c r="K24" s="163" t="s">
        <v>275</v>
      </c>
      <c r="L24" s="164">
        <v>1.036</v>
      </c>
    </row>
    <row r="25" spans="1:15" x14ac:dyDescent="0.25">
      <c r="A25" s="422"/>
      <c r="B25" s="422"/>
      <c r="C25" s="422"/>
      <c r="D25" s="422"/>
      <c r="E25" s="422"/>
      <c r="F25" s="422"/>
      <c r="G25" s="422"/>
      <c r="H25" s="422"/>
      <c r="I25" s="422"/>
      <c r="J25" s="423"/>
      <c r="K25" s="163" t="s">
        <v>279</v>
      </c>
      <c r="L25" s="164">
        <v>1.0369999999999999</v>
      </c>
    </row>
    <row r="26" spans="1:15" x14ac:dyDescent="0.25">
      <c r="K26" s="163" t="s">
        <v>332</v>
      </c>
      <c r="L26" s="164">
        <v>1.0369999999999999</v>
      </c>
    </row>
  </sheetData>
  <mergeCells count="14">
    <mergeCell ref="A20:J20"/>
    <mergeCell ref="A21:J21"/>
    <mergeCell ref="A18:K18"/>
    <mergeCell ref="C3:C4"/>
    <mergeCell ref="A22:J25"/>
    <mergeCell ref="A1:N1"/>
    <mergeCell ref="A3:A4"/>
    <mergeCell ref="B3:B4"/>
    <mergeCell ref="D3:D4"/>
    <mergeCell ref="E3:I3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Normal="100" zoomScaleSheetLayoutView="100" workbookViewId="0">
      <selection activeCell="A19" sqref="A19"/>
    </sheetView>
  </sheetViews>
  <sheetFormatPr defaultRowHeight="15" x14ac:dyDescent="0.25"/>
  <cols>
    <col min="1" max="1" width="30.28515625" customWidth="1"/>
    <col min="2" max="2" width="30.140625" customWidth="1"/>
    <col min="3" max="3" width="39.140625" customWidth="1"/>
  </cols>
  <sheetData>
    <row r="1" spans="1:3" x14ac:dyDescent="0.25">
      <c r="A1" s="427" t="s">
        <v>114</v>
      </c>
      <c r="B1" s="427"/>
      <c r="C1" s="427"/>
    </row>
    <row r="2" spans="1:3" x14ac:dyDescent="0.25">
      <c r="A2" s="427" t="s">
        <v>115</v>
      </c>
      <c r="B2" s="427"/>
      <c r="C2" s="427"/>
    </row>
    <row r="3" spans="1:3" ht="31.15" customHeight="1" x14ac:dyDescent="0.25">
      <c r="A3" s="428" t="str">
        <f>НМЦ!A3</f>
        <v>Всесезонный туристско-рекреационный комплекс «Эльбрус», Кабардино-Балкарская Республика. Благоустройство центральной части Поляны Азау 1 этап</v>
      </c>
      <c r="B3" s="428"/>
      <c r="C3" s="428"/>
    </row>
    <row r="4" spans="1:3" ht="129" customHeight="1" x14ac:dyDescent="0.25">
      <c r="A4" s="429" t="s">
        <v>434</v>
      </c>
      <c r="B4" s="429"/>
      <c r="C4" s="429"/>
    </row>
    <row r="5" spans="1:3" ht="23.25" customHeight="1" x14ac:dyDescent="0.25">
      <c r="A5" s="426" t="s">
        <v>126</v>
      </c>
      <c r="B5" s="426"/>
      <c r="C5" s="426"/>
    </row>
    <row r="6" spans="1:3" ht="70.5" customHeight="1" x14ac:dyDescent="0.25">
      <c r="A6" s="424" t="s">
        <v>475</v>
      </c>
      <c r="B6" s="424"/>
      <c r="C6" s="424"/>
    </row>
    <row r="7" spans="1:3" ht="26.25" customHeight="1" x14ac:dyDescent="0.25">
      <c r="A7" s="430" t="s">
        <v>138</v>
      </c>
      <c r="B7" s="430"/>
      <c r="C7" s="430"/>
    </row>
    <row r="8" spans="1:3" ht="28.5" customHeight="1" x14ac:dyDescent="0.25">
      <c r="A8" s="425" t="s">
        <v>495</v>
      </c>
      <c r="B8" s="425"/>
      <c r="C8" s="425"/>
    </row>
    <row r="9" spans="1:3" ht="49.5" customHeight="1" x14ac:dyDescent="0.25">
      <c r="A9" s="431" t="s">
        <v>265</v>
      </c>
      <c r="B9" s="431"/>
      <c r="C9" s="431"/>
    </row>
    <row r="10" spans="1:3" ht="20.25" customHeight="1" x14ac:dyDescent="0.25">
      <c r="A10" s="432" t="s">
        <v>127</v>
      </c>
      <c r="B10" s="432"/>
      <c r="C10" s="432"/>
    </row>
    <row r="11" spans="1:3" ht="70.5" customHeight="1" x14ac:dyDescent="0.25">
      <c r="A11" s="424" t="s">
        <v>264</v>
      </c>
      <c r="B11" s="424"/>
      <c r="C11" s="424"/>
    </row>
    <row r="12" spans="1:3" ht="34.5" customHeight="1" x14ac:dyDescent="0.25">
      <c r="A12" s="436" t="s">
        <v>137</v>
      </c>
      <c r="B12" s="436"/>
      <c r="C12" s="436"/>
    </row>
    <row r="13" spans="1:3" ht="31.5" customHeight="1" x14ac:dyDescent="0.25">
      <c r="A13" s="425" t="s">
        <v>495</v>
      </c>
      <c r="B13" s="425"/>
      <c r="C13" s="425"/>
    </row>
    <row r="14" spans="1:3" ht="40.5" customHeight="1" x14ac:dyDescent="0.25">
      <c r="A14" s="431" t="s">
        <v>265</v>
      </c>
      <c r="B14" s="431"/>
      <c r="C14" s="431"/>
    </row>
    <row r="15" spans="1:3" ht="19.5" customHeight="1" x14ac:dyDescent="0.25">
      <c r="A15" s="431" t="s">
        <v>266</v>
      </c>
      <c r="B15" s="431"/>
      <c r="C15" s="431"/>
    </row>
    <row r="16" spans="1:3" ht="18.75" customHeight="1" x14ac:dyDescent="0.25">
      <c r="A16" s="431" t="s">
        <v>267</v>
      </c>
      <c r="B16" s="431"/>
      <c r="C16" s="431"/>
    </row>
    <row r="17" spans="1:3" ht="29.25" customHeight="1" x14ac:dyDescent="0.25">
      <c r="A17" s="217" t="s">
        <v>123</v>
      </c>
      <c r="B17" s="218"/>
      <c r="C17" s="217"/>
    </row>
    <row r="18" spans="1:3" x14ac:dyDescent="0.25">
      <c r="A18" s="434"/>
      <c r="B18" s="435"/>
      <c r="C18" s="435"/>
    </row>
    <row r="19" spans="1:3" x14ac:dyDescent="0.25">
      <c r="A19" s="112"/>
      <c r="B19" s="113">
        <f>НМЦ!E17</f>
        <v>17355444</v>
      </c>
      <c r="C19" s="112" t="s">
        <v>116</v>
      </c>
    </row>
    <row r="20" spans="1:3" ht="46.5" customHeight="1" x14ac:dyDescent="0.25">
      <c r="A20" s="433" t="s">
        <v>125</v>
      </c>
      <c r="B20" s="433"/>
      <c r="C20" s="111" t="s">
        <v>124</v>
      </c>
    </row>
  </sheetData>
  <mergeCells count="18">
    <mergeCell ref="A9:C9"/>
    <mergeCell ref="A10:C10"/>
    <mergeCell ref="A11:C11"/>
    <mergeCell ref="A20:B20"/>
    <mergeCell ref="A18:C18"/>
    <mergeCell ref="A13:C13"/>
    <mergeCell ref="A12:C12"/>
    <mergeCell ref="A14:C14"/>
    <mergeCell ref="A15:C15"/>
    <mergeCell ref="A16:C16"/>
    <mergeCell ref="A6:C6"/>
    <mergeCell ref="A8:C8"/>
    <mergeCell ref="A5:C5"/>
    <mergeCell ref="A1:C1"/>
    <mergeCell ref="A2:C2"/>
    <mergeCell ref="A3:C3"/>
    <mergeCell ref="A4:C4"/>
    <mergeCell ref="A7:C7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100" workbookViewId="0">
      <selection activeCell="Q33" sqref="Q33"/>
    </sheetView>
  </sheetViews>
  <sheetFormatPr defaultRowHeight="15" x14ac:dyDescent="0.25"/>
  <cols>
    <col min="7" max="7" width="15.28515625" customWidth="1"/>
  </cols>
  <sheetData>
    <row r="1" spans="1:16" ht="15.75" x14ac:dyDescent="0.25">
      <c r="A1" s="437" t="s">
        <v>245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162"/>
    </row>
    <row r="2" spans="1:16" ht="15.75" x14ac:dyDescent="0.25">
      <c r="A2" s="437" t="s">
        <v>246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162"/>
    </row>
    <row r="3" spans="1:16" ht="15.75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62"/>
    </row>
    <row r="4" spans="1:16" ht="34.5" customHeight="1" x14ac:dyDescent="0.25">
      <c r="A4" s="360" t="s">
        <v>247</v>
      </c>
      <c r="B4" s="219"/>
      <c r="C4" s="441" t="str">
        <f>НМЦК!B2</f>
        <v>Всесезонный туристско-рекреационный комплекс «Эльбрус», Кабардино-Балкарская Республика. Благоустройство центральной части Поляны Азау 1 этап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219"/>
      <c r="P4" s="162"/>
    </row>
    <row r="5" spans="1:16" ht="15.75" x14ac:dyDescent="0.2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162"/>
    </row>
    <row r="6" spans="1:16" ht="15.75" x14ac:dyDescent="0.25">
      <c r="A6" s="438" t="s">
        <v>248</v>
      </c>
      <c r="B6" s="438"/>
      <c r="C6" s="438"/>
      <c r="D6" s="438"/>
      <c r="E6" s="438"/>
      <c r="F6" s="438"/>
      <c r="G6" s="221">
        <f>НМЦ!E17</f>
        <v>17355444</v>
      </c>
      <c r="H6" s="220"/>
      <c r="I6" s="220"/>
      <c r="J6" s="220"/>
      <c r="K6" s="220"/>
      <c r="L6" s="220"/>
      <c r="M6" s="220"/>
      <c r="N6" s="220"/>
      <c r="O6" s="220"/>
      <c r="P6" s="162"/>
    </row>
    <row r="7" spans="1:16" ht="15.75" customHeight="1" x14ac:dyDescent="0.25">
      <c r="A7" s="442" t="s">
        <v>500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377"/>
      <c r="P7" s="162"/>
    </row>
    <row r="8" spans="1:16" ht="15.75" x14ac:dyDescent="0.25">
      <c r="A8" s="219" t="s">
        <v>249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162"/>
    </row>
    <row r="9" spans="1:16" ht="15.75" x14ac:dyDescent="0.25">
      <c r="A9" s="222" t="s">
        <v>353</v>
      </c>
      <c r="B9" s="222"/>
      <c r="C9" s="222"/>
      <c r="D9" s="222"/>
      <c r="E9" s="222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162"/>
    </row>
    <row r="10" spans="1:16" ht="15.75" x14ac:dyDescent="0.25">
      <c r="A10" s="223"/>
      <c r="B10" s="224" t="s">
        <v>250</v>
      </c>
      <c r="C10" s="222"/>
      <c r="D10" s="222"/>
      <c r="E10" s="222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162"/>
    </row>
    <row r="11" spans="1:16" ht="15.75" x14ac:dyDescent="0.25">
      <c r="A11" s="223"/>
      <c r="B11" s="224" t="s">
        <v>251</v>
      </c>
      <c r="C11" s="222"/>
      <c r="D11" s="222"/>
      <c r="E11" s="222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162"/>
    </row>
    <row r="12" spans="1:16" ht="15.75" x14ac:dyDescent="0.25">
      <c r="A12" s="223"/>
      <c r="B12" s="224" t="s">
        <v>252</v>
      </c>
      <c r="C12" s="222"/>
      <c r="D12" s="222"/>
      <c r="E12" s="222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162"/>
    </row>
    <row r="13" spans="1:16" ht="15.75" x14ac:dyDescent="0.25">
      <c r="A13" s="222"/>
      <c r="B13" s="224" t="s">
        <v>253</v>
      </c>
      <c r="C13" s="222"/>
      <c r="D13" s="222"/>
      <c r="E13" s="222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162"/>
    </row>
    <row r="14" spans="1:16" ht="15.75" x14ac:dyDescent="0.25">
      <c r="A14" s="222"/>
      <c r="B14" s="224" t="s">
        <v>346</v>
      </c>
      <c r="C14" s="222"/>
      <c r="D14" s="222"/>
      <c r="E14" s="222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162"/>
    </row>
    <row r="15" spans="1:16" ht="15.75" x14ac:dyDescent="0.25">
      <c r="A15" s="222" t="s">
        <v>351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162"/>
    </row>
    <row r="16" spans="1:16" ht="15.75" x14ac:dyDescent="0.25">
      <c r="A16" s="222" t="s">
        <v>352</v>
      </c>
      <c r="B16" s="222"/>
      <c r="C16" s="222"/>
      <c r="D16" s="222"/>
      <c r="E16" s="222"/>
      <c r="F16" s="222"/>
      <c r="G16" s="222"/>
      <c r="H16" s="222"/>
      <c r="I16" s="222"/>
      <c r="J16" s="219"/>
      <c r="K16" s="219"/>
      <c r="L16" s="219"/>
      <c r="M16" s="219"/>
      <c r="N16" s="219"/>
      <c r="O16" s="219"/>
      <c r="P16" s="162"/>
    </row>
    <row r="17" spans="1:16" ht="15.75" x14ac:dyDescent="0.25">
      <c r="A17" s="222" t="s">
        <v>347</v>
      </c>
      <c r="B17" s="222"/>
      <c r="C17" s="222"/>
      <c r="D17" s="222"/>
      <c r="E17" s="222"/>
      <c r="F17" s="222"/>
      <c r="G17" s="222"/>
      <c r="H17" s="222"/>
      <c r="I17" s="222"/>
      <c r="J17" s="219"/>
      <c r="K17" s="219"/>
      <c r="L17" s="219"/>
      <c r="M17" s="219"/>
      <c r="N17" s="219"/>
      <c r="O17" s="219"/>
      <c r="P17" s="162"/>
    </row>
    <row r="18" spans="1:16" ht="15.75" x14ac:dyDescent="0.25">
      <c r="A18" s="222" t="s">
        <v>254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19"/>
      <c r="M18" s="219"/>
      <c r="N18" s="219"/>
      <c r="O18" s="219"/>
      <c r="P18" s="162"/>
    </row>
    <row r="19" spans="1:16" ht="32.25" customHeight="1" x14ac:dyDescent="0.25">
      <c r="A19" s="440" t="s">
        <v>354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225"/>
      <c r="P19" s="162"/>
    </row>
    <row r="20" spans="1:16" ht="29.25" customHeight="1" x14ac:dyDescent="0.25">
      <c r="A20" s="439" t="s">
        <v>355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219"/>
      <c r="P20" s="162"/>
    </row>
    <row r="21" spans="1:16" ht="15.75" x14ac:dyDescent="0.25">
      <c r="A21" s="222" t="s">
        <v>255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19"/>
      <c r="M21" s="219"/>
      <c r="N21" s="219"/>
      <c r="O21" s="219"/>
      <c r="P21" s="162"/>
    </row>
    <row r="22" spans="1:16" ht="15.75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19"/>
      <c r="M22" s="219"/>
      <c r="N22" s="219"/>
      <c r="O22" s="219"/>
      <c r="P22" s="162"/>
    </row>
    <row r="23" spans="1:16" ht="15.75" x14ac:dyDescent="0.25">
      <c r="A23" s="222" t="s">
        <v>256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19"/>
      <c r="M23" s="219"/>
      <c r="N23" s="219"/>
      <c r="O23" s="219"/>
      <c r="P23" s="162"/>
    </row>
    <row r="24" spans="1:16" ht="15.75" x14ac:dyDescent="0.25">
      <c r="A24" s="222" t="s">
        <v>257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19"/>
      <c r="M24" s="219"/>
      <c r="N24" s="219"/>
      <c r="O24" s="219"/>
      <c r="P24" s="162"/>
    </row>
    <row r="25" spans="1:16" ht="15.75" x14ac:dyDescent="0.25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19"/>
      <c r="M25" s="219"/>
      <c r="N25" s="219"/>
      <c r="O25" s="219"/>
      <c r="P25" s="162"/>
    </row>
    <row r="26" spans="1:16" ht="15.75" x14ac:dyDescent="0.25">
      <c r="A26" s="219" t="s">
        <v>258</v>
      </c>
      <c r="B26" s="219"/>
      <c r="C26" s="219"/>
      <c r="D26" s="219"/>
      <c r="E26" s="219"/>
      <c r="F26" s="219"/>
      <c r="G26" s="222"/>
      <c r="H26" s="228"/>
      <c r="I26" s="228"/>
      <c r="J26" s="228"/>
      <c r="K26" s="228"/>
      <c r="L26" s="228"/>
      <c r="O26" s="226"/>
      <c r="P26" s="162"/>
    </row>
    <row r="27" spans="1:16" ht="15.75" x14ac:dyDescent="0.25">
      <c r="A27" s="219"/>
      <c r="B27" s="219"/>
      <c r="C27" s="219"/>
      <c r="D27" s="219"/>
      <c r="E27" s="219"/>
      <c r="F27" s="219"/>
      <c r="G27" s="222"/>
      <c r="H27" s="227" t="s">
        <v>259</v>
      </c>
      <c r="I27" s="227"/>
      <c r="J27" s="227"/>
      <c r="K27" s="219"/>
      <c r="L27" s="219"/>
      <c r="O27" s="219"/>
      <c r="P27" s="162"/>
    </row>
  </sheetData>
  <mergeCells count="7">
    <mergeCell ref="A1:O1"/>
    <mergeCell ref="A2:O2"/>
    <mergeCell ref="A6:F6"/>
    <mergeCell ref="A20:N20"/>
    <mergeCell ref="A19:N19"/>
    <mergeCell ref="C4:N4"/>
    <mergeCell ref="A7:N7"/>
  </mergeCells>
  <pageMargins left="0.7" right="0.7" top="0.75" bottom="0.75" header="0.3" footer="0.3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BreakPreview" zoomScaleNormal="100" zoomScaleSheetLayoutView="100" workbookViewId="0">
      <selection activeCell="C6" sqref="C6:C7"/>
    </sheetView>
  </sheetViews>
  <sheetFormatPr defaultRowHeight="15" x14ac:dyDescent="0.25"/>
  <cols>
    <col min="1" max="1" width="5.42578125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444" t="s">
        <v>105</v>
      </c>
      <c r="B1" s="444"/>
      <c r="C1" s="444"/>
      <c r="D1" s="444"/>
      <c r="E1" s="444"/>
    </row>
    <row r="2" spans="1:19" ht="24.6" customHeight="1" x14ac:dyDescent="0.25">
      <c r="A2" s="444" t="s">
        <v>163</v>
      </c>
      <c r="B2" s="444"/>
      <c r="C2" s="444"/>
      <c r="D2" s="444"/>
      <c r="E2" s="444"/>
    </row>
    <row r="3" spans="1:19" ht="37.5" customHeight="1" x14ac:dyDescent="0.25">
      <c r="A3" s="445" t="str">
        <f>НМЦК!B2</f>
        <v>Всесезонный туристско-рекреационный комплекс «Эльбрус», Кабардино-Балкарская Республика. Благоустройство центральной части Поляны Азау 1 этап</v>
      </c>
      <c r="B3" s="446"/>
      <c r="C3" s="446"/>
      <c r="D3" s="446"/>
      <c r="E3" s="446"/>
    </row>
    <row r="4" spans="1:19" ht="15.75" x14ac:dyDescent="0.25">
      <c r="A4" s="248"/>
      <c r="B4" s="249"/>
      <c r="C4" s="249"/>
      <c r="D4" s="249"/>
      <c r="E4" s="249"/>
    </row>
    <row r="5" spans="1:19" ht="15.75" x14ac:dyDescent="0.25">
      <c r="A5" s="229" t="s">
        <v>323</v>
      </c>
      <c r="B5" s="229"/>
      <c r="C5" s="250" t="s">
        <v>443</v>
      </c>
      <c r="D5" s="230"/>
      <c r="E5" s="229"/>
    </row>
    <row r="6" spans="1:19" ht="15.75" x14ac:dyDescent="0.25">
      <c r="A6" s="229" t="s">
        <v>103</v>
      </c>
      <c r="B6" s="229"/>
      <c r="C6" s="231"/>
      <c r="D6" s="230"/>
      <c r="E6" s="229"/>
    </row>
    <row r="7" spans="1:19" ht="15.75" x14ac:dyDescent="0.25">
      <c r="A7" s="229" t="s">
        <v>104</v>
      </c>
      <c r="B7" s="229"/>
      <c r="C7" s="231"/>
      <c r="D7" s="230"/>
      <c r="E7" s="229"/>
    </row>
    <row r="8" spans="1:19" ht="15.75" x14ac:dyDescent="0.25">
      <c r="A8" s="229"/>
      <c r="B8" s="232"/>
      <c r="C8" s="232"/>
      <c r="D8" s="232"/>
      <c r="E8" s="232"/>
    </row>
    <row r="9" spans="1:19" ht="15.75" customHeight="1" x14ac:dyDescent="0.25">
      <c r="A9" s="447" t="s">
        <v>107</v>
      </c>
      <c r="B9" s="447" t="s">
        <v>108</v>
      </c>
      <c r="C9" s="447" t="s">
        <v>324</v>
      </c>
      <c r="D9" s="447"/>
      <c r="E9" s="447"/>
    </row>
    <row r="10" spans="1:19" ht="15.75" customHeight="1" x14ac:dyDescent="0.25">
      <c r="A10" s="447"/>
      <c r="B10" s="447"/>
      <c r="C10" s="447"/>
      <c r="D10" s="447"/>
      <c r="E10" s="447"/>
    </row>
    <row r="11" spans="1:19" ht="15.75" x14ac:dyDescent="0.25">
      <c r="A11" s="447"/>
      <c r="B11" s="447"/>
      <c r="C11" s="233" t="s">
        <v>109</v>
      </c>
      <c r="D11" s="233" t="s">
        <v>164</v>
      </c>
      <c r="E11" s="233" t="s">
        <v>110</v>
      </c>
    </row>
    <row r="12" spans="1:19" ht="15.75" x14ac:dyDescent="0.25">
      <c r="A12" s="233">
        <v>1</v>
      </c>
      <c r="B12" s="233">
        <v>2</v>
      </c>
      <c r="C12" s="233">
        <v>3</v>
      </c>
      <c r="D12" s="233">
        <v>4</v>
      </c>
      <c r="E12" s="233">
        <v>5</v>
      </c>
      <c r="F12" s="104"/>
      <c r="G12" s="103"/>
    </row>
    <row r="13" spans="1:19" ht="15.75" x14ac:dyDescent="0.25">
      <c r="A13" s="234">
        <v>1</v>
      </c>
      <c r="B13" s="235" t="s">
        <v>111</v>
      </c>
      <c r="C13" s="236">
        <f>НМЦК!F13</f>
        <v>6295646</v>
      </c>
      <c r="D13" s="237">
        <f t="shared" ref="D13:D16" si="0">C13*0.2</f>
        <v>1259129.2</v>
      </c>
      <c r="E13" s="237">
        <f t="shared" ref="E13:E16" si="1">C13+D13</f>
        <v>7554775.2000000002</v>
      </c>
      <c r="G13" s="100"/>
      <c r="H13" s="443"/>
      <c r="I13" s="443"/>
      <c r="J13" s="443"/>
      <c r="K13" s="443"/>
      <c r="L13" s="115"/>
      <c r="M13" s="116"/>
      <c r="N13" s="114"/>
      <c r="O13" s="114"/>
      <c r="P13" s="114"/>
      <c r="Q13" s="114"/>
      <c r="R13" s="114"/>
      <c r="S13" s="114"/>
    </row>
    <row r="14" spans="1:19" ht="35.450000000000003" customHeight="1" x14ac:dyDescent="0.25">
      <c r="A14" s="234">
        <v>2</v>
      </c>
      <c r="B14" s="235" t="s">
        <v>113</v>
      </c>
      <c r="C14" s="236">
        <f>НМЦК!F14*1.02</f>
        <v>6161380</v>
      </c>
      <c r="D14" s="237">
        <f t="shared" si="0"/>
        <v>1232276</v>
      </c>
      <c r="E14" s="237">
        <f t="shared" si="1"/>
        <v>7393656</v>
      </c>
      <c r="F14" s="102"/>
      <c r="L14" s="114"/>
      <c r="M14" s="114"/>
      <c r="N14" s="114"/>
      <c r="O14" s="114"/>
      <c r="P14" s="114"/>
      <c r="Q14" s="114"/>
      <c r="R14" s="114"/>
      <c r="S14" s="114"/>
    </row>
    <row r="15" spans="1:19" ht="15.75" x14ac:dyDescent="0.25">
      <c r="A15" s="234">
        <v>3</v>
      </c>
      <c r="B15" s="235" t="s">
        <v>345</v>
      </c>
      <c r="C15" s="236">
        <f>НМЦК!F16*1.02</f>
        <v>210020</v>
      </c>
      <c r="D15" s="237">
        <f>C15*0.2</f>
        <v>42004</v>
      </c>
      <c r="E15" s="237">
        <f t="shared" ref="E15" si="2">C15+D15</f>
        <v>252024</v>
      </c>
    </row>
    <row r="16" spans="1:19" ht="44.25" customHeight="1" x14ac:dyDescent="0.25">
      <c r="A16" s="234">
        <v>4</v>
      </c>
      <c r="B16" s="235" t="s">
        <v>168</v>
      </c>
      <c r="C16" s="236">
        <f>НМЦК!F15*1.02</f>
        <v>1795824</v>
      </c>
      <c r="D16" s="237">
        <f t="shared" si="0"/>
        <v>359164.8</v>
      </c>
      <c r="E16" s="237">
        <f t="shared" si="1"/>
        <v>2154988.7999999998</v>
      </c>
      <c r="L16" s="114"/>
      <c r="M16" s="114"/>
      <c r="N16" s="114"/>
      <c r="O16" s="114"/>
      <c r="P16" s="114"/>
      <c r="Q16" s="114"/>
      <c r="R16" s="114"/>
      <c r="S16" s="114"/>
    </row>
    <row r="17" spans="1:16" ht="15.75" x14ac:dyDescent="0.25">
      <c r="A17" s="238"/>
      <c r="B17" s="238" t="s">
        <v>16</v>
      </c>
      <c r="C17" s="239">
        <f>C13+C14+C16+C15</f>
        <v>14462870</v>
      </c>
      <c r="D17" s="240">
        <f>D13+D14+D16+D15</f>
        <v>2892574</v>
      </c>
      <c r="E17" s="240">
        <f>E13+E14+E16+E15</f>
        <v>17355444</v>
      </c>
      <c r="J17" s="100"/>
      <c r="L17" s="100"/>
      <c r="M17" s="141"/>
      <c r="P17" s="100"/>
    </row>
    <row r="18" spans="1:16" ht="31.5" x14ac:dyDescent="0.25">
      <c r="A18" s="241"/>
      <c r="B18" s="242" t="s">
        <v>112</v>
      </c>
      <c r="C18" s="243">
        <f>НМЦК!F18-НМЦК!D18</f>
        <v>49011</v>
      </c>
      <c r="D18" s="244">
        <f>C18*0.2</f>
        <v>9802.2000000000007</v>
      </c>
      <c r="E18" s="244">
        <f>C18+D18</f>
        <v>58813.2</v>
      </c>
      <c r="G18" s="100"/>
      <c r="H18" s="100"/>
    </row>
    <row r="19" spans="1:16" ht="15.75" x14ac:dyDescent="0.25">
      <c r="A19" s="97"/>
      <c r="B19" s="98"/>
      <c r="C19" s="99"/>
      <c r="D19" s="99"/>
      <c r="E19" s="99" t="s">
        <v>78</v>
      </c>
      <c r="F19" s="122"/>
    </row>
    <row r="20" spans="1:16" ht="15.75" x14ac:dyDescent="0.25">
      <c r="A20" s="232"/>
      <c r="B20" s="232"/>
      <c r="C20" s="232"/>
      <c r="D20" s="245"/>
      <c r="E20" s="245"/>
      <c r="F20" s="117"/>
    </row>
    <row r="21" spans="1:16" ht="15.75" x14ac:dyDescent="0.25">
      <c r="A21" s="232"/>
      <c r="B21" s="219" t="s">
        <v>263</v>
      </c>
      <c r="C21" s="246">
        <f>НМЦК!F17</f>
        <v>160141</v>
      </c>
      <c r="D21" s="247">
        <f>C21*0.2</f>
        <v>32028.2</v>
      </c>
      <c r="E21" s="247">
        <f>C21+D21</f>
        <v>192169.2</v>
      </c>
    </row>
  </sheetData>
  <mergeCells count="7">
    <mergeCell ref="H13:K13"/>
    <mergeCell ref="A1:E1"/>
    <mergeCell ref="A3:E3"/>
    <mergeCell ref="A9:A11"/>
    <mergeCell ref="B9:B11"/>
    <mergeCell ref="A2:E2"/>
    <mergeCell ref="C9:E10"/>
  </mergeCells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zoomScale="85" zoomScaleNormal="100" zoomScaleSheetLayoutView="85" workbookViewId="0">
      <selection activeCell="F18" sqref="F18"/>
    </sheetView>
  </sheetViews>
  <sheetFormatPr defaultRowHeight="15" x14ac:dyDescent="0.25"/>
  <cols>
    <col min="1" max="1" width="41.28515625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25.7109375" customWidth="1"/>
    <col min="7" max="7" width="26.7109375" hidden="1" customWidth="1"/>
    <col min="8" max="8" width="10.28515625" bestFit="1" customWidth="1"/>
  </cols>
  <sheetData>
    <row r="1" spans="1:9" ht="37.5" customHeight="1" x14ac:dyDescent="0.25">
      <c r="A1" s="450" t="s">
        <v>224</v>
      </c>
      <c r="B1" s="450"/>
      <c r="C1" s="450"/>
      <c r="D1" s="450"/>
      <c r="E1" s="450"/>
      <c r="F1" s="450"/>
      <c r="G1" s="374"/>
    </row>
    <row r="2" spans="1:9" ht="48.75" customHeight="1" x14ac:dyDescent="0.25">
      <c r="A2" s="251" t="s">
        <v>225</v>
      </c>
      <c r="B2" s="451" t="s">
        <v>465</v>
      </c>
      <c r="C2" s="451"/>
      <c r="D2" s="451"/>
      <c r="E2" s="451"/>
      <c r="F2" s="451"/>
      <c r="G2" s="375"/>
    </row>
    <row r="3" spans="1:9" ht="27" customHeight="1" x14ac:dyDescent="0.25">
      <c r="A3" s="251" t="s">
        <v>226</v>
      </c>
      <c r="B3" s="452" t="s">
        <v>329</v>
      </c>
      <c r="C3" s="452"/>
      <c r="D3" s="452"/>
      <c r="E3" s="452"/>
      <c r="F3" s="452"/>
      <c r="G3" s="376"/>
    </row>
    <row r="4" spans="1:9" ht="15.75" x14ac:dyDescent="0.25">
      <c r="A4" s="232"/>
      <c r="B4" s="232"/>
      <c r="C4" s="232"/>
      <c r="D4" s="232"/>
      <c r="E4" s="232"/>
      <c r="F4" s="232"/>
      <c r="G4" s="232"/>
    </row>
    <row r="5" spans="1:9" ht="15.75" x14ac:dyDescent="0.25">
      <c r="A5" s="252" t="s">
        <v>227</v>
      </c>
      <c r="B5" s="232"/>
      <c r="C5" s="232"/>
      <c r="D5" s="232"/>
      <c r="E5" s="232"/>
      <c r="F5" s="232"/>
      <c r="G5" s="232"/>
    </row>
    <row r="6" spans="1:9" ht="15.75" x14ac:dyDescent="0.25">
      <c r="A6" s="448"/>
      <c r="B6" s="448"/>
      <c r="C6" s="448"/>
      <c r="D6" s="448"/>
      <c r="E6" s="448"/>
      <c r="F6" s="448"/>
      <c r="G6" s="448"/>
    </row>
    <row r="7" spans="1:9" ht="15.75" x14ac:dyDescent="0.25">
      <c r="A7" s="252" t="s">
        <v>260</v>
      </c>
      <c r="B7" s="245"/>
      <c r="C7" s="245"/>
      <c r="D7" s="232"/>
      <c r="E7" s="232"/>
      <c r="F7" s="232"/>
      <c r="G7" s="232"/>
    </row>
    <row r="8" spans="1:9" ht="15.75" x14ac:dyDescent="0.25">
      <c r="A8" s="252" t="s">
        <v>261</v>
      </c>
      <c r="B8" s="252"/>
      <c r="C8" s="252"/>
      <c r="D8" s="252"/>
      <c r="E8" s="252"/>
      <c r="F8" s="252"/>
      <c r="G8" s="252"/>
    </row>
    <row r="9" spans="1:9" ht="15.75" x14ac:dyDescent="0.25">
      <c r="A9" s="345" t="s">
        <v>442</v>
      </c>
      <c r="B9" s="252"/>
      <c r="C9" s="252"/>
      <c r="D9" s="252"/>
      <c r="E9" s="252"/>
      <c r="F9" s="252"/>
      <c r="G9" s="232"/>
    </row>
    <row r="10" spans="1:9" ht="15.75" x14ac:dyDescent="0.25">
      <c r="A10" s="232"/>
      <c r="B10" s="232"/>
      <c r="C10" s="232"/>
      <c r="D10" s="232"/>
      <c r="E10" s="232"/>
      <c r="F10" s="253" t="s">
        <v>90</v>
      </c>
      <c r="G10" s="253" t="s">
        <v>90</v>
      </c>
    </row>
    <row r="11" spans="1:9" ht="129" customHeight="1" x14ac:dyDescent="0.25">
      <c r="A11" s="254" t="s">
        <v>18</v>
      </c>
      <c r="B11" s="255" t="s">
        <v>490</v>
      </c>
      <c r="C11" s="255" t="s">
        <v>228</v>
      </c>
      <c r="D11" s="255" t="s">
        <v>491</v>
      </c>
      <c r="E11" s="255" t="s">
        <v>229</v>
      </c>
      <c r="F11" s="255" t="s">
        <v>230</v>
      </c>
      <c r="G11" s="255" t="s">
        <v>231</v>
      </c>
    </row>
    <row r="12" spans="1:9" ht="15.75" x14ac:dyDescent="0.25">
      <c r="A12" s="256">
        <v>1</v>
      </c>
      <c r="B12" s="256">
        <v>2</v>
      </c>
      <c r="C12" s="256">
        <v>3</v>
      </c>
      <c r="D12" s="256">
        <v>4</v>
      </c>
      <c r="E12" s="256">
        <v>5</v>
      </c>
      <c r="F12" s="256">
        <v>6</v>
      </c>
      <c r="G12" s="257">
        <v>7</v>
      </c>
    </row>
    <row r="13" spans="1:9" ht="15.75" x14ac:dyDescent="0.25">
      <c r="A13" s="258" t="s">
        <v>232</v>
      </c>
      <c r="B13" s="259">
        <f>'Cводная смета ПИР'!G18</f>
        <v>6270876</v>
      </c>
      <c r="C13" s="260">
        <v>1</v>
      </c>
      <c r="D13" s="259">
        <f>B13*C13</f>
        <v>6270876</v>
      </c>
      <c r="E13" s="261">
        <f>E40</f>
        <v>1.0039499999999999</v>
      </c>
      <c r="F13" s="259">
        <f>D13*E13</f>
        <v>6295646</v>
      </c>
      <c r="G13" s="262">
        <f>D13+(F13-D13)*(1-30/100)</f>
        <v>6288215</v>
      </c>
    </row>
    <row r="14" spans="1:9" ht="15.75" x14ac:dyDescent="0.25">
      <c r="A14" s="263" t="s">
        <v>233</v>
      </c>
      <c r="B14" s="259">
        <f>'Cводная смета ПИР'!G21</f>
        <v>6016803</v>
      </c>
      <c r="C14" s="260">
        <v>1</v>
      </c>
      <c r="D14" s="259">
        <f>B14*C14</f>
        <v>6016803</v>
      </c>
      <c r="E14" s="261">
        <f>E40</f>
        <v>1.0039499999999999</v>
      </c>
      <c r="F14" s="259">
        <f>D14*E14</f>
        <v>6040569</v>
      </c>
      <c r="G14" s="262">
        <f>D14+(F14-D14)*(1-30/100)</f>
        <v>6033439</v>
      </c>
      <c r="H14">
        <f>F14*1.02</f>
        <v>6161380.3799999999</v>
      </c>
      <c r="I14">
        <f>G14/0.4*0.6*1.2</f>
        <v>10860190.199999999</v>
      </c>
    </row>
    <row r="15" spans="1:9" ht="15.75" x14ac:dyDescent="0.25">
      <c r="A15" s="263" t="s">
        <v>234</v>
      </c>
      <c r="B15" s="259">
        <f>'Cводная смета ПИР'!G24</f>
        <v>1760612</v>
      </c>
      <c r="C15" s="264">
        <v>1</v>
      </c>
      <c r="D15" s="259">
        <f>B15*C15</f>
        <v>1760612</v>
      </c>
      <c r="E15" s="260">
        <f>1</f>
        <v>1</v>
      </c>
      <c r="F15" s="259">
        <f>D15*E15</f>
        <v>1760612</v>
      </c>
      <c r="G15" s="262">
        <f>D15+(F15-D15)*(1-30/100)</f>
        <v>1760612</v>
      </c>
      <c r="H15">
        <f>F15*1.02</f>
        <v>1795824.24</v>
      </c>
    </row>
    <row r="16" spans="1:9" ht="15.75" x14ac:dyDescent="0.25">
      <c r="A16" s="263" t="s">
        <v>344</v>
      </c>
      <c r="B16" s="259">
        <v>205902</v>
      </c>
      <c r="C16" s="264">
        <v>1</v>
      </c>
      <c r="D16" s="259">
        <f>B16*C16</f>
        <v>205902</v>
      </c>
      <c r="E16" s="260">
        <f>1</f>
        <v>1</v>
      </c>
      <c r="F16" s="259">
        <f>D16*E16</f>
        <v>205902</v>
      </c>
      <c r="G16" s="262">
        <f>D16+(F16-D16)*(1-30/100)</f>
        <v>205902</v>
      </c>
      <c r="H16">
        <f>F16*1.02</f>
        <v>210020.04</v>
      </c>
    </row>
    <row r="17" spans="1:8" ht="31.5" x14ac:dyDescent="0.25">
      <c r="A17" s="258" t="s">
        <v>235</v>
      </c>
      <c r="B17" s="259">
        <f>(B14+B15+B16)*0.02</f>
        <v>159666</v>
      </c>
      <c r="C17" s="260"/>
      <c r="D17" s="259">
        <f>(D14+D15+D16)*0.02</f>
        <v>159666</v>
      </c>
      <c r="E17" s="260"/>
      <c r="F17" s="259">
        <f>(F14+F15+F16)*0.02-1</f>
        <v>160141</v>
      </c>
      <c r="G17" s="262">
        <f>D17+(F17-D17)*(1-30/100)</f>
        <v>159999</v>
      </c>
    </row>
    <row r="18" spans="1:8" ht="15.75" x14ac:dyDescent="0.25">
      <c r="A18" s="263" t="s">
        <v>236</v>
      </c>
      <c r="B18" s="259">
        <f>B13+B14+B15+B17</f>
        <v>14207957</v>
      </c>
      <c r="C18" s="260"/>
      <c r="D18" s="259">
        <f>SUM(D13:D17)</f>
        <v>14413859</v>
      </c>
      <c r="E18" s="259"/>
      <c r="F18" s="259">
        <f>SUM(F13:F17)</f>
        <v>14462870</v>
      </c>
      <c r="G18" s="265">
        <f>SUM(G13:G17)</f>
        <v>14448167</v>
      </c>
    </row>
    <row r="19" spans="1:8" ht="15.75" x14ac:dyDescent="0.25">
      <c r="A19" s="263" t="s">
        <v>237</v>
      </c>
      <c r="B19" s="266">
        <f>B18*0.2</f>
        <v>2841591.4</v>
      </c>
      <c r="C19" s="260"/>
      <c r="D19" s="266">
        <f>D18*0.2</f>
        <v>2882771.8</v>
      </c>
      <c r="E19" s="266"/>
      <c r="F19" s="266">
        <f>F18*0.2</f>
        <v>2892574</v>
      </c>
      <c r="G19" s="267">
        <f>G18*0.2</f>
        <v>2889633.4</v>
      </c>
    </row>
    <row r="20" spans="1:8" ht="15.75" x14ac:dyDescent="0.25">
      <c r="A20" s="263" t="s">
        <v>238</v>
      </c>
      <c r="B20" s="266">
        <f>B18+B19</f>
        <v>17049548.399999999</v>
      </c>
      <c r="C20" s="260"/>
      <c r="D20" s="266">
        <f>D18+D19</f>
        <v>17296630.800000001</v>
      </c>
      <c r="E20" s="266"/>
      <c r="F20" s="266">
        <f>F18+F19</f>
        <v>17355444</v>
      </c>
      <c r="G20" s="267">
        <f>G18+G19</f>
        <v>17337800.399999999</v>
      </c>
      <c r="H20" s="100">
        <f>F20-D20</f>
        <v>58813.2</v>
      </c>
    </row>
    <row r="21" spans="1:8" ht="15.75" x14ac:dyDescent="0.25">
      <c r="A21" s="268"/>
      <c r="B21" s="269"/>
      <c r="C21" s="269"/>
      <c r="D21" s="269"/>
      <c r="E21" s="269"/>
      <c r="F21" s="269"/>
      <c r="G21" s="232"/>
    </row>
    <row r="22" spans="1:8" ht="36" customHeight="1" x14ac:dyDescent="0.25">
      <c r="A22" s="449" t="s">
        <v>262</v>
      </c>
      <c r="B22" s="449"/>
      <c r="C22" s="270">
        <v>1</v>
      </c>
      <c r="D22" s="232"/>
      <c r="E22" s="232"/>
      <c r="F22" s="232"/>
      <c r="G22" s="232"/>
    </row>
    <row r="23" spans="1:8" ht="15.75" x14ac:dyDescent="0.25">
      <c r="A23" s="271" t="s">
        <v>239</v>
      </c>
      <c r="B23" s="271"/>
      <c r="C23" s="270"/>
      <c r="D23" s="232"/>
      <c r="E23" s="232"/>
      <c r="F23" s="232"/>
      <c r="G23" s="232"/>
    </row>
    <row r="24" spans="1:8" ht="23.45" customHeight="1" x14ac:dyDescent="0.25">
      <c r="A24" s="448" t="s">
        <v>494</v>
      </c>
      <c r="B24" s="448"/>
      <c r="C24" s="448"/>
      <c r="D24" s="448"/>
      <c r="E24" s="448"/>
      <c r="F24" s="448"/>
      <c r="G24" s="252"/>
    </row>
    <row r="25" spans="1:8" ht="23.45" customHeight="1" x14ac:dyDescent="0.25">
      <c r="A25" s="272"/>
      <c r="B25" s="272"/>
      <c r="C25" s="272"/>
      <c r="D25" s="272"/>
      <c r="E25" s="272"/>
      <c r="F25" s="272"/>
      <c r="G25" s="252"/>
    </row>
    <row r="26" spans="1:8" ht="15.75" x14ac:dyDescent="0.25">
      <c r="A26" s="455" t="s">
        <v>240</v>
      </c>
      <c r="B26" s="455"/>
      <c r="C26" s="455"/>
      <c r="D26" s="455"/>
      <c r="E26" s="232"/>
      <c r="F26" s="232"/>
      <c r="G26" s="232"/>
    </row>
    <row r="27" spans="1:8" ht="45.6" customHeight="1" x14ac:dyDescent="0.25">
      <c r="A27" s="273" t="s">
        <v>307</v>
      </c>
      <c r="B27" s="274">
        <f>(B29-B28)/30</f>
        <v>4.3</v>
      </c>
      <c r="C27" s="252" t="s">
        <v>241</v>
      </c>
      <c r="D27" s="232" t="s">
        <v>242</v>
      </c>
      <c r="E27" s="232"/>
      <c r="F27" s="232"/>
      <c r="G27" s="232"/>
    </row>
    <row r="28" spans="1:8" ht="15.75" x14ac:dyDescent="0.25">
      <c r="A28" s="252" t="s">
        <v>243</v>
      </c>
      <c r="B28" s="275">
        <v>44150</v>
      </c>
      <c r="C28" s="252"/>
      <c r="D28" s="252"/>
      <c r="E28" s="252"/>
      <c r="F28" s="252"/>
      <c r="G28" s="252"/>
    </row>
    <row r="29" spans="1:8" ht="15.75" x14ac:dyDescent="0.25">
      <c r="A29" s="252" t="s">
        <v>244</v>
      </c>
      <c r="B29" s="275">
        <v>44280</v>
      </c>
      <c r="C29" s="252"/>
      <c r="D29" s="252"/>
      <c r="E29" s="252"/>
      <c r="F29" s="252"/>
      <c r="G29" s="252"/>
    </row>
    <row r="30" spans="1:8" ht="15.75" x14ac:dyDescent="0.25">
      <c r="A30" s="252" t="s">
        <v>304</v>
      </c>
      <c r="B30" s="276">
        <v>1.5</v>
      </c>
      <c r="C30" s="252" t="s">
        <v>241</v>
      </c>
      <c r="D30" s="252"/>
      <c r="E30" s="252"/>
      <c r="F30" s="252"/>
      <c r="G30" s="252"/>
    </row>
    <row r="31" spans="1:8" ht="15.75" x14ac:dyDescent="0.25">
      <c r="A31" s="252" t="s">
        <v>305</v>
      </c>
      <c r="B31" s="276">
        <v>2.8</v>
      </c>
      <c r="C31" s="252" t="s">
        <v>241</v>
      </c>
      <c r="D31" s="252"/>
      <c r="E31" s="252"/>
      <c r="F31" s="252"/>
      <c r="G31" s="252"/>
    </row>
    <row r="32" spans="1:8" ht="15.75" x14ac:dyDescent="0.25">
      <c r="A32" s="252" t="s">
        <v>302</v>
      </c>
      <c r="B32" s="276">
        <f>B30/B27</f>
        <v>0.35</v>
      </c>
      <c r="C32" s="252"/>
      <c r="D32" s="252"/>
      <c r="E32" s="252"/>
      <c r="F32" s="252"/>
      <c r="G32" s="252"/>
    </row>
    <row r="33" spans="1:8" ht="15.75" x14ac:dyDescent="0.25">
      <c r="A33" s="252" t="s">
        <v>303</v>
      </c>
      <c r="B33" s="276">
        <f>B31/B27</f>
        <v>0.65</v>
      </c>
      <c r="C33" s="252"/>
      <c r="D33" s="252"/>
      <c r="E33" s="252"/>
      <c r="F33" s="252"/>
      <c r="G33" s="252"/>
    </row>
    <row r="34" spans="1:8" ht="32.25" customHeight="1" x14ac:dyDescent="0.25">
      <c r="A34" s="448" t="s">
        <v>276</v>
      </c>
      <c r="B34" s="448"/>
      <c r="C34" s="448"/>
      <c r="D34" s="448"/>
      <c r="E34" s="371">
        <v>1.036</v>
      </c>
      <c r="F34" s="252"/>
      <c r="G34" s="252"/>
    </row>
    <row r="35" spans="1:8" ht="33.75" customHeight="1" x14ac:dyDescent="0.25">
      <c r="A35" s="448" t="s">
        <v>306</v>
      </c>
      <c r="B35" s="448"/>
      <c r="C35" s="448"/>
      <c r="D35" s="448"/>
      <c r="E35" s="371">
        <v>1.0369999999999999</v>
      </c>
      <c r="F35" s="252"/>
      <c r="G35" s="252"/>
    </row>
    <row r="36" spans="1:8" s="252" customFormat="1" ht="27" customHeight="1" x14ac:dyDescent="0.25">
      <c r="A36" s="338" t="s">
        <v>338</v>
      </c>
      <c r="B36" s="339"/>
      <c r="C36" s="340"/>
      <c r="D36" s="341"/>
      <c r="E36" s="372">
        <f>E34^(1/12)</f>
        <v>1.00295</v>
      </c>
      <c r="F36" s="342"/>
      <c r="G36" s="342"/>
      <c r="H36" s="342"/>
    </row>
    <row r="37" spans="1:8" s="252" customFormat="1" ht="30.75" customHeight="1" x14ac:dyDescent="0.25">
      <c r="A37" s="338" t="s">
        <v>339</v>
      </c>
      <c r="B37" s="343"/>
      <c r="C37" s="340"/>
      <c r="D37" s="341"/>
      <c r="E37" s="372">
        <f>E35^(1/12)</f>
        <v>1.0030300000000001</v>
      </c>
      <c r="F37" s="342"/>
      <c r="G37" s="342"/>
      <c r="H37" s="342"/>
    </row>
    <row r="38" spans="1:8" s="252" customFormat="1" ht="87" customHeight="1" x14ac:dyDescent="0.25">
      <c r="A38" s="456" t="s">
        <v>492</v>
      </c>
      <c r="B38" s="456"/>
      <c r="C38" s="340"/>
      <c r="D38" s="341"/>
      <c r="E38" s="372">
        <v>1</v>
      </c>
      <c r="F38" s="342"/>
      <c r="G38" s="342"/>
      <c r="H38" s="342"/>
    </row>
    <row r="39" spans="1:8" s="252" customFormat="1" ht="73.5" customHeight="1" x14ac:dyDescent="0.25">
      <c r="A39" s="456" t="s">
        <v>493</v>
      </c>
      <c r="B39" s="456"/>
      <c r="C39" s="340"/>
      <c r="D39" s="341"/>
      <c r="E39" s="372">
        <f>1*(E37+E37^3)/2</f>
        <v>1.00607</v>
      </c>
      <c r="F39" s="342"/>
      <c r="G39" s="342"/>
      <c r="H39" s="342"/>
    </row>
    <row r="40" spans="1:8" s="252" customFormat="1" ht="31.5" customHeight="1" x14ac:dyDescent="0.25">
      <c r="A40" s="373" t="s">
        <v>340</v>
      </c>
      <c r="C40" s="344"/>
      <c r="D40" s="344"/>
      <c r="E40" s="372">
        <f>E38*B32+E39*B33</f>
        <v>1.0039499999999999</v>
      </c>
      <c r="F40" s="342"/>
      <c r="G40" s="342"/>
      <c r="H40" s="342"/>
    </row>
    <row r="41" spans="1:8" ht="15.75" x14ac:dyDescent="0.25">
      <c r="A41" s="252"/>
      <c r="B41" s="252"/>
      <c r="C41" s="252"/>
      <c r="D41" s="252"/>
      <c r="E41" s="252"/>
      <c r="F41" s="252"/>
      <c r="G41" s="252"/>
    </row>
    <row r="42" spans="1:8" hidden="1" x14ac:dyDescent="0.25">
      <c r="A42" s="156" t="s">
        <v>244</v>
      </c>
      <c r="B42" s="158">
        <v>44331</v>
      </c>
      <c r="C42" s="156"/>
      <c r="D42" s="159"/>
      <c r="E42" s="159"/>
      <c r="F42" s="159"/>
      <c r="G42" s="159"/>
    </row>
    <row r="43" spans="1:8" ht="29.25" hidden="1" customHeight="1" x14ac:dyDescent="0.25">
      <c r="A43" s="454" t="s">
        <v>276</v>
      </c>
      <c r="B43" s="454"/>
      <c r="C43" s="454"/>
      <c r="D43" s="454"/>
      <c r="E43" s="167">
        <v>1.036</v>
      </c>
      <c r="F43" s="159"/>
      <c r="G43" s="159"/>
    </row>
    <row r="44" spans="1:8" hidden="1" x14ac:dyDescent="0.25">
      <c r="A44" s="156" t="s">
        <v>277</v>
      </c>
      <c r="B44" s="160"/>
      <c r="C44" s="161"/>
      <c r="D44" s="159"/>
      <c r="E44" s="166">
        <f>1.036^(1/12)</f>
        <v>1.00295</v>
      </c>
      <c r="F44" s="159"/>
      <c r="G44" s="159"/>
    </row>
    <row r="45" spans="1:8" hidden="1" x14ac:dyDescent="0.25">
      <c r="A45" s="156" t="s">
        <v>278</v>
      </c>
      <c r="B45" s="156"/>
      <c r="C45" s="453" t="s">
        <v>296</v>
      </c>
      <c r="D45" s="453"/>
      <c r="E45" s="166">
        <f>(E44^6.7+E44^11)/2</f>
        <v>1.02643</v>
      </c>
    </row>
  </sheetData>
  <mergeCells count="13">
    <mergeCell ref="C45:D45"/>
    <mergeCell ref="A34:D34"/>
    <mergeCell ref="A43:D43"/>
    <mergeCell ref="A26:D26"/>
    <mergeCell ref="A35:D35"/>
    <mergeCell ref="A38:B38"/>
    <mergeCell ref="A39:B39"/>
    <mergeCell ref="A24:F24"/>
    <mergeCell ref="A6:G6"/>
    <mergeCell ref="A22:B22"/>
    <mergeCell ref="A1:F1"/>
    <mergeCell ref="B2:F2"/>
    <mergeCell ref="B3:F3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topLeftCell="A15" zoomScale="85" zoomScaleNormal="90" zoomScaleSheetLayoutView="85" workbookViewId="0">
      <selection activeCell="E17" sqref="E17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4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0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277"/>
      <c r="B1" s="277"/>
      <c r="C1" s="277"/>
      <c r="D1" s="277"/>
      <c r="E1" s="277"/>
      <c r="F1" s="277"/>
      <c r="G1" s="277"/>
    </row>
    <row r="2" spans="1:10" ht="15.75" x14ac:dyDescent="0.2">
      <c r="A2" s="482" t="s">
        <v>0</v>
      </c>
      <c r="B2" s="482"/>
      <c r="C2" s="482"/>
      <c r="D2" s="482"/>
      <c r="E2" s="482"/>
      <c r="F2" s="482"/>
      <c r="G2" s="482"/>
    </row>
    <row r="3" spans="1:10" ht="15.75" x14ac:dyDescent="0.2">
      <c r="A3" s="482" t="s">
        <v>6</v>
      </c>
      <c r="B3" s="482"/>
      <c r="C3" s="482"/>
      <c r="D3" s="482"/>
      <c r="E3" s="482"/>
      <c r="F3" s="482"/>
      <c r="G3" s="482"/>
    </row>
    <row r="4" spans="1:10" ht="15.75" x14ac:dyDescent="0.25">
      <c r="A4" s="277"/>
      <c r="B4" s="277"/>
      <c r="C4" s="277"/>
      <c r="D4" s="277"/>
      <c r="E4" s="277"/>
      <c r="F4" s="277"/>
      <c r="G4" s="277"/>
    </row>
    <row r="5" spans="1:10" ht="53.45" customHeight="1" x14ac:dyDescent="0.2">
      <c r="A5" s="483" t="s">
        <v>7</v>
      </c>
      <c r="B5" s="484"/>
      <c r="C5" s="488" t="str">
        <f>'ПД '!C4</f>
        <v>Всесезонный туристско-рекреационный комплекс «Эльбрус», Кабардино-Балкарская Республика. 
Благоустройство центральной части Поляны Азау 1 этап</v>
      </c>
      <c r="D5" s="488"/>
      <c r="E5" s="488"/>
      <c r="F5" s="488"/>
      <c r="G5" s="488"/>
      <c r="H5" s="15"/>
    </row>
    <row r="6" spans="1:10" s="2" customFormat="1" ht="35.25" customHeight="1" x14ac:dyDescent="0.25">
      <c r="A6" s="487" t="s">
        <v>8</v>
      </c>
      <c r="B6" s="487"/>
      <c r="C6" s="485"/>
      <c r="D6" s="485"/>
      <c r="E6" s="486"/>
      <c r="F6" s="486"/>
      <c r="G6" s="486"/>
    </row>
    <row r="7" spans="1:10" ht="29.25" customHeight="1" x14ac:dyDescent="0.2">
      <c r="A7" s="487" t="s">
        <v>1</v>
      </c>
      <c r="B7" s="487"/>
      <c r="C7" s="485" t="s">
        <v>48</v>
      </c>
      <c r="D7" s="485"/>
      <c r="E7" s="486"/>
      <c r="F7" s="486"/>
      <c r="G7" s="486"/>
    </row>
    <row r="8" spans="1:10" ht="15.75" x14ac:dyDescent="0.25">
      <c r="A8" s="278"/>
      <c r="B8" s="279"/>
      <c r="C8" s="278"/>
      <c r="D8" s="278"/>
      <c r="E8" s="278"/>
      <c r="F8" s="278"/>
      <c r="G8" s="280" t="s">
        <v>5</v>
      </c>
    </row>
    <row r="9" spans="1:10" ht="15.75" x14ac:dyDescent="0.25">
      <c r="A9" s="476" t="s">
        <v>2</v>
      </c>
      <c r="B9" s="476" t="s">
        <v>3</v>
      </c>
      <c r="C9" s="476" t="s">
        <v>9</v>
      </c>
      <c r="D9" s="476" t="s">
        <v>46</v>
      </c>
      <c r="E9" s="481" t="s">
        <v>102</v>
      </c>
      <c r="F9" s="481"/>
      <c r="G9" s="481"/>
      <c r="H9" s="478" t="s">
        <v>99</v>
      </c>
    </row>
    <row r="10" spans="1:10" ht="34.5" customHeight="1" x14ac:dyDescent="0.2">
      <c r="A10" s="480"/>
      <c r="B10" s="480"/>
      <c r="C10" s="480"/>
      <c r="D10" s="477"/>
      <c r="E10" s="281" t="s">
        <v>10</v>
      </c>
      <c r="F10" s="281" t="s">
        <v>11</v>
      </c>
      <c r="G10" s="281" t="s">
        <v>12</v>
      </c>
      <c r="H10" s="479"/>
    </row>
    <row r="11" spans="1:10" ht="15.75" x14ac:dyDescent="0.2">
      <c r="A11" s="282">
        <v>1</v>
      </c>
      <c r="B11" s="282">
        <v>2</v>
      </c>
      <c r="C11" s="282"/>
      <c r="D11" s="282"/>
      <c r="E11" s="282">
        <v>4</v>
      </c>
      <c r="F11" s="282">
        <v>5</v>
      </c>
      <c r="G11" s="282">
        <v>6</v>
      </c>
      <c r="H11" s="94">
        <v>7</v>
      </c>
    </row>
    <row r="12" spans="1:10" ht="15.75" x14ac:dyDescent="0.2">
      <c r="A12" s="473" t="s">
        <v>13</v>
      </c>
      <c r="B12" s="474"/>
      <c r="C12" s="474"/>
      <c r="D12" s="474"/>
      <c r="E12" s="474"/>
      <c r="F12" s="474"/>
      <c r="G12" s="475"/>
      <c r="H12" s="95"/>
    </row>
    <row r="13" spans="1:10" ht="32.25" customHeight="1" x14ac:dyDescent="0.2">
      <c r="A13" s="283" t="s">
        <v>4</v>
      </c>
      <c r="B13" s="284" t="s">
        <v>183</v>
      </c>
      <c r="C13" s="285" t="s">
        <v>118</v>
      </c>
      <c r="D13" s="283" t="s">
        <v>191</v>
      </c>
      <c r="E13" s="262">
        <v>1046992</v>
      </c>
      <c r="F13" s="286"/>
      <c r="G13" s="286">
        <f>E13</f>
        <v>1046992</v>
      </c>
      <c r="H13" s="95"/>
      <c r="J13" s="205"/>
    </row>
    <row r="14" spans="1:10" s="101" customFormat="1" ht="36.6" customHeight="1" x14ac:dyDescent="0.2">
      <c r="A14" s="283" t="s">
        <v>167</v>
      </c>
      <c r="B14" s="284" t="s">
        <v>184</v>
      </c>
      <c r="C14" s="285" t="s">
        <v>118</v>
      </c>
      <c r="D14" s="283" t="s">
        <v>190</v>
      </c>
      <c r="E14" s="287">
        <v>2364991</v>
      </c>
      <c r="F14" s="287"/>
      <c r="G14" s="287">
        <f>F14+E14</f>
        <v>2364991</v>
      </c>
      <c r="H14" s="95"/>
      <c r="J14" s="205"/>
    </row>
    <row r="15" spans="1:10" s="101" customFormat="1" ht="36.6" customHeight="1" x14ac:dyDescent="0.2">
      <c r="A15" s="283" t="s">
        <v>187</v>
      </c>
      <c r="B15" s="284" t="s">
        <v>341</v>
      </c>
      <c r="C15" s="285" t="s">
        <v>118</v>
      </c>
      <c r="D15" s="283" t="s">
        <v>192</v>
      </c>
      <c r="E15" s="287">
        <v>737283</v>
      </c>
      <c r="F15" s="287"/>
      <c r="G15" s="287">
        <f>F15+E15</f>
        <v>737283</v>
      </c>
      <c r="H15" s="95"/>
      <c r="J15" s="205"/>
    </row>
    <row r="16" spans="1:10" s="101" customFormat="1" ht="36.6" customHeight="1" x14ac:dyDescent="0.2">
      <c r="A16" s="283" t="s">
        <v>188</v>
      </c>
      <c r="B16" s="284" t="s">
        <v>185</v>
      </c>
      <c r="C16" s="285" t="s">
        <v>118</v>
      </c>
      <c r="D16" s="283" t="s">
        <v>193</v>
      </c>
      <c r="E16" s="287">
        <v>697582</v>
      </c>
      <c r="F16" s="287"/>
      <c r="G16" s="287">
        <f>E16</f>
        <v>697582</v>
      </c>
      <c r="H16" s="95"/>
      <c r="J16" s="205"/>
    </row>
    <row r="17" spans="1:10" s="101" customFormat="1" ht="36.6" customHeight="1" x14ac:dyDescent="0.2">
      <c r="A17" s="283" t="s">
        <v>342</v>
      </c>
      <c r="B17" s="284" t="s">
        <v>186</v>
      </c>
      <c r="C17" s="285" t="s">
        <v>118</v>
      </c>
      <c r="D17" s="283" t="s">
        <v>343</v>
      </c>
      <c r="E17" s="287">
        <v>1424028</v>
      </c>
      <c r="F17" s="287"/>
      <c r="G17" s="287">
        <f>E17</f>
        <v>1424028</v>
      </c>
      <c r="H17" s="95"/>
      <c r="J17" s="205"/>
    </row>
    <row r="18" spans="1:10" ht="25.5" customHeight="1" x14ac:dyDescent="0.2">
      <c r="A18" s="457" t="s">
        <v>14</v>
      </c>
      <c r="B18" s="458"/>
      <c r="C18" s="458"/>
      <c r="D18" s="458"/>
      <c r="E18" s="458"/>
      <c r="F18" s="459"/>
      <c r="G18" s="288">
        <f>SUM(G13:G17)</f>
        <v>6270876</v>
      </c>
      <c r="H18" s="95"/>
      <c r="J18" s="206"/>
    </row>
    <row r="19" spans="1:10" ht="25.5" customHeight="1" x14ac:dyDescent="0.2">
      <c r="A19" s="471" t="s">
        <v>128</v>
      </c>
      <c r="B19" s="472"/>
      <c r="C19" s="472"/>
      <c r="D19" s="472"/>
      <c r="E19" s="472"/>
      <c r="F19" s="472"/>
      <c r="G19" s="472"/>
      <c r="H19" s="95"/>
    </row>
    <row r="20" spans="1:10" s="101" customFormat="1" ht="29.25" customHeight="1" x14ac:dyDescent="0.2">
      <c r="A20" s="283" t="s">
        <v>136</v>
      </c>
      <c r="B20" s="289" t="s">
        <v>81</v>
      </c>
      <c r="C20" s="285"/>
      <c r="D20" s="283" t="s">
        <v>120</v>
      </c>
      <c r="E20" s="290"/>
      <c r="F20" s="286">
        <f>'ПД '!J83</f>
        <v>6016803</v>
      </c>
      <c r="G20" s="286">
        <f t="shared" ref="G20" si="0">F20</f>
        <v>6016803</v>
      </c>
      <c r="H20" s="95"/>
    </row>
    <row r="21" spans="1:10" s="101" customFormat="1" ht="29.25" customHeight="1" x14ac:dyDescent="0.2">
      <c r="A21" s="457" t="s">
        <v>15</v>
      </c>
      <c r="B21" s="458"/>
      <c r="C21" s="458"/>
      <c r="D21" s="458"/>
      <c r="E21" s="458"/>
      <c r="F21" s="459"/>
      <c r="G21" s="288">
        <f>G20</f>
        <v>6016803</v>
      </c>
      <c r="H21" s="95"/>
    </row>
    <row r="22" spans="1:10" s="101" customFormat="1" ht="29.25" customHeight="1" x14ac:dyDescent="0.2">
      <c r="A22" s="471" t="s">
        <v>161</v>
      </c>
      <c r="B22" s="472"/>
      <c r="C22" s="472"/>
      <c r="D22" s="472"/>
      <c r="E22" s="472"/>
      <c r="F22" s="472"/>
      <c r="G22" s="472"/>
      <c r="H22" s="95"/>
    </row>
    <row r="23" spans="1:10" ht="65.25" customHeight="1" x14ac:dyDescent="0.2">
      <c r="A23" s="283" t="s">
        <v>121</v>
      </c>
      <c r="B23" s="289" t="s">
        <v>162</v>
      </c>
      <c r="C23" s="285"/>
      <c r="D23" s="283" t="s">
        <v>117</v>
      </c>
      <c r="E23" s="290"/>
      <c r="F23" s="291"/>
      <c r="G23" s="286">
        <f>'Экспертиза ПД и ИЗ'!H21</f>
        <v>1760612</v>
      </c>
      <c r="H23" s="96"/>
    </row>
    <row r="24" spans="1:10" ht="19.5" customHeight="1" x14ac:dyDescent="0.2">
      <c r="A24" s="457" t="s">
        <v>122</v>
      </c>
      <c r="B24" s="458"/>
      <c r="C24" s="458"/>
      <c r="D24" s="458"/>
      <c r="E24" s="458"/>
      <c r="F24" s="459"/>
      <c r="G24" s="288">
        <f>G23</f>
        <v>1760612</v>
      </c>
      <c r="H24" s="96"/>
    </row>
    <row r="25" spans="1:10" s="101" customFormat="1" ht="19.5" customHeight="1" x14ac:dyDescent="0.2">
      <c r="A25" s="292"/>
      <c r="B25" s="292"/>
      <c r="C25" s="292"/>
      <c r="D25" s="292"/>
      <c r="E25" s="292"/>
      <c r="F25" s="292" t="s">
        <v>129</v>
      </c>
      <c r="G25" s="294">
        <f>G18+G21+G24</f>
        <v>14048291</v>
      </c>
      <c r="H25" s="107"/>
    </row>
    <row r="26" spans="1:10" s="101" customFormat="1" ht="19.5" customHeight="1" x14ac:dyDescent="0.2">
      <c r="A26" s="292"/>
      <c r="B26" s="292"/>
      <c r="C26" s="292"/>
      <c r="D26" s="292"/>
      <c r="E26" s="292"/>
      <c r="F26" s="292"/>
      <c r="G26" s="293"/>
      <c r="H26" s="107"/>
    </row>
    <row r="27" spans="1:10" s="101" customFormat="1" ht="19.5" customHeight="1" x14ac:dyDescent="0.2">
      <c r="A27" s="292"/>
      <c r="B27" s="292"/>
      <c r="C27" s="292"/>
      <c r="D27" s="292"/>
      <c r="E27" s="292"/>
      <c r="F27" s="292"/>
      <c r="G27" s="293"/>
      <c r="H27" s="107"/>
    </row>
    <row r="28" spans="1:10" s="101" customFormat="1" ht="19.5" customHeight="1" x14ac:dyDescent="0.2">
      <c r="A28" s="292"/>
      <c r="B28" s="292"/>
      <c r="C28" s="292"/>
      <c r="D28" s="292"/>
      <c r="E28" s="292"/>
      <c r="F28" s="292"/>
      <c r="G28" s="293"/>
      <c r="H28" s="107"/>
    </row>
    <row r="29" spans="1:10" s="101" customFormat="1" ht="19.5" customHeight="1" x14ac:dyDescent="0.2">
      <c r="A29" s="292"/>
      <c r="B29" s="292"/>
      <c r="C29" s="292"/>
      <c r="D29" s="292"/>
      <c r="E29" s="292"/>
      <c r="F29" s="292"/>
      <c r="G29" s="293"/>
      <c r="H29" s="107"/>
    </row>
    <row r="30" spans="1:10" s="101" customFormat="1" ht="19.5" customHeight="1" x14ac:dyDescent="0.2">
      <c r="A30" s="292"/>
      <c r="B30" s="292"/>
      <c r="C30" s="292"/>
      <c r="D30" s="292"/>
      <c r="E30" s="292"/>
      <c r="F30" s="292"/>
      <c r="G30" s="293"/>
      <c r="H30" s="107"/>
    </row>
    <row r="31" spans="1:10" s="101" customFormat="1" ht="19.5" customHeight="1" x14ac:dyDescent="0.2">
      <c r="A31" s="292"/>
      <c r="B31" s="292"/>
      <c r="C31" s="292"/>
      <c r="D31" s="292"/>
      <c r="E31" s="292"/>
      <c r="F31" s="292"/>
      <c r="G31" s="293"/>
      <c r="H31" s="107"/>
    </row>
    <row r="32" spans="1:10" s="101" customFormat="1" ht="19.5" customHeight="1" x14ac:dyDescent="0.2">
      <c r="A32" s="292"/>
      <c r="B32" s="292"/>
      <c r="C32" s="292"/>
      <c r="D32" s="292"/>
      <c r="E32" s="292"/>
      <c r="F32" s="292"/>
      <c r="G32" s="293"/>
      <c r="H32" s="107"/>
    </row>
    <row r="33" spans="1:8" s="101" customFormat="1" ht="19.5" customHeight="1" x14ac:dyDescent="0.2">
      <c r="A33" s="292"/>
      <c r="B33" s="292"/>
      <c r="C33" s="292"/>
      <c r="D33" s="292"/>
      <c r="E33" s="292"/>
      <c r="F33" s="292"/>
      <c r="G33" s="293"/>
      <c r="H33" s="107"/>
    </row>
    <row r="34" spans="1:8" s="101" customFormat="1" ht="50.25" customHeight="1" x14ac:dyDescent="0.2">
      <c r="A34" s="460" t="s">
        <v>130</v>
      </c>
      <c r="B34" s="460"/>
      <c r="C34" s="460"/>
      <c r="D34" s="460"/>
      <c r="E34" s="460"/>
      <c r="F34" s="105"/>
      <c r="G34" s="106"/>
      <c r="H34" s="107"/>
    </row>
    <row r="35" spans="1:8" x14ac:dyDescent="0.2">
      <c r="A35" s="101"/>
      <c r="B35" s="101"/>
      <c r="C35" s="101"/>
      <c r="D35" s="101"/>
      <c r="E35" s="101"/>
      <c r="F35" s="101"/>
      <c r="G35" s="101"/>
    </row>
    <row r="36" spans="1:8" x14ac:dyDescent="0.2">
      <c r="A36" s="126" t="s">
        <v>106</v>
      </c>
      <c r="B36" s="126"/>
      <c r="C36" s="126"/>
      <c r="D36" s="147" t="s">
        <v>194</v>
      </c>
      <c r="E36" s="126"/>
      <c r="F36" s="101"/>
      <c r="G36" s="101"/>
    </row>
    <row r="37" spans="1:8" x14ac:dyDescent="0.2">
      <c r="A37" s="126" t="s">
        <v>103</v>
      </c>
      <c r="B37" s="126"/>
      <c r="C37" s="126"/>
      <c r="D37" s="149" t="s">
        <v>196</v>
      </c>
      <c r="E37" s="126"/>
      <c r="F37" s="101"/>
      <c r="G37" s="101"/>
    </row>
    <row r="38" spans="1:8" x14ac:dyDescent="0.2">
      <c r="A38" s="126" t="s">
        <v>104</v>
      </c>
      <c r="B38" s="126"/>
      <c r="C38" s="126"/>
      <c r="D38" s="147" t="s">
        <v>197</v>
      </c>
      <c r="E38" s="126"/>
      <c r="F38" s="101"/>
      <c r="G38" s="101"/>
    </row>
    <row r="39" spans="1:8" x14ac:dyDescent="0.2">
      <c r="A39" s="101"/>
      <c r="B39" s="101"/>
      <c r="C39" s="101"/>
      <c r="D39" s="101"/>
      <c r="E39" s="101"/>
      <c r="F39" s="101"/>
      <c r="G39" s="101"/>
    </row>
    <row r="40" spans="1:8" x14ac:dyDescent="0.2">
      <c r="A40" s="461" t="s">
        <v>139</v>
      </c>
      <c r="B40" s="461"/>
      <c r="C40" s="461"/>
      <c r="D40" s="461"/>
      <c r="E40" s="461"/>
      <c r="F40" s="101"/>
      <c r="G40" s="101"/>
    </row>
    <row r="41" spans="1:8" x14ac:dyDescent="0.2">
      <c r="A41" s="465" t="s">
        <v>148</v>
      </c>
      <c r="B41" s="465"/>
      <c r="C41" s="465"/>
      <c r="D41" s="465"/>
      <c r="E41" s="465"/>
      <c r="F41" s="101"/>
      <c r="G41" s="101"/>
    </row>
    <row r="42" spans="1:8" ht="76.5" x14ac:dyDescent="0.2">
      <c r="A42" s="127" t="s">
        <v>2</v>
      </c>
      <c r="B42" s="128" t="s">
        <v>140</v>
      </c>
      <c r="C42" s="128" t="s">
        <v>141</v>
      </c>
      <c r="D42" s="128" t="s">
        <v>142</v>
      </c>
      <c r="E42" s="128" t="s">
        <v>143</v>
      </c>
      <c r="F42" s="101"/>
      <c r="G42" s="101"/>
    </row>
    <row r="43" spans="1:8" x14ac:dyDescent="0.2">
      <c r="A43" s="129">
        <v>1</v>
      </c>
      <c r="B43" s="130">
        <v>105</v>
      </c>
      <c r="C43" s="130">
        <v>2.5</v>
      </c>
      <c r="D43" s="131">
        <f>(B43-100)/100*C43/12</f>
        <v>0.01</v>
      </c>
      <c r="E43" s="131">
        <f>1+D43</f>
        <v>1.01</v>
      </c>
      <c r="F43" s="101"/>
      <c r="G43" s="101"/>
    </row>
    <row r="44" spans="1:8" x14ac:dyDescent="0.2">
      <c r="A44" s="465" t="s">
        <v>148</v>
      </c>
      <c r="B44" s="465"/>
      <c r="C44" s="465"/>
      <c r="D44" s="465"/>
      <c r="E44" s="465"/>
      <c r="F44" s="101"/>
      <c r="G44" s="101"/>
    </row>
    <row r="45" spans="1:8" ht="63.75" x14ac:dyDescent="0.2">
      <c r="A45" s="129"/>
      <c r="B45" s="128" t="s">
        <v>144</v>
      </c>
      <c r="C45" s="128" t="s">
        <v>145</v>
      </c>
      <c r="D45" s="128" t="s">
        <v>146</v>
      </c>
      <c r="E45" s="128" t="s">
        <v>147</v>
      </c>
      <c r="F45" s="101"/>
      <c r="G45" s="101"/>
    </row>
    <row r="46" spans="1:8" x14ac:dyDescent="0.2">
      <c r="A46" s="130">
        <v>2</v>
      </c>
      <c r="B46" s="130">
        <v>105</v>
      </c>
      <c r="C46" s="130">
        <v>0.5</v>
      </c>
      <c r="D46" s="131">
        <f>(B46-100)/100*C46/12</f>
        <v>2E-3</v>
      </c>
      <c r="E46" s="131">
        <f>1+D46</f>
        <v>1.002</v>
      </c>
      <c r="F46" s="101"/>
      <c r="G46" s="101"/>
    </row>
    <row r="47" spans="1:8" x14ac:dyDescent="0.2">
      <c r="A47" s="465" t="s">
        <v>169</v>
      </c>
      <c r="B47" s="465"/>
      <c r="C47" s="465"/>
      <c r="D47" s="465"/>
      <c r="E47" s="465"/>
      <c r="F47" s="101"/>
      <c r="G47" s="101"/>
    </row>
    <row r="48" spans="1:8" ht="63.75" x14ac:dyDescent="0.2">
      <c r="A48" s="129"/>
      <c r="B48" s="128" t="s">
        <v>149</v>
      </c>
      <c r="C48" s="128" t="s">
        <v>170</v>
      </c>
      <c r="D48" s="128" t="s">
        <v>150</v>
      </c>
      <c r="E48" s="128" t="s">
        <v>151</v>
      </c>
      <c r="F48" s="101"/>
      <c r="G48" s="101"/>
    </row>
    <row r="49" spans="1:7" x14ac:dyDescent="0.2">
      <c r="A49" s="130">
        <v>2</v>
      </c>
      <c r="B49" s="130">
        <v>105.1</v>
      </c>
      <c r="C49" s="130">
        <v>1.5</v>
      </c>
      <c r="D49" s="131">
        <f>(B49-100)/100*C49/12</f>
        <v>6.0000000000000001E-3</v>
      </c>
      <c r="E49" s="131">
        <f>1+0.5*D49</f>
        <v>1.0029999999999999</v>
      </c>
      <c r="F49" s="101"/>
      <c r="G49" s="101"/>
    </row>
    <row r="50" spans="1:7" ht="15" x14ac:dyDescent="0.25">
      <c r="A50" s="137"/>
      <c r="B50" s="138" t="s">
        <v>171</v>
      </c>
      <c r="C50" s="137"/>
      <c r="D50" s="118" t="s">
        <v>173</v>
      </c>
      <c r="E50" s="119" t="s">
        <v>172</v>
      </c>
      <c r="F50" s="101"/>
      <c r="G50" s="101"/>
    </row>
    <row r="51" spans="1:7" x14ac:dyDescent="0.2">
      <c r="A51" s="138"/>
      <c r="B51" s="138"/>
      <c r="C51" s="138"/>
      <c r="D51" s="139">
        <f>D46+D49</f>
        <v>8.0000000000000002E-3</v>
      </c>
      <c r="E51" s="140">
        <f>(1+0.5*D51)</f>
        <v>1.004</v>
      </c>
      <c r="F51" s="101"/>
      <c r="G51" s="101"/>
    </row>
    <row r="52" spans="1:7" x14ac:dyDescent="0.2">
      <c r="A52" s="130">
        <v>3</v>
      </c>
      <c r="B52" s="132" t="s">
        <v>152</v>
      </c>
      <c r="C52" s="132"/>
      <c r="D52" s="128" t="s">
        <v>153</v>
      </c>
      <c r="E52" s="131">
        <f>E43*E51</f>
        <v>1.014</v>
      </c>
      <c r="F52" s="101"/>
      <c r="G52" s="101"/>
    </row>
    <row r="53" spans="1:7" s="101" customFormat="1" x14ac:dyDescent="0.2">
      <c r="A53" s="466" t="s">
        <v>154</v>
      </c>
      <c r="B53" s="466"/>
      <c r="C53" s="466"/>
      <c r="D53" s="466"/>
      <c r="E53" s="466"/>
    </row>
    <row r="54" spans="1:7" x14ac:dyDescent="0.2">
      <c r="A54" s="467" t="s">
        <v>155</v>
      </c>
      <c r="B54" s="467"/>
      <c r="C54" s="467"/>
      <c r="D54" s="123"/>
      <c r="E54" s="133">
        <f>G18</f>
        <v>6270876</v>
      </c>
      <c r="F54" s="101"/>
      <c r="G54" s="101"/>
    </row>
    <row r="55" spans="1:7" x14ac:dyDescent="0.2">
      <c r="A55" s="468" t="s">
        <v>156</v>
      </c>
      <c r="B55" s="469"/>
      <c r="C55" s="470"/>
      <c r="D55" s="123"/>
      <c r="E55" s="131">
        <f>E51</f>
        <v>1.004</v>
      </c>
      <c r="F55" s="101"/>
      <c r="G55" s="101"/>
    </row>
    <row r="56" spans="1:7" x14ac:dyDescent="0.2">
      <c r="A56" s="468" t="s">
        <v>157</v>
      </c>
      <c r="B56" s="469"/>
      <c r="C56" s="470"/>
      <c r="D56" s="132"/>
      <c r="E56" s="133">
        <f>E54*E55</f>
        <v>6295960</v>
      </c>
      <c r="F56" s="101"/>
      <c r="G56" s="101"/>
    </row>
    <row r="57" spans="1:7" ht="25.5" x14ac:dyDescent="0.2">
      <c r="A57" s="462" t="s">
        <v>158</v>
      </c>
      <c r="B57" s="463"/>
      <c r="C57" s="464"/>
      <c r="D57" s="134" t="s">
        <v>159</v>
      </c>
      <c r="E57" s="135">
        <f>E54+(E56-E54)*(1-30/100)</f>
        <v>6288435</v>
      </c>
      <c r="F57" s="101">
        <f>E57/E54</f>
        <v>1.00280008726054</v>
      </c>
      <c r="G57" s="101"/>
    </row>
    <row r="58" spans="1:7" s="101" customFormat="1" x14ac:dyDescent="0.2">
      <c r="A58" s="136"/>
      <c r="B58" s="136"/>
      <c r="D58" s="124" t="s">
        <v>160</v>
      </c>
      <c r="E58" s="125">
        <f>E57-E54</f>
        <v>17559</v>
      </c>
    </row>
    <row r="59" spans="1:7" s="101" customFormat="1" ht="15" x14ac:dyDescent="0.25">
      <c r="A59"/>
      <c r="B59"/>
      <c r="D59" s="120"/>
      <c r="E59" s="121"/>
    </row>
    <row r="60" spans="1:7" s="101" customFormat="1" x14ac:dyDescent="0.2">
      <c r="A60" s="126" t="s">
        <v>106</v>
      </c>
      <c r="B60" s="126"/>
      <c r="C60" s="126"/>
      <c r="D60" s="126" t="s">
        <v>201</v>
      </c>
      <c r="E60" s="126"/>
    </row>
    <row r="61" spans="1:7" s="101" customFormat="1" x14ac:dyDescent="0.2">
      <c r="A61" s="126" t="s">
        <v>103</v>
      </c>
      <c r="B61" s="126"/>
      <c r="C61" s="126"/>
      <c r="D61" s="148" t="s">
        <v>196</v>
      </c>
      <c r="E61" s="126" t="s">
        <v>199</v>
      </c>
    </row>
    <row r="62" spans="1:7" x14ac:dyDescent="0.2">
      <c r="A62" s="126" t="s">
        <v>104</v>
      </c>
      <c r="B62" s="126"/>
      <c r="C62" s="126"/>
      <c r="D62" s="147" t="s">
        <v>200</v>
      </c>
      <c r="E62" s="126"/>
      <c r="F62" s="101"/>
      <c r="G62" s="101"/>
    </row>
    <row r="63" spans="1:7" x14ac:dyDescent="0.2">
      <c r="A63" s="101"/>
      <c r="B63" s="101"/>
      <c r="C63" s="101"/>
      <c r="D63" s="101"/>
      <c r="E63" s="101"/>
      <c r="F63" s="101"/>
    </row>
    <row r="64" spans="1:7" x14ac:dyDescent="0.2">
      <c r="A64" s="461" t="s">
        <v>198</v>
      </c>
      <c r="B64" s="461"/>
      <c r="C64" s="461"/>
      <c r="D64" s="461"/>
      <c r="E64" s="461"/>
      <c r="F64" s="101"/>
    </row>
    <row r="65" spans="1:6" x14ac:dyDescent="0.2">
      <c r="A65" s="465" t="s">
        <v>148</v>
      </c>
      <c r="B65" s="465"/>
      <c r="C65" s="465"/>
      <c r="D65" s="465"/>
      <c r="E65" s="465"/>
      <c r="F65" s="101"/>
    </row>
    <row r="66" spans="1:6" ht="76.5" x14ac:dyDescent="0.2">
      <c r="A66" s="127" t="s">
        <v>2</v>
      </c>
      <c r="B66" s="128" t="s">
        <v>140</v>
      </c>
      <c r="C66" s="128" t="s">
        <v>141</v>
      </c>
      <c r="D66" s="128" t="s">
        <v>142</v>
      </c>
      <c r="E66" s="128" t="s">
        <v>143</v>
      </c>
      <c r="F66" s="101"/>
    </row>
    <row r="67" spans="1:6" x14ac:dyDescent="0.2">
      <c r="A67" s="129">
        <v>1</v>
      </c>
      <c r="B67" s="130">
        <v>105</v>
      </c>
      <c r="C67" s="130">
        <v>2.5</v>
      </c>
      <c r="D67" s="131">
        <f>(B67-100)/100*C67/12</f>
        <v>0.01</v>
      </c>
      <c r="E67" s="131">
        <f>1+D67</f>
        <v>1.01</v>
      </c>
      <c r="F67" s="101"/>
    </row>
    <row r="68" spans="1:6" x14ac:dyDescent="0.2">
      <c r="A68" s="465" t="s">
        <v>148</v>
      </c>
      <c r="B68" s="465"/>
      <c r="C68" s="465"/>
      <c r="D68" s="465"/>
      <c r="E68" s="465"/>
      <c r="F68" s="101"/>
    </row>
    <row r="69" spans="1:6" ht="63.75" x14ac:dyDescent="0.2">
      <c r="A69" s="129"/>
      <c r="B69" s="128" t="s">
        <v>144</v>
      </c>
      <c r="C69" s="128" t="s">
        <v>145</v>
      </c>
      <c r="D69" s="128" t="s">
        <v>146</v>
      </c>
      <c r="E69" s="128" t="s">
        <v>147</v>
      </c>
      <c r="F69" s="101"/>
    </row>
    <row r="70" spans="1:6" x14ac:dyDescent="0.2">
      <c r="A70" s="130">
        <v>2</v>
      </c>
      <c r="B70" s="130">
        <v>105</v>
      </c>
      <c r="C70" s="130">
        <v>0.5</v>
      </c>
      <c r="D70" s="131">
        <f>(B70-100)/100*C70/12</f>
        <v>2E-3</v>
      </c>
      <c r="E70" s="131">
        <f>1+D70</f>
        <v>1.002</v>
      </c>
      <c r="F70" s="101"/>
    </row>
    <row r="71" spans="1:6" x14ac:dyDescent="0.2">
      <c r="A71" s="465" t="s">
        <v>169</v>
      </c>
      <c r="B71" s="465"/>
      <c r="C71" s="465"/>
      <c r="D71" s="465"/>
      <c r="E71" s="465"/>
      <c r="F71" s="101"/>
    </row>
    <row r="72" spans="1:6" ht="63.75" x14ac:dyDescent="0.2">
      <c r="A72" s="129"/>
      <c r="B72" s="128" t="s">
        <v>149</v>
      </c>
      <c r="C72" s="128" t="s">
        <v>170</v>
      </c>
      <c r="D72" s="128" t="s">
        <v>150</v>
      </c>
      <c r="E72" s="128" t="s">
        <v>151</v>
      </c>
      <c r="F72" s="101"/>
    </row>
    <row r="73" spans="1:6" x14ac:dyDescent="0.2">
      <c r="A73" s="130">
        <v>2</v>
      </c>
      <c r="B73" s="130">
        <v>105.1</v>
      </c>
      <c r="C73" s="130">
        <v>5.4</v>
      </c>
      <c r="D73" s="131">
        <f>(B73-100)/100*C73/12</f>
        <v>2.3E-2</v>
      </c>
      <c r="E73" s="131">
        <f>1+0.5*D73</f>
        <v>1.012</v>
      </c>
      <c r="F73" s="101"/>
    </row>
    <row r="74" spans="1:6" ht="15" x14ac:dyDescent="0.25">
      <c r="A74" s="137"/>
      <c r="B74" s="138" t="s">
        <v>171</v>
      </c>
      <c r="C74" s="137"/>
      <c r="D74" s="118" t="s">
        <v>173</v>
      </c>
      <c r="E74" s="119" t="s">
        <v>172</v>
      </c>
      <c r="F74" s="101"/>
    </row>
    <row r="75" spans="1:6" x14ac:dyDescent="0.2">
      <c r="A75" s="138"/>
      <c r="B75" s="138"/>
      <c r="C75" s="138"/>
      <c r="D75" s="139">
        <f>D70+D73</f>
        <v>2.5000000000000001E-2</v>
      </c>
      <c r="E75" s="140">
        <f>(1+0.5*D75)</f>
        <v>1.0129999999999999</v>
      </c>
      <c r="F75" s="101"/>
    </row>
    <row r="76" spans="1:6" x14ac:dyDescent="0.2">
      <c r="A76" s="130">
        <v>3</v>
      </c>
      <c r="B76" s="132" t="s">
        <v>152</v>
      </c>
      <c r="C76" s="132"/>
      <c r="D76" s="128" t="s">
        <v>153</v>
      </c>
      <c r="E76" s="131">
        <f>E67*E75</f>
        <v>1.0229999999999999</v>
      </c>
      <c r="F76" s="101"/>
    </row>
    <row r="77" spans="1:6" x14ac:dyDescent="0.2">
      <c r="A77" s="466" t="s">
        <v>154</v>
      </c>
      <c r="B77" s="466"/>
      <c r="C77" s="466"/>
      <c r="D77" s="466"/>
      <c r="E77" s="466"/>
      <c r="F77" s="101"/>
    </row>
    <row r="78" spans="1:6" x14ac:dyDescent="0.2">
      <c r="A78" s="467" t="s">
        <v>155</v>
      </c>
      <c r="B78" s="467"/>
      <c r="C78" s="467"/>
      <c r="D78" s="123"/>
      <c r="E78" s="133">
        <f>G21</f>
        <v>6016803</v>
      </c>
      <c r="F78" s="101"/>
    </row>
    <row r="79" spans="1:6" x14ac:dyDescent="0.2">
      <c r="A79" s="468" t="s">
        <v>156</v>
      </c>
      <c r="B79" s="469"/>
      <c r="C79" s="470"/>
      <c r="D79" s="123"/>
      <c r="E79" s="131">
        <f>E75</f>
        <v>1.0129999999999999</v>
      </c>
      <c r="F79" s="101"/>
    </row>
    <row r="80" spans="1:6" x14ac:dyDescent="0.2">
      <c r="A80" s="468" t="s">
        <v>157</v>
      </c>
      <c r="B80" s="469"/>
      <c r="C80" s="470"/>
      <c r="D80" s="132"/>
      <c r="E80" s="133">
        <f>E78*E79</f>
        <v>6095021</v>
      </c>
      <c r="F80" s="101"/>
    </row>
    <row r="81" spans="1:6" ht="25.5" x14ac:dyDescent="0.2">
      <c r="A81" s="462" t="s">
        <v>158</v>
      </c>
      <c r="B81" s="463"/>
      <c r="C81" s="464"/>
      <c r="D81" s="134" t="s">
        <v>159</v>
      </c>
      <c r="E81" s="135">
        <f>E78+(E80-E78)*(1-30/100)</f>
        <v>6071556</v>
      </c>
      <c r="F81" s="101">
        <f>E81/E78</f>
        <v>1.0091000154068499</v>
      </c>
    </row>
    <row r="82" spans="1:6" x14ac:dyDescent="0.2">
      <c r="A82" s="136"/>
      <c r="B82" s="136"/>
      <c r="C82" s="101"/>
      <c r="D82" s="124" t="s">
        <v>160</v>
      </c>
      <c r="E82" s="125">
        <f>E81-E78</f>
        <v>54753</v>
      </c>
      <c r="F82" s="101"/>
    </row>
  </sheetData>
  <mergeCells count="39">
    <mergeCell ref="A78:C78"/>
    <mergeCell ref="A79:C79"/>
    <mergeCell ref="A80:C80"/>
    <mergeCell ref="A81:C81"/>
    <mergeCell ref="A64:E64"/>
    <mergeCell ref="A65:E65"/>
    <mergeCell ref="A68:E68"/>
    <mergeCell ref="A71:E71"/>
    <mergeCell ref="A77:E77"/>
    <mergeCell ref="A2:G2"/>
    <mergeCell ref="A3:G3"/>
    <mergeCell ref="A5:B5"/>
    <mergeCell ref="C7:G7"/>
    <mergeCell ref="A6:B6"/>
    <mergeCell ref="C6:G6"/>
    <mergeCell ref="C5:G5"/>
    <mergeCell ref="A7:B7"/>
    <mergeCell ref="H9:H10"/>
    <mergeCell ref="A9:A10"/>
    <mergeCell ref="B9:B10"/>
    <mergeCell ref="C9:C10"/>
    <mergeCell ref="E9:G9"/>
    <mergeCell ref="A21:F21"/>
    <mergeCell ref="A22:G22"/>
    <mergeCell ref="A12:G12"/>
    <mergeCell ref="A18:F18"/>
    <mergeCell ref="D9:D10"/>
    <mergeCell ref="A19:G19"/>
    <mergeCell ref="A24:F24"/>
    <mergeCell ref="A34:E34"/>
    <mergeCell ref="A40:E40"/>
    <mergeCell ref="A57:C57"/>
    <mergeCell ref="A44:E44"/>
    <mergeCell ref="A47:E47"/>
    <mergeCell ref="A53:E53"/>
    <mergeCell ref="A41:E41"/>
    <mergeCell ref="A54:C54"/>
    <mergeCell ref="A55:C55"/>
    <mergeCell ref="A56:C56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дендрология</vt:lpstr>
      <vt:lpstr>График работ</vt:lpstr>
      <vt:lpstr>УНЦС</vt:lpstr>
      <vt:lpstr>Ориентировочная сумма КВЛ</vt:lpstr>
      <vt:lpstr>Пояснительная</vt:lpstr>
      <vt:lpstr>Протокол</vt:lpstr>
      <vt:lpstr>НМЦ</vt:lpstr>
      <vt:lpstr>НМЦК</vt:lpstr>
      <vt:lpstr>Cводная смета ПИР</vt:lpstr>
      <vt:lpstr>ПД </vt:lpstr>
      <vt:lpstr>Экспертиза ПД и ИЗ</vt:lpstr>
      <vt:lpstr>'Cводная смета ПИР'!Область_печати</vt:lpstr>
      <vt:lpstr>НМЦ!Область_печати</vt:lpstr>
      <vt:lpstr>НМЦК!Область_печати</vt:lpstr>
      <vt:lpstr>'ПД '!Область_печати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2020-11-06T10:54:09Z</dcterms:modified>
</cp:coreProperties>
</file>