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80" windowWidth="20700" windowHeight="11580" tabRatio="834" firstSheet="1" activeTab="6"/>
  </bookViews>
  <sheets>
    <sheet name="дендрология" sheetId="28" state="hidden" r:id="rId1"/>
    <sheet name="График работ" sheetId="52" r:id="rId2"/>
    <sheet name="УНЦС" sheetId="54" r:id="rId3"/>
    <sheet name="Ориентировочная сумма КВЛ" sheetId="49" r:id="rId4"/>
    <sheet name="Пояснительная" sheetId="48" r:id="rId5"/>
    <sheet name="Протокол" sheetId="51" r:id="rId6"/>
    <sheet name="НМЦ" sheetId="47" r:id="rId7"/>
    <sheet name="НМЦК" sheetId="50" r:id="rId8"/>
    <sheet name="Cводная смета ПИР" sheetId="13" r:id="rId9"/>
    <sheet name="ПД " sheetId="45" r:id="rId10"/>
    <sheet name="Экспертиза ПД и ИЗ" sheetId="35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dck" localSheetId="2">[1]топография!#REF!</definedName>
    <definedName name="dck">[1]топография!#REF!</definedName>
    <definedName name="Itog" localSheetId="2">#REF!</definedName>
    <definedName name="Itog">#REF!</definedName>
    <definedName name="KPlan" localSheetId="2">#REF!</definedName>
    <definedName name="KPlan">#REF!</definedName>
    <definedName name="SM_STO" localSheetId="2">#REF!</definedName>
    <definedName name="SM_STO">#REF!</definedName>
    <definedName name="SM_STO1" localSheetId="2">#REF!</definedName>
    <definedName name="SM_STO1">#REF!</definedName>
    <definedName name="SM_STO2" localSheetId="2">#REF!</definedName>
    <definedName name="SM_STO2">#REF!</definedName>
    <definedName name="SM_STO3" localSheetId="2">#REF!</definedName>
    <definedName name="SM_STO3">#REF!</definedName>
    <definedName name="SUM_" localSheetId="2">#REF!</definedName>
    <definedName name="SUM_">#REF!</definedName>
    <definedName name="SUM_1" localSheetId="2">#REF!</definedName>
    <definedName name="SUM_1">#REF!</definedName>
    <definedName name="SUM_3" localSheetId="2">#REF!</definedName>
    <definedName name="SUM_3">#REF!</definedName>
    <definedName name="wrn.1." hidden="1">{#N/A,#N/A,FALSE,"Шаблон_Спец1"}</definedName>
    <definedName name="ZAK1" localSheetId="2">#REF!</definedName>
    <definedName name="ZAK1">#REF!</definedName>
    <definedName name="ZAK2" localSheetId="2">#REF!</definedName>
    <definedName name="ZAK2">#REF!</definedName>
    <definedName name="а36" localSheetId="2">#REF!</definedName>
    <definedName name="а36">#REF!</definedName>
    <definedName name="аа" localSheetId="2">[1]топография!#REF!</definedName>
    <definedName name="аа">[1]топография!#REF!</definedName>
    <definedName name="АКСТ">'[2]Лист опроса'!$B$22</definedName>
    <definedName name="аолрмб">[3]Вспомогательный!$D$77</definedName>
    <definedName name="вв" localSheetId="2">[1]топография!#REF!</definedName>
    <definedName name="вв">[1]топография!#REF!</definedName>
    <definedName name="д1" localSheetId="2">#REF!</definedName>
    <definedName name="д1">#REF!</definedName>
    <definedName name="д10" localSheetId="2">#REF!</definedName>
    <definedName name="д10">#REF!</definedName>
    <definedName name="д2" localSheetId="2">#REF!</definedName>
    <definedName name="д2">#REF!</definedName>
    <definedName name="д3" localSheetId="2">#REF!</definedName>
    <definedName name="д3">#REF!</definedName>
    <definedName name="д4" localSheetId="2">#REF!</definedName>
    <definedName name="д4">#REF!</definedName>
    <definedName name="д5" localSheetId="2">#REF!</definedName>
    <definedName name="д5">#REF!</definedName>
    <definedName name="д6" localSheetId="2">#REF!</definedName>
    <definedName name="д6">#REF!</definedName>
    <definedName name="д7" localSheetId="2">#REF!</definedName>
    <definedName name="д7">#REF!</definedName>
    <definedName name="д8" localSheetId="2">#REF!</definedName>
    <definedName name="д8">#REF!</definedName>
    <definedName name="д9" localSheetId="2">#REF!</definedName>
    <definedName name="д9">#REF!</definedName>
    <definedName name="дж">[3]Вспомогательный!$D$36</definedName>
    <definedName name="дж1">[3]Вспомогательный!$D$38</definedName>
    <definedName name="ДЛО" localSheetId="2">#REF!</definedName>
    <definedName name="ДЛО">#REF!</definedName>
    <definedName name="дп" localSheetId="2">#REF!</definedName>
    <definedName name="дп">#REF!</definedName>
    <definedName name="ДСК" localSheetId="2">[4]топография!#REF!</definedName>
    <definedName name="ДСК">[4]топография!#REF!</definedName>
    <definedName name="дэ" localSheetId="2">#REF!</definedName>
    <definedName name="дэ">#REF!</definedName>
    <definedName name="жж">[3]Вспомогательный!$D$80</definedName>
    <definedName name="ии" localSheetId="2">#REF!</definedName>
    <definedName name="ии">#REF!</definedName>
    <definedName name="инфл" localSheetId="2">#REF!</definedName>
    <definedName name="инфл">#REF!</definedName>
    <definedName name="ип" localSheetId="2">#REF!</definedName>
    <definedName name="ип">#REF!</definedName>
    <definedName name="к1" localSheetId="2">#REF!</definedName>
    <definedName name="к1">#REF!</definedName>
    <definedName name="к10" localSheetId="2">#REF!</definedName>
    <definedName name="к10">#REF!</definedName>
    <definedName name="к101" localSheetId="2">#REF!</definedName>
    <definedName name="к101">#REF!</definedName>
    <definedName name="К105" localSheetId="2">#REF!</definedName>
    <definedName name="К105">#REF!</definedName>
    <definedName name="к11" localSheetId="2">#REF!</definedName>
    <definedName name="к11">#REF!</definedName>
    <definedName name="к12" localSheetId="2">#REF!</definedName>
    <definedName name="к12">#REF!</definedName>
    <definedName name="к13" localSheetId="2">#REF!</definedName>
    <definedName name="к13">#REF!</definedName>
    <definedName name="к14" localSheetId="2">#REF!</definedName>
    <definedName name="к14">#REF!</definedName>
    <definedName name="к15" localSheetId="2">#REF!</definedName>
    <definedName name="к15">#REF!</definedName>
    <definedName name="к16" localSheetId="2">#REF!</definedName>
    <definedName name="к16">#REF!</definedName>
    <definedName name="к17" localSheetId="2">#REF!</definedName>
    <definedName name="к17">#REF!</definedName>
    <definedName name="к18" localSheetId="2">#REF!</definedName>
    <definedName name="к18">#REF!</definedName>
    <definedName name="к19" localSheetId="2">#REF!</definedName>
    <definedName name="к19">#REF!</definedName>
    <definedName name="к2" localSheetId="2">#REF!</definedName>
    <definedName name="к2">#REF!</definedName>
    <definedName name="к20" localSheetId="2">#REF!</definedName>
    <definedName name="к20">#REF!</definedName>
    <definedName name="к21" localSheetId="2">#REF!</definedName>
    <definedName name="к21">#REF!</definedName>
    <definedName name="к22" localSheetId="2">#REF!</definedName>
    <definedName name="к22">#REF!</definedName>
    <definedName name="к23" localSheetId="2">#REF!</definedName>
    <definedName name="к23">#REF!</definedName>
    <definedName name="к231" localSheetId="2">#REF!</definedName>
    <definedName name="к231">#REF!</definedName>
    <definedName name="к24" localSheetId="2">#REF!</definedName>
    <definedName name="к24">#REF!</definedName>
    <definedName name="к25" localSheetId="2">#REF!</definedName>
    <definedName name="к25">#REF!</definedName>
    <definedName name="к26" localSheetId="2">#REF!</definedName>
    <definedName name="к26">#REF!</definedName>
    <definedName name="к27" localSheetId="2">#REF!</definedName>
    <definedName name="к27">#REF!</definedName>
    <definedName name="к28" localSheetId="2">#REF!</definedName>
    <definedName name="к28">#REF!</definedName>
    <definedName name="к29" localSheetId="2">#REF!</definedName>
    <definedName name="к29">#REF!</definedName>
    <definedName name="к2п" localSheetId="2">#REF!</definedName>
    <definedName name="к2п">#REF!</definedName>
    <definedName name="к3" localSheetId="2">#REF!</definedName>
    <definedName name="к3">#REF!</definedName>
    <definedName name="к30" localSheetId="2">#REF!</definedName>
    <definedName name="к30">#REF!</definedName>
    <definedName name="к3п" localSheetId="2">#REF!</definedName>
    <definedName name="к3п">#REF!</definedName>
    <definedName name="к5" localSheetId="2">#REF!</definedName>
    <definedName name="к5">#REF!</definedName>
    <definedName name="к6" localSheetId="2">#REF!</definedName>
    <definedName name="к6">#REF!</definedName>
    <definedName name="к7" localSheetId="2">#REF!</definedName>
    <definedName name="к7">#REF!</definedName>
    <definedName name="к8" localSheetId="2">#REF!</definedName>
    <definedName name="к8">#REF!</definedName>
    <definedName name="к9" localSheetId="2">#REF!</definedName>
    <definedName name="к9">#REF!</definedName>
    <definedName name="ккее" localSheetId="2">#REF!</definedName>
    <definedName name="ккее">#REF!</definedName>
    <definedName name="конкурс" localSheetId="2">#REF!</definedName>
    <definedName name="конкурс">#REF!</definedName>
    <definedName name="кп" localSheetId="2">#REF!</definedName>
    <definedName name="кп">#REF!</definedName>
    <definedName name="Крек">'[2]Лист опроса'!$B$17</definedName>
    <definedName name="Крп">'[2]Лист опроса'!$B$19</definedName>
    <definedName name="курорты" localSheetId="2">#REF!</definedName>
    <definedName name="курорты">#REF!</definedName>
    <definedName name="Кэл">'[2]Лист опроса'!$B$20</definedName>
    <definedName name="лл">[3]Вспомогательный!$D$78</definedName>
    <definedName name="мж1">'[5]СметаСводная 1 оч'!$D$6</definedName>
    <definedName name="ндс" localSheetId="2">#REF!</definedName>
    <definedName name="ндс">#REF!</definedName>
    <definedName name="Нсапк">'[2]Лист опроса'!$B$34</definedName>
    <definedName name="Нсстр">'[2]Лист опроса'!$B$32</definedName>
    <definedName name="_xlnm.Print_Area" localSheetId="8">'Cводная смета ПИР'!$A$1:$G$33</definedName>
    <definedName name="_xlnm.Print_Area" localSheetId="1">'График работ'!#REF!</definedName>
    <definedName name="_xlnm.Print_Area" localSheetId="6">НМЦ!$A$1:$E$23</definedName>
    <definedName name="_xlnm.Print_Area" localSheetId="7">НМЦК!$A$1:$G$45</definedName>
    <definedName name="_xlnm.Print_Area" localSheetId="9">'ПД '!$A$1:$J$83</definedName>
    <definedName name="_xlnm.Print_Area" localSheetId="4">Пояснительная!$A$1:$C$20</definedName>
    <definedName name="_xlnm.Print_Area" localSheetId="5">Протокол!$A$1:$N$27</definedName>
    <definedName name="_xlnm.Print_Area" localSheetId="10">'Экспертиза ПД и ИЗ'!$A$1:$H$22</definedName>
    <definedName name="ООО_НИИПРИИ___Севзапинжтехнология" localSheetId="2">#REF!</definedName>
    <definedName name="ООО_НИИПРИИ___Севзапинжтехнология">#REF!</definedName>
    <definedName name="пионер" localSheetId="2">#REF!</definedName>
    <definedName name="пионер">#REF!</definedName>
    <definedName name="Пкр">'[2]Лист опроса'!$B$41</definedName>
    <definedName name="План">'[6]Смета 7'!$F$1</definedName>
    <definedName name="пппп" localSheetId="2">#REF!</definedName>
    <definedName name="пппп">#REF!</definedName>
    <definedName name="пробная" localSheetId="2">#REF!</definedName>
    <definedName name="пробная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2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т">'[2]Лист опроса'!$B$6</definedName>
    <definedName name="Расчёт1">'[7]Смета 7'!$F$1</definedName>
    <definedName name="рек" localSheetId="2">#REF!</definedName>
    <definedName name="рек">#REF!</definedName>
    <definedName name="рига">'[8]СметаСводная снег'!$E$7</definedName>
    <definedName name="С" hidden="1">{#N/A,#N/A,FALSE,"Шаблон_Спец1"}</definedName>
    <definedName name="с1" localSheetId="2">#REF!</definedName>
    <definedName name="с1">#REF!</definedName>
    <definedName name="с10" localSheetId="2">#REF!</definedName>
    <definedName name="с10">#REF!</definedName>
    <definedName name="с2" localSheetId="2">#REF!</definedName>
    <definedName name="с2">#REF!</definedName>
    <definedName name="с3" localSheetId="2">#REF!</definedName>
    <definedName name="с3">#REF!</definedName>
    <definedName name="с4" localSheetId="2">#REF!</definedName>
    <definedName name="с4">#REF!</definedName>
    <definedName name="с5" localSheetId="2">#REF!</definedName>
    <definedName name="с5">#REF!</definedName>
    <definedName name="с6" localSheetId="2">#REF!</definedName>
    <definedName name="с6">#REF!</definedName>
    <definedName name="с7" localSheetId="2">#REF!</definedName>
    <definedName name="с7">#REF!</definedName>
    <definedName name="с8" localSheetId="2">#REF!</definedName>
    <definedName name="с8">#REF!</definedName>
    <definedName name="с9" localSheetId="2">#REF!</definedName>
    <definedName name="с9">#REF!</definedName>
    <definedName name="СВсм">[3]Вспомогательный!$D$36</definedName>
    <definedName name="сев" localSheetId="2">#REF!</definedName>
    <definedName name="сев">#REF!</definedName>
    <definedName name="см_конк" localSheetId="2">#REF!</definedName>
    <definedName name="см_конк">#REF!</definedName>
    <definedName name="См6">'[9]Смета 7'!$F$1</definedName>
    <definedName name="Смета_2">'[7]Смета 7'!$F$1</definedName>
    <definedName name="Смета11">'[10]Смета 7'!$F$1</definedName>
    <definedName name="Смета21">'[11]Смета 7'!$F$1</definedName>
    <definedName name="Смета3">[3]Вспомогательный!$D$78</definedName>
    <definedName name="сп1" localSheetId="2">#REF!</definedName>
    <definedName name="сп1">#REF!</definedName>
    <definedName name="сп2" localSheetId="2">#REF!</definedName>
    <definedName name="сп2">#REF!</definedName>
    <definedName name="Станц10">'[2]Лист опроса'!$B$23</definedName>
    <definedName name="Стр10">'[2]Лист опроса'!$B$24</definedName>
    <definedName name="СтрАУ">'[2]Лист опроса'!$B$12</definedName>
    <definedName name="СтрДУ">'[2]Лист опроса'!$B$11</definedName>
    <definedName name="Стрелки">'[2]Лист опроса'!$B$10</definedName>
  </definedNames>
  <calcPr calcId="162913" fullPrecision="0"/>
</workbook>
</file>

<file path=xl/calcChain.xml><?xml version="1.0" encoding="utf-8"?>
<calcChain xmlns="http://schemas.openxmlformats.org/spreadsheetml/2006/main">
  <c r="J28" i="45" l="1"/>
  <c r="O30" i="45"/>
  <c r="O29" i="45"/>
  <c r="O28" i="45"/>
  <c r="J24" i="45"/>
  <c r="O26" i="45"/>
  <c r="O25" i="45"/>
  <c r="O24" i="45"/>
  <c r="J20" i="45"/>
  <c r="D12" i="49" l="1"/>
  <c r="J77" i="45"/>
  <c r="J60" i="45"/>
  <c r="J36" i="45"/>
  <c r="L22" i="45"/>
  <c r="M22" i="45" s="1"/>
  <c r="K15" i="49" l="1"/>
  <c r="K16" i="49"/>
  <c r="K17" i="49"/>
  <c r="K14" i="49" l="1"/>
  <c r="I14" i="49"/>
  <c r="J14" i="49" s="1"/>
  <c r="G15" i="49"/>
  <c r="G113" i="54"/>
  <c r="G119" i="54" s="1"/>
  <c r="G120" i="54" s="1"/>
  <c r="L13" i="49" s="1"/>
  <c r="M13" i="49" s="1"/>
  <c r="G103" i="54"/>
  <c r="G110" i="54" s="1"/>
  <c r="G111" i="54" s="1"/>
  <c r="L5" i="49" s="1"/>
  <c r="J47" i="45"/>
  <c r="J10" i="45"/>
  <c r="L14" i="49" l="1"/>
  <c r="M14" i="49" s="1"/>
  <c r="M5" i="49"/>
  <c r="O12" i="45" l="1"/>
  <c r="O11" i="45"/>
  <c r="O10" i="45"/>
  <c r="E94" i="54" l="1"/>
  <c r="G94" i="54" s="1"/>
  <c r="G100" i="54" s="1"/>
  <c r="G101" i="54" s="1"/>
  <c r="L12" i="49" s="1"/>
  <c r="M12" i="49" s="1"/>
  <c r="G85" i="54"/>
  <c r="G91" i="54" s="1"/>
  <c r="G92" i="54" s="1"/>
  <c r="L11" i="49" s="1"/>
  <c r="M11" i="49" s="1"/>
  <c r="G75" i="54"/>
  <c r="G82" i="54" s="1"/>
  <c r="G63" i="54"/>
  <c r="G62" i="54"/>
  <c r="G53" i="54"/>
  <c r="G59" i="54" s="1"/>
  <c r="G60" i="54" s="1"/>
  <c r="L10" i="49" s="1"/>
  <c r="M10" i="49" s="1"/>
  <c r="G44" i="54"/>
  <c r="G50" i="54" s="1"/>
  <c r="G51" i="54" s="1"/>
  <c r="O79" i="45"/>
  <c r="O78" i="45"/>
  <c r="O77" i="45"/>
  <c r="J52" i="45"/>
  <c r="J68" i="45"/>
  <c r="J64" i="45"/>
  <c r="J32" i="45"/>
  <c r="J18" i="45"/>
  <c r="J14" i="45"/>
  <c r="G64" i="54" l="1"/>
  <c r="G72" i="54" s="1"/>
  <c r="G73" i="54" s="1"/>
  <c r="G83" i="54"/>
  <c r="O81" i="45"/>
  <c r="M16" i="45" l="1"/>
  <c r="L16" i="45"/>
  <c r="O18" i="45"/>
  <c r="M17" i="45"/>
  <c r="L17" i="45"/>
  <c r="E16" i="50" l="1"/>
  <c r="D16" i="50"/>
  <c r="G15" i="13"/>
  <c r="F16" i="50" l="1"/>
  <c r="G16" i="50" l="1"/>
  <c r="H16" i="50"/>
  <c r="C15" i="47"/>
  <c r="E37" i="50"/>
  <c r="E39" i="50" s="1"/>
  <c r="E36" i="50"/>
  <c r="A3" i="47" l="1"/>
  <c r="J73" i="45"/>
  <c r="J56" i="45"/>
  <c r="J42" i="45"/>
  <c r="L82" i="45" l="1"/>
  <c r="O34" i="45"/>
  <c r="O33" i="45"/>
  <c r="O32" i="45"/>
  <c r="L83" i="45" l="1"/>
  <c r="J81" i="45"/>
  <c r="J82" i="45" s="1"/>
  <c r="J83" i="45" s="1"/>
  <c r="O22" i="45"/>
  <c r="O21" i="45"/>
  <c r="O20" i="45"/>
  <c r="G35" i="54" l="1"/>
  <c r="G41" i="54" s="1"/>
  <c r="G26" i="54"/>
  <c r="G32" i="54" s="1"/>
  <c r="G42" i="54" l="1"/>
  <c r="G33" i="54"/>
  <c r="L7" i="49" s="1"/>
  <c r="M7" i="49" s="1"/>
  <c r="L6" i="49" l="1"/>
  <c r="O16" i="45"/>
  <c r="M6" i="49" l="1"/>
  <c r="O14" i="45"/>
  <c r="O15" i="45"/>
  <c r="B27" i="50" l="1"/>
  <c r="B32" i="50" s="1"/>
  <c r="B33" i="50" l="1"/>
  <c r="E40" i="50" s="1"/>
  <c r="G15" i="54"/>
  <c r="G22" i="54" s="1"/>
  <c r="G23" i="54" s="1"/>
  <c r="G5" i="54"/>
  <c r="E14" i="50" l="1"/>
  <c r="E13" i="50"/>
  <c r="L9" i="49"/>
  <c r="M9" i="49" s="1"/>
  <c r="G4" i="54"/>
  <c r="G11" i="54" l="1"/>
  <c r="G12" i="54" l="1"/>
  <c r="L8" i="49" s="1"/>
  <c r="M8" i="49" l="1"/>
  <c r="E44" i="50"/>
  <c r="E45" i="50" s="1"/>
  <c r="C4" i="51" l="1"/>
  <c r="E15" i="50" l="1"/>
  <c r="G17" i="49" l="1"/>
  <c r="I17" i="49" s="1"/>
  <c r="J17" i="49" s="1"/>
  <c r="L17" i="49" s="1"/>
  <c r="M17" i="49" l="1"/>
  <c r="I15" i="49"/>
  <c r="J15" i="49" s="1"/>
  <c r="L15" i="49" l="1"/>
  <c r="M15" i="49" l="1"/>
  <c r="G16" i="49"/>
  <c r="I16" i="49" l="1"/>
  <c r="J16" i="49" s="1"/>
  <c r="L16" i="49" l="1"/>
  <c r="L18" i="49" s="1"/>
  <c r="M16" i="49" l="1"/>
  <c r="M18" i="49" s="1"/>
  <c r="D73" i="13" l="1"/>
  <c r="D70" i="13"/>
  <c r="E70" i="13" s="1"/>
  <c r="D67" i="13"/>
  <c r="E67" i="13" s="1"/>
  <c r="D75" i="13" l="1"/>
  <c r="E75" i="13" s="1"/>
  <c r="E79" i="13" s="1"/>
  <c r="E73" i="13"/>
  <c r="E76" i="13" l="1"/>
  <c r="G17" i="13"/>
  <c r="G13" i="13"/>
  <c r="G16" i="13"/>
  <c r="G14" i="13" l="1"/>
  <c r="G18" i="13" l="1"/>
  <c r="B13" i="50" s="1"/>
  <c r="D13" i="50" s="1"/>
  <c r="F13" i="50" l="1"/>
  <c r="C13" i="47" s="1"/>
  <c r="G13" i="50" l="1"/>
  <c r="C5" i="13"/>
  <c r="C4" i="35"/>
  <c r="D12" i="35" l="1"/>
  <c r="D14" i="35" s="1"/>
  <c r="E54" i="13"/>
  <c r="D49" i="13" l="1"/>
  <c r="E49" i="13" s="1"/>
  <c r="D46" i="13"/>
  <c r="D43" i="13"/>
  <c r="E43" i="13" s="1"/>
  <c r="D51" i="13" l="1"/>
  <c r="E51" i="13" s="1"/>
  <c r="E52" i="13" s="1"/>
  <c r="E46" i="13"/>
  <c r="E55" i="13" l="1"/>
  <c r="D15" i="47" l="1"/>
  <c r="E15" i="47" l="1"/>
  <c r="F20" i="13" l="1"/>
  <c r="A3" i="48" l="1"/>
  <c r="G20" i="13" l="1"/>
  <c r="G21" i="13" s="1"/>
  <c r="B14" i="50" s="1"/>
  <c r="L15" i="28"/>
  <c r="L14" i="28"/>
  <c r="L13" i="28"/>
  <c r="L12" i="28"/>
  <c r="D14" i="50" l="1"/>
  <c r="E78" i="13"/>
  <c r="E80" i="13" s="1"/>
  <c r="E81" i="13" s="1"/>
  <c r="F81" i="13" s="1"/>
  <c r="L16" i="28"/>
  <c r="D18" i="28" s="1"/>
  <c r="L18" i="28" s="1"/>
  <c r="E82" i="13" l="1"/>
  <c r="F14" i="50"/>
  <c r="D16" i="35"/>
  <c r="D18" i="35" s="1"/>
  <c r="D19" i="35" s="1"/>
  <c r="D17" i="28"/>
  <c r="L17" i="28" s="1"/>
  <c r="D27" i="28" s="1"/>
  <c r="L27" i="28" s="1"/>
  <c r="D19" i="28"/>
  <c r="L19" i="28" s="1"/>
  <c r="H14" i="50" l="1"/>
  <c r="C14" i="47"/>
  <c r="L21" i="28"/>
  <c r="D24" i="28" s="1"/>
  <c r="G14" i="50"/>
  <c r="E56" i="13"/>
  <c r="E57" i="13" s="1"/>
  <c r="D13" i="47" s="1"/>
  <c r="D23" i="28" l="1"/>
  <c r="L23" i="28" s="1"/>
  <c r="I14" i="50"/>
  <c r="E58" i="13"/>
  <c r="F57" i="13"/>
  <c r="L24" i="28"/>
  <c r="D14" i="47" l="1"/>
  <c r="D25" i="28"/>
  <c r="L25" i="28" s="1"/>
  <c r="D26" i="28"/>
  <c r="L26" i="28" s="1"/>
  <c r="D28" i="28" l="1"/>
  <c r="L28" i="28" s="1"/>
  <c r="L29" i="28" s="1"/>
  <c r="L30" i="28" s="1"/>
  <c r="L31" i="28" s="1"/>
  <c r="L32" i="28" s="1"/>
  <c r="L33" i="28" s="1"/>
  <c r="L34" i="28" s="1"/>
  <c r="H20" i="35" l="1"/>
  <c r="H21" i="35" s="1"/>
  <c r="G23" i="13" s="1"/>
  <c r="G24" i="13" s="1"/>
  <c r="E13" i="47"/>
  <c r="G25" i="13" l="1"/>
  <c r="B15" i="50"/>
  <c r="B17" i="50" s="1"/>
  <c r="D15" i="50" l="1"/>
  <c r="D17" i="50" s="1"/>
  <c r="E14" i="47"/>
  <c r="B18" i="50" l="1"/>
  <c r="B19" i="50" s="1"/>
  <c r="B20" i="50" s="1"/>
  <c r="F15" i="50"/>
  <c r="F17" i="50" s="1"/>
  <c r="D18" i="50"/>
  <c r="D19" i="50" s="1"/>
  <c r="D20" i="50" s="1"/>
  <c r="C16" i="47" l="1"/>
  <c r="H15" i="50"/>
  <c r="C21" i="47"/>
  <c r="G15" i="50"/>
  <c r="G17" i="50" l="1"/>
  <c r="F18" i="50"/>
  <c r="D21" i="47"/>
  <c r="E21" i="47" s="1"/>
  <c r="C17" i="47"/>
  <c r="F19" i="50" l="1"/>
  <c r="F20" i="50" s="1"/>
  <c r="H20" i="50" s="1"/>
  <c r="C18" i="47"/>
  <c r="G18" i="50"/>
  <c r="D16" i="47"/>
  <c r="D17" i="47" s="1"/>
  <c r="G19" i="50" l="1"/>
  <c r="G20" i="50" s="1"/>
  <c r="E16" i="47"/>
  <c r="D18" i="47"/>
  <c r="E18" i="47" s="1"/>
  <c r="E17" i="47" l="1"/>
  <c r="B19" i="48" s="1"/>
  <c r="G6" i="51" l="1"/>
</calcChain>
</file>

<file path=xl/comments1.xml><?xml version="1.0" encoding="utf-8"?>
<comments xmlns="http://schemas.openxmlformats.org/spreadsheetml/2006/main">
  <authors>
    <author>Автор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другой справочник?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позиция 2 и 3 - за двоение работ 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2. По пунктам 2 и 3 неверно указан масштаб карт, на которые наносятся результат работ. В отчёте приведены карты М 1:1500. В качестве исходных данных  использовались карты М 1:2000. 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5. Техническим отчётом не обоснованы работы по курированию инженерных изысканий п.8 сметы.</t>
        </r>
      </text>
    </comment>
  </commentList>
</comments>
</file>

<file path=xl/sharedStrings.xml><?xml version="1.0" encoding="utf-8"?>
<sst xmlns="http://schemas.openxmlformats.org/spreadsheetml/2006/main" count="774" uniqueCount="501">
  <si>
    <t xml:space="preserve">СВОДНАЯ  СМЕТА </t>
  </si>
  <si>
    <t>Наименование организации-заказчика</t>
  </si>
  <si>
    <t>№ п/п</t>
  </si>
  <si>
    <t>Перечень выполняемых работ</t>
  </si>
  <si>
    <t>1.1</t>
  </si>
  <si>
    <t>Руб.</t>
  </si>
  <si>
    <t>на проектные (изыскательские) работы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</si>
  <si>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</si>
  <si>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</si>
  <si>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Характеристика проектируемого объекта п. ЗП</t>
  </si>
  <si>
    <t>Изыскательские работы</t>
  </si>
  <si>
    <t>Проектные работы</t>
  </si>
  <si>
    <t>Итого</t>
  </si>
  <si>
    <t>1. ИЗЫСКАТЕЛЬСКИЕ РАБОТЫ</t>
  </si>
  <si>
    <t>ИТОГО по разделу 1:</t>
  </si>
  <si>
    <t>ИТОГО по разделу 2:</t>
  </si>
  <si>
    <t>Итого:</t>
  </si>
  <si>
    <t>№№ п/п</t>
  </si>
  <si>
    <t>Наименование работ и затрат</t>
  </si>
  <si>
    <t>Единица измерен.</t>
  </si>
  <si>
    <t>Кол-во</t>
  </si>
  <si>
    <t>Обоснование стоимости</t>
  </si>
  <si>
    <t xml:space="preserve">Расчет стоимости                                                </t>
  </si>
  <si>
    <t xml:space="preserve">Стоимость, руб. </t>
  </si>
  <si>
    <t>цена за ед</t>
  </si>
  <si>
    <t>К1</t>
  </si>
  <si>
    <t>К2</t>
  </si>
  <si>
    <t>К3</t>
  </si>
  <si>
    <t>К4</t>
  </si>
  <si>
    <t>К5</t>
  </si>
  <si>
    <t>1. Полевые работы</t>
  </si>
  <si>
    <t>Итого полевых работ:</t>
  </si>
  <si>
    <t>Расходы на организацию и ликвидацию полевых работ</t>
  </si>
  <si>
    <t>Срочность выполнения работ</t>
  </si>
  <si>
    <t>НДС 18%</t>
  </si>
  <si>
    <t>Характеристика предприятия, здания, сооружения или виды работ</t>
  </si>
  <si>
    <t>Единица измерения</t>
  </si>
  <si>
    <t>1 га</t>
  </si>
  <si>
    <t>ИТОГО в ценах 2001 года:</t>
  </si>
  <si>
    <t>Составил:________________</t>
  </si>
  <si>
    <t>Расходы по курированию инженерных изысканий</t>
  </si>
  <si>
    <t>Выдача промежуточых материалов изысканий</t>
  </si>
  <si>
    <t>ИТОГО прочих расходов:</t>
  </si>
  <si>
    <t>СБЦ-99, О.У.п.15</t>
  </si>
  <si>
    <t>ИТОГО с учетом понижающего коэффициента</t>
  </si>
  <si>
    <t>ИТОГО по смете:</t>
  </si>
  <si>
    <t>Ссылка на №№ смет по формам 2п и 3п</t>
  </si>
  <si>
    <t>Пассажирская подвесная канатная дорога гондольного типа SL1 c многофункциональным центром
для п. "Романтик", ВТРК "Архыз"</t>
  </si>
  <si>
    <t>АО "Курорты Северного Кавказа"</t>
  </si>
  <si>
    <t xml:space="preserve">  Смета№12-02-08</t>
  </si>
  <si>
    <t>на дендрологические исследования</t>
  </si>
  <si>
    <t>Смета составлена по Справочнику базовых цен на  лесохозяйственные изыскания (2006 г.)</t>
  </si>
  <si>
    <t>Рекогносцировочные агролесомелиоративные изыскания</t>
  </si>
  <si>
    <t>1 км2</t>
  </si>
  <si>
    <t>СБЦнЛИ, М. 2006, Табл. 1 п.1</t>
  </si>
  <si>
    <t>Ландшафтный анализ территории с нанесением результатов на карты (планы) в масштабе:1 : 1500 (332- (332-175)/2)</t>
  </si>
  <si>
    <t>СБЦнЛИ, М. 2006, Табл. 18 п.2-3</t>
  </si>
  <si>
    <t>Таксация лесного фонда с ландшафтной оценкой территории и нанесением результатов на карты в масштабе:1 : 1500 (242-(242-142)/2)</t>
  </si>
  <si>
    <t>СБЦнЛИ, М. 2006, Табл. 19 п.2-3</t>
  </si>
  <si>
    <t xml:space="preserve">Подеревная инвентаризация </t>
  </si>
  <si>
    <t>1 дерево</t>
  </si>
  <si>
    <t xml:space="preserve">СБЦнЛИ, М. 2006, Табл. 20 п.1 </t>
  </si>
  <si>
    <t>О.У.,т.1 п.1</t>
  </si>
  <si>
    <t>Выполнение изысканий в горных и высокогорных районах (1700 до 2000м)</t>
  </si>
  <si>
    <t>О.У.,т.1 п.2</t>
  </si>
  <si>
    <t>Выполнение изысканий в горных и высокогорных районах (2000 до3000м)</t>
  </si>
  <si>
    <t>О.У.,т.1 п.3</t>
  </si>
  <si>
    <t>2. Прочие расходы</t>
  </si>
  <si>
    <t>Расходы по внутреннему транспорту  при расст. от базы 10 км</t>
  </si>
  <si>
    <t>СБЦнЛИ, М. 2006, т.4 п.2</t>
  </si>
  <si>
    <t>Расходы по внешнему транспорту 2300 км.</t>
  </si>
  <si>
    <t>СБЦнЛИ, М. 2006, т.5 п.6</t>
  </si>
  <si>
    <t xml:space="preserve">СБЦнЛИ, М. 2006, О.У.п.11 </t>
  </si>
  <si>
    <t xml:space="preserve">СБЦнЛИ, М. 2006, О.У.п.13 </t>
  </si>
  <si>
    <t xml:space="preserve">СБЦнЛИ, М. 2006, О.У.п.16 </t>
  </si>
  <si>
    <t>ИТОГО c  коэф.  по письмам Минстроя России №25760-ЮР/08 от 13.08.2015</t>
  </si>
  <si>
    <t xml:space="preserve"> ИТОГО по смете с НДС</t>
  </si>
  <si>
    <t>Выполнение изысканий в горных и высокогорных районах (2000 до 3000м)</t>
  </si>
  <si>
    <t xml:space="preserve"> </t>
  </si>
  <si>
    <t>Наименование предприятия, здания, сооружения</t>
  </si>
  <si>
    <t>Стадия проектирования</t>
  </si>
  <si>
    <t>Проектная документация</t>
  </si>
  <si>
    <t>Вид проектных или
изыскательских работ</t>
  </si>
  <si>
    <t>Наименование проектной (изыскательской) организации</t>
  </si>
  <si>
    <t>Наименование организации
заказчика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</si>
  <si>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</si>
  <si>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Расчет стоимости: (a+bx)*Kj или (объём строительно-монтажных работ)*проц./ 100 или количество * цена</t>
  </si>
  <si>
    <t>Стоимость работ, Руб.</t>
  </si>
  <si>
    <t>Экспертиза проектно-изыскательских работ</t>
  </si>
  <si>
    <t>Постановление Правительства РФ от 05.03.2007 № 145</t>
  </si>
  <si>
    <t>рублей</t>
  </si>
  <si>
    <t>% от суммы Спд и Сиж</t>
  </si>
  <si>
    <r>
      <t>Наименование изыскательской организации:</t>
    </r>
    <r>
      <rPr>
        <sz val="10"/>
        <rFont val="Arial Cyr"/>
        <charset val="204"/>
      </rPr>
      <t xml:space="preserve"> ООО "Росинжиниринг Проект"</t>
    </r>
  </si>
  <si>
    <t xml:space="preserve">Наименование организации заказчика:  АО «Курорты Северного Кавказа»  </t>
  </si>
  <si>
    <t>Форма 2П</t>
  </si>
  <si>
    <t>Вид проектных или изыскательских работ</t>
  </si>
  <si>
    <t xml:space="preserve">  </t>
  </si>
  <si>
    <t>АО "КСК"</t>
  </si>
  <si>
    <t>Итого: ИЗ+ПД</t>
  </si>
  <si>
    <t>Примечание</t>
  </si>
  <si>
    <t>м</t>
  </si>
  <si>
    <t>Итого в ценах 2001 г.</t>
  </si>
  <si>
    <t xml:space="preserve">          Стоимость работ, руб без НДС</t>
  </si>
  <si>
    <t xml:space="preserve">Начало работ - </t>
  </si>
  <si>
    <t xml:space="preserve">Окончание работ - </t>
  </si>
  <si>
    <t xml:space="preserve">Расчет цены договора         </t>
  </si>
  <si>
    <t xml:space="preserve">Продолжительность работ в соответствие с Графиком - </t>
  </si>
  <si>
    <t>№ п.п.</t>
  </si>
  <si>
    <t>Перечень видов работ</t>
  </si>
  <si>
    <t>без НДС</t>
  </si>
  <si>
    <t>с учетом НДС</t>
  </si>
  <si>
    <t>Инженерные изыскания</t>
  </si>
  <si>
    <t>В том числе инфляционная составляющая за период выполнения работ</t>
  </si>
  <si>
    <t>Разработка проектной документации стадии " Проектная документация"</t>
  </si>
  <si>
    <t>ПОЯСНИТЕЛЬНАЯ ЗАПИСКА</t>
  </si>
  <si>
    <t>К РАСЧЕТУ НАЧАЛЬНОЙ МАКСИМАЛЬНОЙ ЦЕНЫ ДОГОВОРА</t>
  </si>
  <si>
    <t>рублей с учетом НДС</t>
  </si>
  <si>
    <t>Расчет затрат на проведение экспертизы проектных решений и материалов инженерных изысканий</t>
  </si>
  <si>
    <t>комплекс</t>
  </si>
  <si>
    <t>К=0,4 Проектная документация</t>
  </si>
  <si>
    <t>Смета № 1-пд</t>
  </si>
  <si>
    <t>3.1</t>
  </si>
  <si>
    <t>ИТОГО по разделу 3:</t>
  </si>
  <si>
    <t>Итоговая начальная максимальная цена проектно-изыскательских работ  составляет:</t>
  </si>
  <si>
    <t>Е.А. Татаринова</t>
  </si>
  <si>
    <t>Заместитель директора Департамента развития инфраструктуры АО "КСК"</t>
  </si>
  <si>
    <t>Описание метода расчета стоимости изыскательских работ</t>
  </si>
  <si>
    <t>Описание метода расчета стоимости проектных работ</t>
  </si>
  <si>
    <t>2. ПРОЕКТНЫЕ РАБОТЫ СТАДИИ ПД</t>
  </si>
  <si>
    <t>ВСЕГО:</t>
  </si>
  <si>
    <t xml:space="preserve">РАСЧЕТ СТОИМОСТИ РАБОТ  С УЧЕТОМ ИНДЕКСА ДЕФЛЯТОРА </t>
  </si>
  <si>
    <t>К=0,68 коэффициент относительной стоимости, для начисления усл. К-тов (здания и сооруж-6%, технологические и конструктивные решения=52%, электр.-10%)</t>
  </si>
  <si>
    <t>п.м.</t>
  </si>
  <si>
    <t>К=0,76 коэффициент относительной стоимости, для начисления сейсмичности (здания и сооруж-6%, технологические и конструктивные решения=70%)</t>
  </si>
  <si>
    <t>К=1,1 ценообразующий п.2.3.3 полиэтилен</t>
  </si>
  <si>
    <t>К=0,5 Проектная документация</t>
  </si>
  <si>
    <t>2.1.</t>
  </si>
  <si>
    <t>В расчете приняты предполагаемые виды и объемы проектных работ в соответствие с заданием на проектирование , предполагаемые технические характеристики объектов проектирования.</t>
  </si>
  <si>
    <t xml:space="preserve">В расчете приняты предполагаемые виды и объемы изыскательских работ  в соответствие с заданием на проектирование. </t>
  </si>
  <si>
    <t xml:space="preserve">РАСЧЕТ ИНДЕКСА-ДЕФЛЯТОРА ДЛЯ ИЗЫСКАНИЙ </t>
  </si>
  <si>
    <t xml:space="preserve">ИД1- индекс -дефлятор Минэкономразвития РФ на капвложения </t>
  </si>
  <si>
    <t>Т1 - Продолжительность периода  от момента формирования текущих цен  до начала выполнения работ, мес</t>
  </si>
  <si>
    <t>Рост цен                                  Р1= (ИД1-100)/100*Т1/12</t>
  </si>
  <si>
    <t>Индекс роста цен                                              ИРт1=(1+Р1)</t>
  </si>
  <si>
    <t xml:space="preserve">ИД2- индекс -дефлятор Минэкономразвития РФ на капвложения </t>
  </si>
  <si>
    <t>Т2 - Продолжительность периода  от начала выполнения работ до конца года, мес</t>
  </si>
  <si>
    <t>Рост цен                               Р2= (ИД2-100)/100*Т2/12</t>
  </si>
  <si>
    <t>Индекс роста цен                                     ИРт2=(1+Р2)</t>
  </si>
  <si>
    <t>2019  год</t>
  </si>
  <si>
    <t xml:space="preserve">ИД3- индекс -дефлятор Минэкономразвития РФ на капвложения </t>
  </si>
  <si>
    <t>Рост цен                               Р3= (ИД3-100)/100*Т3/12</t>
  </si>
  <si>
    <t>Индекс роста цен                                     ИРт3=(1+Р3)</t>
  </si>
  <si>
    <t>Итого индекс роста цен</t>
  </si>
  <si>
    <t>ИРТ1*ИРТ4</t>
  </si>
  <si>
    <t>РАСЧЕТ СТОИМОСТИ РАБОТ</t>
  </si>
  <si>
    <t>Стоимость работ</t>
  </si>
  <si>
    <t>Дефлятор</t>
  </si>
  <si>
    <t>Стоимость работ  с учетом дефлятора</t>
  </si>
  <si>
    <t>С учетом авансирования- 30%</t>
  </si>
  <si>
    <t xml:space="preserve"> Н(м)ЦД(1-1)А=СС1+(Н(м)ЦД1-1-СС1)*(1-А/100)                     </t>
  </si>
  <si>
    <t>Инфляционная составляющая</t>
  </si>
  <si>
    <t>3. Экспертиза проектной документации  и результатов инженерных изысканий, проверка достоверности определения сметной стоимости строительства объекта.</t>
  </si>
  <si>
    <t xml:space="preserve">Экспертиза проектной документации  и результатов инженерных изысканий. </t>
  </si>
  <si>
    <t>на выполнение проектно-изыскательских работ по объекту</t>
  </si>
  <si>
    <t>НДС-20 %</t>
  </si>
  <si>
    <t>К=0,4- стадия ПД</t>
  </si>
  <si>
    <t>м2</t>
  </si>
  <si>
    <t>1.2</t>
  </si>
  <si>
    <t>Государственная экспертиза проектной документации и результатов инженерных изысканий</t>
  </si>
  <si>
    <t>2020  год</t>
  </si>
  <si>
    <t>Т3 - Продолжительность периода  от начала года до окончания работ, мес</t>
  </si>
  <si>
    <t>Рост цен за период выполнения работ</t>
  </si>
  <si>
    <t>ИРт4=(1+0,5*Р4)</t>
  </si>
  <si>
    <t>Р4= (Р2+Р3)</t>
  </si>
  <si>
    <t xml:space="preserve">К=0,36 коэффициент относительной стоимости для начисления сейсмичности (технологические - 18%, связь - 2 %, электрика- 16%) </t>
  </si>
  <si>
    <t>Колодцы учтены в цене</t>
  </si>
  <si>
    <t>Волоконно-оптический кабель</t>
  </si>
  <si>
    <t>К=1,1 - Проектирование наружных установок промышленного телевизионного оборудования на территории объекта</t>
  </si>
  <si>
    <t>К=0,5- стадия ПД</t>
  </si>
  <si>
    <t>Сети водоснабжения</t>
  </si>
  <si>
    <t>СБЦ  "Коммунальные инженерные сети и сооружения", Таб. 4, п.1 (От 100 до 1000 м)</t>
  </si>
  <si>
    <t xml:space="preserve">К= 1,15 на последующую нить  (п. 2.3.3.  ТЧ) </t>
  </si>
  <si>
    <t>Кабельная линия 0,4 кВ</t>
  </si>
  <si>
    <t>Инженерно-геодезические изыскания</t>
  </si>
  <si>
    <t>Инженерно-геологические изыскания</t>
  </si>
  <si>
    <t>Инженерно-гидрометеорологические изыскания</t>
  </si>
  <si>
    <t>Инженерно-экологические изыскания</t>
  </si>
  <si>
    <t>1.3</t>
  </si>
  <si>
    <t>1.4</t>
  </si>
  <si>
    <t>СБЦ  "Коммунальные инженерные сети и сооружения", Таб. 4, п.18 (До 300 м)</t>
  </si>
  <si>
    <t>Смета № 2-из</t>
  </si>
  <si>
    <t>Смета № 1-из</t>
  </si>
  <si>
    <t>Смета № 3-из</t>
  </si>
  <si>
    <t>Смета № 4-из</t>
  </si>
  <si>
    <t>2 месяца</t>
  </si>
  <si>
    <t>СБЦ  "Коммунальные инженерные сети и сооружения", Таб. 17, п.2 (от 100 до 500 м)</t>
  </si>
  <si>
    <t>16 декабря 2019.  </t>
  </si>
  <si>
    <t>13 февраля 2020 г.</t>
  </si>
  <si>
    <t>РАСЧЕТ ИНДЕКСА-ДЕФЛЯТОРА ДЛЯ ПРОЕКТНОЙ ДОКУМЕНТАЦИИ</t>
  </si>
  <si>
    <t>(включая период прохождения экспертизы ПД)</t>
  </si>
  <si>
    <t>12 июня 2020 г.</t>
  </si>
  <si>
    <t>5,9 месяцев</t>
  </si>
  <si>
    <t>№</t>
  </si>
  <si>
    <t>Наименование</t>
  </si>
  <si>
    <t>АНАЛОГ</t>
  </si>
  <si>
    <t>Ориентировочная стоимость объекта в ценовом периоде аналога, тыс. руб.без учета НДС</t>
  </si>
  <si>
    <t>Итого, тыс. руб. без учета НДС</t>
  </si>
  <si>
    <t>Итого тыс. руб. с учетом НДС</t>
  </si>
  <si>
    <t>Аналог</t>
  </si>
  <si>
    <t>Ценовой период аналога</t>
  </si>
  <si>
    <t>Стоимость по ССР, тыс.руб. без НДС</t>
  </si>
  <si>
    <t>ИТОГО:</t>
  </si>
  <si>
    <t>II квартал 2016 г.</t>
  </si>
  <si>
    <t>Основной показатель</t>
  </si>
  <si>
    <t>Единица измерения основного показателя</t>
  </si>
  <si>
    <t>Стоимость единицы показателя, тыс. руб. без НДС</t>
  </si>
  <si>
    <t>п.м</t>
  </si>
  <si>
    <t>Всесезонный туристско-рекреационный комплекс "Архыз", Карачаево-Черкесская республика. Магистральные сети инженерно-технического обеспечения и устройство автодороги, пос. Лунная поляна (этапы 1, 2). Этап 2.  ЛС 05-02 Внутриплощадочные связи</t>
  </si>
  <si>
    <t>II квартал 2019 г.</t>
  </si>
  <si>
    <t>"Объекты Северного склона поселка Романтик, ВТРК "Архыз". Этап 1. Пассажирская канатная дорога NL1. (Секция 1.G1-G2, Секция 2.G3-G4, Секция 3.G5-G6), ОС 04-05 Кабельные линии 10 и 0,4 кВ</t>
  </si>
  <si>
    <t>Наружное освещение</t>
  </si>
  <si>
    <t>Всесезонный туристско-рекреационный комплекс "Архыз", Карачаево-Черкесская республика. Магистральные сети инженерно-технического обеспечения и устройство автодороги, пос. Лунная поляна (этапы 1, 2). Этап 2.  ЛС 07-07 Наружное освещение автомобильной дороги</t>
  </si>
  <si>
    <t>Стоимость инж.изыск. в уровне цен 01.01.2001 г. без НДС</t>
  </si>
  <si>
    <t>Стоимость проектных работ в уровне цен 01.01.2001 г. без НДС</t>
  </si>
  <si>
    <t xml:space="preserve">Расчет начальной (максимальной) цены контракта при осуществлении закупок работ по инженерным изысканиям и по подготовке проектной документации </t>
  </si>
  <si>
    <t>объект:</t>
  </si>
  <si>
    <t>по адресу:</t>
  </si>
  <si>
    <t>Основания для расчета: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</si>
  <si>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</si>
  <si>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</si>
  <si>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</si>
  <si>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</si>
  <si>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>Выполнение инженерных изысканий</t>
  </si>
  <si>
    <t>Разработка проектной документации</t>
  </si>
  <si>
    <t xml:space="preserve">Затраты на оплату услуг Госэкспертизы </t>
  </si>
  <si>
    <t>Резерв средств на непредвиденные работы и затраты</t>
  </si>
  <si>
    <t>Стоимость без учета НДС</t>
  </si>
  <si>
    <t>НДС-20%</t>
  </si>
  <si>
    <t>Стоимость с учетом НДС</t>
  </si>
  <si>
    <t>Примечание:</t>
  </si>
  <si>
    <t>Расчет индекса прогнозной инфляции для инженерных изысканий и проектной документации</t>
  </si>
  <si>
    <t>мес.</t>
  </si>
  <si>
    <t>с учетом времени на прохождение госэкспертизы</t>
  </si>
  <si>
    <t>Начало работ</t>
  </si>
  <si>
    <t>Окончание работ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</si>
  <si>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</si>
  <si>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</si>
  <si>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</si>
  <si>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</si>
  <si>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</si>
  <si>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инженерно-геодезические изыскания</t>
  </si>
  <si>
    <t>инженерно-геологические изыскания</t>
  </si>
  <si>
    <t>инженерно-гидрометеорологические изыскания</t>
  </si>
  <si>
    <t>инженерно-экологические изыскания</t>
  </si>
  <si>
    <t>- резерв средств на непредвиденные работы и затраты;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</si>
  <si>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</si>
  <si>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</si>
  <si>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</si>
  <si>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</si>
  <si>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</si>
  <si>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1. Задание на проектирование.</t>
  </si>
  <si>
    <t>2. Справочники базовых цен на инженерные изыскания и справочники базовых цен на проектные работы.</t>
  </si>
  <si>
    <t>*Индекс фактической инфляции по данным Росстата от цен  сметной документации до даты формирования НМЦК = 1</t>
  </si>
  <si>
    <t>В том числе непредвиденные расходы</t>
  </si>
  <si>
    <t>Для опредления цены проектных работ принят  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</si>
  <si>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Письма Минэкономразвития России от 1 октября 2019 г. № 33198-ПБ/Д03и.</t>
  </si>
  <si>
    <t>В расчете учтен резерв средств на непредвиденные затраты в размере 2%</t>
  </si>
  <si>
    <t>Налог на добавленную стоимость - 20 %</t>
  </si>
  <si>
    <t>2016г.</t>
  </si>
  <si>
    <t>2017г.</t>
  </si>
  <si>
    <t>1. Письмо Министерства экономического развития РФ от 20 июня 2016 г. N Д28и-1655 "О разъяснениях, связанных с применением постановления Правительства Российской Федерации от 14 марта 2016 г. N 191"</t>
  </si>
  <si>
    <t>2. Письмо Минэкономразвития России (Министерства экономического развития РФ) от 03 октября 2018 г. №28438-АТ/Д03и</t>
  </si>
  <si>
    <t>3. Письмо Министерства экономического развития РФ от 1 октября 2019 г. N 33198-ПБ/Д03и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</si>
  <si>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2018г.</t>
  </si>
  <si>
    <t>2019г.</t>
  </si>
  <si>
    <t>2020г.</t>
  </si>
  <si>
    <t>Индекс Минэкономразвития РФ на 2020 г. (Письмо Минэкономразвития России от 1 октября 2019 г. 
№ 33198-ПБ/Д03и)</t>
  </si>
  <si>
    <t>Ежемесячный индекс прогноз на 2020 г.</t>
  </si>
  <si>
    <t>Итого индекс прогнозной инфляции И=</t>
  </si>
  <si>
    <t>2021г.</t>
  </si>
  <si>
    <t>РД</t>
  </si>
  <si>
    <t>Наименование объекта строительства</t>
  </si>
  <si>
    <t>Обоснование</t>
  </si>
  <si>
    <t>Кол.</t>
  </si>
  <si>
    <t>Стоимость в  тыс. руб.</t>
  </si>
  <si>
    <t xml:space="preserve">Регионально-климатический коэффициент </t>
  </si>
  <si>
    <t>Стоимость единицы изм. по состоянию на 01.01.2020 г., тыс. руб.*</t>
  </si>
  <si>
    <t>Поправочные коэффициенты</t>
  </si>
  <si>
    <t>Коэффициент на сейсмичность</t>
  </si>
  <si>
    <t>Зональный коэффициент</t>
  </si>
  <si>
    <t>Расчет по УНЦС</t>
  </si>
  <si>
    <t>1 км</t>
  </si>
  <si>
    <t>ТЧ сборника п.26
Таблица № 6</t>
  </si>
  <si>
    <t>ТЧ сборника п.29</t>
  </si>
  <si>
    <t>НЦС 81-02-14-2020
Таблица 14-07-005-07
Наружные инженерные сети канализации из полиэтиленовых труб, разработка сухого грунта в oтвал, без креплений (группа грунтов 4)
диаметром 400 мм 
глубиной 2 м (прим.)</t>
  </si>
  <si>
    <t>ТЧ сборника п.27 
Таблица № 7
I температурная зона</t>
  </si>
  <si>
    <t>(1,00295^6,7+1,00295^11)/2</t>
  </si>
  <si>
    <t>НЦС 81-02-14-2020
Таблица 14-07-005-01
Наружные инженерные сети канализации из полиэтиленовых труб, разработка сухого грунта в oтвал, без креплений (группа грунтов 4)
диаметром 160 мм 
глубиной 2 м (прим.)</t>
  </si>
  <si>
    <t>НЦС 81-02-14-2020
Таблица 14-06-005-05
Наружные инженерные сети водоснабжения из полиэтиленовых труб, разработка сухого грунта в oтвал, без креплений (группа грунтов 4)
диаметром 160 мм 
глубиной 2 м (прим.)</t>
  </si>
  <si>
    <t>Прокладка в 2 нити</t>
  </si>
  <si>
    <t>ТЧ сборника п.16
Таблица № 1</t>
  </si>
  <si>
    <t>разбить на внутренние и наружные</t>
  </si>
  <si>
    <t>Доля работ, выполняемых в 2020 году</t>
  </si>
  <si>
    <t>Доля работ, выполняемых в 2021 году</t>
  </si>
  <si>
    <t>Продолжительность работ в 2020 году</t>
  </si>
  <si>
    <t>Продолжительность работ в 2021 году</t>
  </si>
  <si>
    <t>Индекс Минэкономразвития РФ на 2021 г. (Письмо Минэкономразвития России от 1 октября 2019 г. 
№ 33198-ПБ/Д03и)</t>
  </si>
  <si>
    <t xml:space="preserve">Продолжительность выполнения инженерных изысканий и проектной документации </t>
  </si>
  <si>
    <t>Гидранты
3шт</t>
  </si>
  <si>
    <t>до 300мм</t>
  </si>
  <si>
    <t xml:space="preserve">к = 0,2 повторное применение чертежей (п. 2.3.3.  ТЧ) </t>
  </si>
  <si>
    <t>Сервер видеонаблюдения</t>
  </si>
  <si>
    <t>1 комплекс</t>
  </si>
  <si>
    <t>1 камера</t>
  </si>
  <si>
    <t>К=0,76 коэффициент относительной стоимости, для начисления сейсмичности (здания и сооруж - 6%, технологические и конструктивные решения - 70%)</t>
  </si>
  <si>
    <t>ТЧ сборника п.28</t>
  </si>
  <si>
    <t>Благоустройство (Озеленение)</t>
  </si>
  <si>
    <t>100м2</t>
  </si>
  <si>
    <t>ТЧ сборника п.19
Таблица № 2</t>
  </si>
  <si>
    <t>ТЧ сборника п.20</t>
  </si>
  <si>
    <t>НЦС 81-02-16-2020
Таблица 16-06-002-02
Площадки из асфальтобетонной смеси 2-х слойные (прим.)</t>
  </si>
  <si>
    <t>ТЧ сборника п.25
Таблица № 7</t>
  </si>
  <si>
    <t>ТЧ сборника п.26
Таблица № 8</t>
  </si>
  <si>
    <t>Продолжительность работ в соответствие с Графиком</t>
  </si>
  <si>
    <t xml:space="preserve"> Стоимость проектирования  объекта в прогнозных ценах периода проектирования (руб.)</t>
  </si>
  <si>
    <t>30000*(1+0,2*2)*(0,76*1,3+0,24)*0,5</t>
  </si>
  <si>
    <t>Кабельная линия 0,4 кВ
500м</t>
  </si>
  <si>
    <t>(7,763+0,042*500)*1000
*(0,76*1,3+0,24)*0,4</t>
  </si>
  <si>
    <t>85,45*(0,36*1,3+0,64)
*0,5*1000</t>
  </si>
  <si>
    <t>Кабардино-Балкарская Республика, всесезонный туристско-рекреационный комплекс «Эльбрус»</t>
  </si>
  <si>
    <t>Коэффициент перехода от базового района к уровню цен Кабардино-Балкарская Республика</t>
  </si>
  <si>
    <t>1,036*1,037*1,037</t>
  </si>
  <si>
    <t>2022г.</t>
  </si>
  <si>
    <t>Индекс пересчета в уровень цен 
IVкв. 2022 г.</t>
  </si>
  <si>
    <t>Сети водоснабжения диам. 160мм 2 нити</t>
  </si>
  <si>
    <t>Сети хоз бытовой канализации 200 м</t>
  </si>
  <si>
    <t>Пересчет в уровень цен на 2022 г. по индексам Минэкономразвития РФ</t>
  </si>
  <si>
    <t>НЦС 81-02-17-2020
Таблица 17-02-004-01
Озеленение территорий спортивных объектов с
площадью газонов 30% (прим.)</t>
  </si>
  <si>
    <t>ежемесячный индекс прогноз на 2020 год</t>
  </si>
  <si>
    <t>ежемесячный индекс прогноз на 2021 год</t>
  </si>
  <si>
    <t>Итого индекс прогнозной инфляции</t>
  </si>
  <si>
    <t>Геофизические исследования</t>
  </si>
  <si>
    <t>1.5</t>
  </si>
  <si>
    <t>Смета № 6-из</t>
  </si>
  <si>
    <t>Затраты на экологтческую экспертизу</t>
  </si>
  <si>
    <t>Экологическая экспертиза</t>
  </si>
  <si>
    <t>геофизические исследования</t>
  </si>
  <si>
    <t>- затраты на экологическую экспертизу;</t>
  </si>
  <si>
    <t>Индекс пересчета в текущие цены 2020 г</t>
  </si>
  <si>
    <t>1м2</t>
  </si>
  <si>
    <t>Оценка воздействия объекта капитального строительства на окружающую среду (ОВОС)</t>
  </si>
  <si>
    <t>- затраты на проектные работы стадии "Проектная документация"</t>
  </si>
  <si>
    <t>- затраты на оплату услуг Государственной экспертизы</t>
  </si>
  <si>
    <t>- затраты на инженерные изыскания:</t>
  </si>
  <si>
    <t>- индексы фактической инфляции для пересчета сметной стоимости из уровня цен составления сметной документации в уровень цен на дату определения НМЦК</t>
  </si>
  <si>
    <t>- прогнозные индексы инфляции для пересчета из уровня цен на дату определения НМЦК в уровень цен соответствующего периода исполнения договора.</t>
  </si>
  <si>
    <t>СБЦП "Городские инженерные сооружения и коммуникации". 2008 г. 
Таблица № 1, п.1
Транспортные развязки в одном уровне (площади) до 3 га</t>
  </si>
  <si>
    <t>К=0,52 коэффициент относительной стоимости, для начисления усл. к-тов (Архитектурно-строительные решения-52%);
к=0,7 - коэффициент трудоемкости работ (разъяснения ОАО «ЦЕНТРИНВЕСТпроект»)</t>
  </si>
  <si>
    <t>га</t>
  </si>
  <si>
    <t>960*(0,52*1,3+0,48)*0,7
*0,4*1000</t>
  </si>
  <si>
    <t>СБЦП 81-2001-01 "Территориальное планирование и планировка территорий". 2010 г. 
Таблица № 5, п.1
Парки, сады, скверы, бульвары площадью, га</t>
  </si>
  <si>
    <t>(18,92+5,06*(0,4*1+0,6*0,5))*0,7
*0,4*1000</t>
  </si>
  <si>
    <t>Сцена
(Сборно-разборная сцена из легких в использовании алюминиевых ферм)
240м2</t>
  </si>
  <si>
    <t>СБЦП 81-2001-03 "Объекты жилищно-гражданского строительства". 2010 г. 
Таблица № 9, п.5
Трибуна металлическая без подтрибунных помещений (прим.)</t>
  </si>
  <si>
    <t>К=0,66 коэффициент относительной стоимости, для начисления усл. к-тов (АР-14%; КР-15%; Инж.оборудование - 37%);</t>
  </si>
  <si>
    <t>трибуна
(сцена)</t>
  </si>
  <si>
    <t>73,32*(0,66*1,3+0,34)*0,4*1000</t>
  </si>
  <si>
    <t>СБЦП 81-2001-03 "Объекты жилищно-гражданского строительства". 2010 г. 
Таблица № 23, п.8
Рыночные павильоны  (прим.)</t>
  </si>
  <si>
    <t>СБЦ  "Коммунальные инженерные сети и сооружения", Таб. 5, п.3 (От 100 до 1000 м)</t>
  </si>
  <si>
    <t>СБЦ  "Коммунальные инженерные сети и сооружения", Таб. 2, п.3 (От 250 до 1000 м)</t>
  </si>
  <si>
    <t>Автоматизированная система централизованного оповещения (АСЦО)
4 громкоговорителя</t>
  </si>
  <si>
    <t>СБЦП-2001-02 "Объекты связи". 2010 г. 
гл 2 Табл.№ 9 п.3 Производственная громкоговорящая свзяь с кол-ом абонентов (до 10)</t>
  </si>
  <si>
    <t>К=0,48- стадия ПД</t>
  </si>
  <si>
    <t>1 абонент</t>
  </si>
  <si>
    <t>(1,39+0,102*4)*1000* (0,36*1,3+0,64) * 0,48</t>
  </si>
  <si>
    <t xml:space="preserve">СОТ. Видеонаблюдение наружное
7 камер </t>
  </si>
  <si>
    <t>СБЦП-2001-02 "Объекты связи". 2010 г.
гл 2 Табл. № 20 п. 7</t>
  </si>
  <si>
    <t>(36,61+4,57*7)*1,1
*(0,36*1,3+0,64)*0,5*1000</t>
  </si>
  <si>
    <t>СБЦП-2001-02 "Объекты связи". 2010 г. 
гл 2 Табл 20 поз. 10</t>
  </si>
  <si>
    <t>Локальные очистные сооружения производительностью 
45 м3/сутки</t>
  </si>
  <si>
    <t>СБЦП 81-2001-17 "Объекты водоснабжения и канализации", 2015 г.
табл. 21 п.14 (св. 12 до 24 м3/сут)</t>
  </si>
  <si>
    <t>К=0,68 коэффициент относительной стоимости, для начисления сейсмичности (архитектурные решения - 5%, конструктивные решения - 18%, инженерное оборудование - 45%)</t>
  </si>
  <si>
    <t>К=0,6 Проектная документация</t>
  </si>
  <si>
    <t>м3/сутки</t>
  </si>
  <si>
    <t>(11,85+0,41*(0,4*24+0,6*45))
*(0,68*1,3+0,32)*0,6*1000</t>
  </si>
  <si>
    <t>Концепция благоустройства территории</t>
  </si>
  <si>
    <t>960*(0,52*1,3+0,48)*0,7
*0,4*1000*0,25</t>
  </si>
  <si>
    <t>К=0,52 коэффициент относительной стоимости, для начисления усл. к-тов (Архитектурно-строительные решения-52%);
к=0,7 - коэффициент трудоемкости работ (разъяснения ОАО «ЦЕНТРИНВЕСТпроект»);
к=0,25 - Затраты генеральной проектной организации на участие в выборе трассы дороги и площадок сопутствующих сооружений (ТЧ п.2.2.) (прим.)</t>
  </si>
  <si>
    <t>Площадь</t>
  </si>
  <si>
    <t>НЦС 81-02-16-2020
Таблица 16-06-002-02
Площадки, дорожки, троryары шириной от 0,9 м до 2,5 м
с покрытием из асфальтобетонной смеси 2-х слойные</t>
  </si>
  <si>
    <t>Тротуары
(протяж. 2500м шириной 2м + 350м шириной 2м)</t>
  </si>
  <si>
    <t>Малые архитектурные формы</t>
  </si>
  <si>
    <t>Кольцевой разворот</t>
  </si>
  <si>
    <t>1км</t>
  </si>
  <si>
    <t>НЦС 81-02-08-2020
Таблица 08-02-001-01
Обычная автомобильная дорога, категория II, дорожная
одежда капитального типа с асфальтобетонным покрытием</t>
  </si>
  <si>
    <t>Освещение дороги</t>
  </si>
  <si>
    <t>Таблица 1 п.1
на обочине по одной стороне (однонаправленные)</t>
  </si>
  <si>
    <t>Коэффициенты на строительство в высокогорных условиях</t>
  </si>
  <si>
    <t>ТЧ сборника п.21
Таблица № 4</t>
  </si>
  <si>
    <t>Пря укреплении насыпи геосинтетическими материалам</t>
  </si>
  <si>
    <t>ТЧ сборника п.27</t>
  </si>
  <si>
    <t>ТЧ сборника п.31
Таблица № 9</t>
  </si>
  <si>
    <t>ТЧ сборника п.32
Таблица № 10</t>
  </si>
  <si>
    <t>НЦС 81-02-08-2020
Таблица 08-07-001-02
Площадка отдыха с устройством ограждения и
искусственного освещения от 20 до 50 машино-мест</t>
  </si>
  <si>
    <t>Парковочная площадка (ориент. 35машино-мест)</t>
  </si>
  <si>
    <t>Освещение площади</t>
  </si>
  <si>
    <t>НЦС 81-02-16-2020
Таблица 16-07-004-01
Светильники на декоративных кованых опорах с лампами накаливания осветительными общего
назначения</t>
  </si>
  <si>
    <t>ТЧ сборника п.20
Таблица № 3</t>
  </si>
  <si>
    <t>ТЧ сборника п.23
Таблица № 6</t>
  </si>
  <si>
    <t>НЦС 81-02-18-2020
Таблица 18-20-001-01
 Служебно-бытовое здание склада ГСМ (прим.)</t>
  </si>
  <si>
    <t>м3</t>
  </si>
  <si>
    <t>Торговые павильоны
12м2 высотой 2,5м 
(53 шт)</t>
  </si>
  <si>
    <t>Наименование работ</t>
  </si>
  <si>
    <t>Сроки выполнения работ</t>
  </si>
  <si>
    <t>Дата начала</t>
  </si>
  <si>
    <t>Дата окончания</t>
  </si>
  <si>
    <t>Длительность (кал. дней)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</si>
  <si>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</si>
  <si>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</si>
  <si>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</si>
  <si>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</si>
  <si>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</si>
  <si>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</si>
  <si>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</si>
  <si>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</si>
  <si>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</si>
  <si>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</si>
  <si>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</si>
  <si>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</si>
  <si>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Х</t>
  </si>
  <si>
    <t>Х+60</t>
  </si>
  <si>
    <t>Разработка проектной, в том числе сметной, документации</t>
  </si>
  <si>
    <t>Экологическая экспертиза, в том числе общественные слушания</t>
  </si>
  <si>
    <t>Государственная экспертиза</t>
  </si>
  <si>
    <t>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строительства»;  требованием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нужд"; требованием Положения о договорной работе, утвержденного Приказом акционерного общества "Курорты Северного Кавказа" от 11.10.2019 г. № Пр-19-150; Заданием на проектирование объекта капитального строительства.</t>
  </si>
  <si>
    <t xml:space="preserve">СБЦП 81-2001-03 "Объекты жилищно-гражданского строительства". 2010 г. 
Цена определяется в размере 4% от общей стоимости проектирования - ТЧ п.1.6 </t>
  </si>
  <si>
    <t>Х+10</t>
  </si>
  <si>
    <t>Х+85</t>
  </si>
  <si>
    <t>Х+30</t>
  </si>
  <si>
    <t>Х+105</t>
  </si>
  <si>
    <t>Х+70</t>
  </si>
  <si>
    <t>Х+130</t>
  </si>
  <si>
    <t>3. Продолжительность проектирования 4,3 месяца (в том числе с учетом получения положительного заключения государственной экспертизы).</t>
  </si>
  <si>
    <t>4,3 месяца</t>
  </si>
  <si>
    <t>К= 1,3 ' Усложняющий к-т на сейсмичность - 9 баллов ( МУ 2010 п.3.7)</t>
  </si>
  <si>
    <t>Подпорная стена
габионной конструкции
протяж. 150м
высотой 4м</t>
  </si>
  <si>
    <t>СБЦП "Железные дороги". 2014 г. 
Таблица № 10, п.11.3
Подпорные и ограждающие стенки в грунте высотой до 4,0м</t>
  </si>
  <si>
    <t xml:space="preserve">К=0,8 коэффициент относительной стоимости, для начисления усл. к-тов (Таблица №52 Искусственные сооружения - 80%);
к=0,8 - габионной конструкции </t>
  </si>
  <si>
    <t>(363+2,31*150)*0,8
*(0,8*1,3+0,2)*0,4*1000</t>
  </si>
  <si>
    <t xml:space="preserve">Сети ливневой канализации
диам. до 400мм (полиэтилен)
900м </t>
  </si>
  <si>
    <t>(55,04+0,213*900)*1,1
*(0,76*1,3+0,24)*0,5*1000</t>
  </si>
  <si>
    <t>Сети ливневой канализации Диам.400мм</t>
  </si>
  <si>
    <t>Сети ливневой канализации</t>
  </si>
  <si>
    <t>Подпорная стена габионной конструкции</t>
  </si>
  <si>
    <t>НЦС 81-02-08-2020
Таблица 08-08-003-02
Гравитационные массивные из габионных конструкций высотой до 6м</t>
  </si>
  <si>
    <t>1 пог.м.</t>
  </si>
  <si>
    <t>Подпорная стена</t>
  </si>
  <si>
    <t>НЦС 81-02-18-2020
Таблица 18-20-001-01
Модульное здание перронных служб (прим.)</t>
  </si>
  <si>
    <t>Сцена сборно-разборная</t>
  </si>
  <si>
    <t>Лавинозащита</t>
  </si>
  <si>
    <t>"Горнолыжная трасса EP27 для ВТРК «Эльбрус"</t>
  </si>
  <si>
    <t>Календарный план 
выполнения проектно-изыскательских работ по объекту:
«Благоустройство центральной части Поляны Азау» 1 этап.</t>
  </si>
  <si>
    <t>Всесезонный туристско-рекреационный комплекс «Эльбрус», Кабардино-Балкарская Республика. 
Благоустройство центральной части Поляны Азау 1 этап</t>
  </si>
  <si>
    <t>Предполагаемая (предельная) стоимость строительства объекта: Всесезонный туристско-рекреационный комплекс «Эльбрус», Кабардино-Балкарская Республика. 
Благоустройство центральной части Поляны Азау 1 этап</t>
  </si>
  <si>
    <t>Расчетная стоимость строительства 
«Благоустройство центральной части Поляны Азау» 1 этап.</t>
  </si>
  <si>
    <t>Всесезонный туристско-рекреационный комплекс «Эльбрус», Кабардино-Балкарская Республика. Благоустройство центральной части Поляны Азау 1 этап</t>
  </si>
  <si>
    <t>Рыночная площадь
5500м2</t>
  </si>
  <si>
    <t>Озеленение
1100м2</t>
  </si>
  <si>
    <t>К=0,31 коэффициент относительной стоимости, для начисления усл. к-тов (АР-7%; КР-7%; Инж.оборудование - 17%);
Водоснабжение -4%; Водоотведение - 4%; Вентиляция - 12% - не разрабатываются
к=0,35 - модульные мобильные сооружения полной заводской готовности - МУ 2010 п.3.2 (прим.типовая документация)
к=0,2 - повторно применяемая  проектная документация - МУ 2010 п.3.2</t>
  </si>
  <si>
    <t>Сети водоснабжения
диам. 160мм 
250 м 
2 нитки</t>
  </si>
  <si>
    <t>(12+0,136*250)*1,1*1,15*1000
*(0,76*1,3+0,24)*0,5</t>
  </si>
  <si>
    <t>Сети освещения
600м</t>
  </si>
  <si>
    <t>(25,97+0,063*600)*1000
*(0,68*1,3+0,32)*0,4</t>
  </si>
  <si>
    <t>НЦС 81-02-16-2020
Таблица 16-03-001-01
Малые архитектурные формы для объектов
здравоохранения (прим.)</t>
  </si>
  <si>
    <t>Озеленение</t>
  </si>
  <si>
    <t xml:space="preserve">Для определения цены изыскательских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инженерные изыскания в строительстве и Методического пособия по определению стоимости инженерных изысканий для строительства. </t>
  </si>
  <si>
    <t>(89,55+0,08*12)*0,35
*(0,31*1,3+0,34)*0,4*1000
*(1+0,2*50)</t>
  </si>
  <si>
    <t>Торговые павильоны
(модульные мобильные сооружения полной заводской готовности)
3м х 4м
51 шт.</t>
  </si>
  <si>
    <t>СБЦП "Железные дороги". 2014 г. 
Таблица № 10, п.21
Здание дежурного по переезду</t>
  </si>
  <si>
    <t>К=0,57 коэффициент относительной стоимости, для начисления усл. к-тов (Таблица №53 АР - 9%; КР - 12%; ТХ - 31%; ЭС - 5%); 
Водоснабжение водоотведение - 4%; Вентиляция - 4% - не разрабатываются
к=0,35 - модульные мобильные сооружения полной заводской готовности - МУ 2010 п.3.2 (прим.типовая документация)</t>
  </si>
  <si>
    <t>здание</t>
  </si>
  <si>
    <t>(110)*(0,57*1,3+0,35)*0,35
*0,4*1000</t>
  </si>
  <si>
    <t>СБЦП "Железные дороги". 2014 г. 
Таблица № 10, п.8.1
Кладовые и подсобно-вспомогательные помещения (до 100м2)</t>
  </si>
  <si>
    <t>(108)*(0,57*1,3+0,35)*0,35
*0,4*1000</t>
  </si>
  <si>
    <t>Павильон технических помещений (модульные мобильные сооружения полной заводской готовности)
3м х 4м</t>
  </si>
  <si>
    <t>Павильон администрации (модульные мобильные сооружения полной заводской готовности)
3м х 4м</t>
  </si>
  <si>
    <t>Сцена 240м2</t>
  </si>
  <si>
    <t>Павильоны (53 шт.)</t>
  </si>
  <si>
    <t>Итого в ценах IV квартала  2020 г.</t>
  </si>
  <si>
    <t>Пересчет в цены IV квартала 2020 г. по письму Минстроя РФ от 02.11.2020 N 44016-ИФ/09 
К = 4,47 (к уровню цен по состоянию на 01.01.2001)</t>
  </si>
  <si>
    <t>Стоимость работ в ценах  сметной документации
IV квартал 2020 г.</t>
  </si>
  <si>
    <t>Стоимость работ в ценах на дату формирования начальной (максимальной) цены контракта - ноябрь 2020г.</t>
  </si>
  <si>
    <r>
      <t xml:space="preserve">Индекс-дефлятор на 2020 год
</t>
    </r>
    <r>
      <rPr>
        <i/>
        <sz val="12"/>
        <rFont val="Times New Roman"/>
        <family val="1"/>
        <charset val="204"/>
      </rPr>
      <t>* т.к. применены индексы изменения сметной стоимости проектных и изыскательских работ на IV квартал 2020 года согласно письму Минстроя РФ от 02.11.2020 N 44016-ИФ/09</t>
    </r>
  </si>
  <si>
    <r>
      <t xml:space="preserve">Индекс-дефлятор на 2021 год
</t>
    </r>
    <r>
      <rPr>
        <i/>
        <sz val="12"/>
        <rFont val="Times New Roman"/>
        <family val="1"/>
        <charset val="204"/>
      </rPr>
      <t>* т.к. применены индексы изменения сметной стоимости проектных и изыскательских работ на IV квартал 2020 года согласно письму Минстроя РФ от 02.11.2020 N 44016-ИФ/09</t>
    </r>
  </si>
  <si>
    <t>Применены индексы на IV квартал 2020 года по письму Минстроя РФ от 02.11.2020 N 44016-ИФ/09</t>
  </si>
  <si>
    <t>Индекс пересчета в текущие цены на IV квартал 2020 г. принят согласно Письму Минстроя России от 02.11.2020 
N 44016-ИФ/09</t>
  </si>
  <si>
    <t>Стоимость инж.изыск.в ценах 4 кв.2020</t>
  </si>
  <si>
    <t>Коэф.4 кв.2020</t>
  </si>
  <si>
    <t>Стоимость проектных работ в ценах 4 кв.2020</t>
  </si>
  <si>
    <t xml:space="preserve">более 1,5 млн </t>
  </si>
  <si>
    <t>(Семнадцать миллионов триста пятьдесят пять тысяч четыреста сорок четыре рубля 00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</si>
</sst>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\ _р_._-;\-* #,##0\ _р_._-;_-* &quot;-&quot;\ _р_._-;_-@_-"/>
    <numFmt numFmtId="165" formatCode="_-* #,##0.00\ _р_._-;\-* #,##0.00\ _р_._-;_-* &quot;-&quot;??\ _р_._-;_-@_-"/>
    <numFmt numFmtId="166" formatCode="_-* #,##0_р_._-;\-* #,##0_р_._-;_-* &quot;-&quot;_р_._-;_-@_-"/>
    <numFmt numFmtId="167" formatCode="_-* #,##0.00_р_._-;\-* #,##0.00_р_._-;_-* &quot;-&quot;??_р_._-;_-@_-"/>
    <numFmt numFmtId="168" formatCode="#,##0.0"/>
    <numFmt numFmtId="169" formatCode="_-* #,##0.00_р_._-;\-* #,##0.00_р_._-;_-* &quot;-&quot;_р_._-;_-@_-"/>
    <numFmt numFmtId="170" formatCode="#,##0_ ;\-#,##0\ "/>
    <numFmt numFmtId="171" formatCode="0.0%"/>
    <numFmt numFmtId="172" formatCode="_-* #,##0&quot;р.&quot;_-;\-* #,##0&quot;р.&quot;_-;_-* &quot;-&quot;&quot;р.&quot;_-;_-@_-"/>
    <numFmt numFmtId="173" formatCode="_-* #,##0.00&quot;р.&quot;_-;\-* #,##0.00&quot;р.&quot;_-;_-* &quot;-&quot;??&quot;р.&quot;_-;_-@_-"/>
    <numFmt numFmtId="174" formatCode="_(* #,##0.00_);_(* \(#,##0.00\);_(* &quot;-&quot;??_);_(@_)"/>
    <numFmt numFmtId="175" formatCode="#,##0.000"/>
    <numFmt numFmtId="176" formatCode="0.000"/>
    <numFmt numFmtId="177" formatCode="0.0"/>
    <numFmt numFmtId="178" formatCode="0.00000"/>
    <numFmt numFmtId="179" formatCode="#,##0.00000"/>
    <numFmt numFmtId="180" formatCode="0.000000"/>
  </numFmts>
  <fonts count="1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3.5"/>
      <color rgb="FF000000"/>
      <name val="Arial"/>
      <family val="2"/>
      <charset val="204"/>
    </font>
    <font>
      <i/>
      <u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26">
    <xf numFmtId="0" fontId="0" fillId="0" borderId="0"/>
    <xf numFmtId="0" fontId="20" fillId="0" borderId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3" fillId="3" borderId="0">
      <alignment horizontal="left" vertical="center"/>
    </xf>
    <xf numFmtId="0" fontId="23" fillId="3" borderId="0">
      <alignment horizontal="center" vertical="center"/>
    </xf>
    <xf numFmtId="0" fontId="23" fillId="3" borderId="0">
      <alignment horizontal="left" vertical="center"/>
    </xf>
    <xf numFmtId="0" fontId="23" fillId="3" borderId="0">
      <alignment horizontal="left" vertical="center"/>
    </xf>
    <xf numFmtId="0" fontId="23" fillId="3" borderId="0">
      <alignment horizontal="left" vertical="center"/>
    </xf>
    <xf numFmtId="0" fontId="23" fillId="3" borderId="0">
      <alignment horizontal="right" vertical="center"/>
    </xf>
    <xf numFmtId="0" fontId="23" fillId="3" borderId="0">
      <alignment horizontal="center" vertical="center"/>
    </xf>
    <xf numFmtId="167" fontId="20" fillId="0" borderId="0" applyFont="0" applyFill="0" applyBorder="0" applyAlignment="0" applyProtection="0"/>
    <xf numFmtId="0" fontId="20" fillId="0" borderId="0"/>
    <xf numFmtId="0" fontId="20" fillId="0" borderId="0"/>
    <xf numFmtId="167" fontId="26" fillId="0" borderId="0" applyFont="0" applyFill="0" applyBorder="0" applyAlignment="0" applyProtection="0"/>
    <xf numFmtId="0" fontId="23" fillId="3" borderId="0">
      <alignment horizontal="left" vertical="center"/>
    </xf>
    <xf numFmtId="0" fontId="23" fillId="3" borderId="0">
      <alignment horizontal="left" vertical="center"/>
    </xf>
    <xf numFmtId="0" fontId="23" fillId="3" borderId="0">
      <alignment horizontal="left" vertical="center"/>
    </xf>
    <xf numFmtId="0" fontId="23" fillId="3" borderId="0">
      <alignment horizontal="left" vertical="center"/>
    </xf>
    <xf numFmtId="0" fontId="27" fillId="4" borderId="0">
      <alignment horizontal="right" vertical="center"/>
    </xf>
    <xf numFmtId="0" fontId="23" fillId="3" borderId="0">
      <alignment horizontal="right" vertical="center"/>
    </xf>
    <xf numFmtId="0" fontId="23" fillId="3" borderId="0">
      <alignment horizontal="right" vertical="center"/>
    </xf>
    <xf numFmtId="0" fontId="23" fillId="3" borderId="0">
      <alignment horizontal="right" vertical="center"/>
    </xf>
    <xf numFmtId="0" fontId="23" fillId="5" borderId="0">
      <alignment horizontal="center" vertical="center"/>
    </xf>
    <xf numFmtId="0" fontId="27" fillId="4" borderId="0">
      <alignment horizontal="left" vertical="center"/>
    </xf>
    <xf numFmtId="0" fontId="27" fillId="0" borderId="0">
      <alignment horizontal="left" vertical="top"/>
    </xf>
    <xf numFmtId="0" fontId="23" fillId="5" borderId="0">
      <alignment horizontal="center" vertical="center"/>
    </xf>
    <xf numFmtId="0" fontId="27" fillId="4" borderId="0">
      <alignment horizontal="center" vertical="center"/>
    </xf>
    <xf numFmtId="0" fontId="27" fillId="0" borderId="0">
      <alignment horizontal="center" vertical="center"/>
    </xf>
    <xf numFmtId="0" fontId="28" fillId="4" borderId="0">
      <alignment horizontal="left" vertical="center"/>
    </xf>
    <xf numFmtId="0" fontId="27" fillId="0" borderId="0">
      <alignment horizontal="center" vertical="center"/>
    </xf>
    <xf numFmtId="0" fontId="27" fillId="4" borderId="0">
      <alignment horizontal="center" vertical="center"/>
    </xf>
    <xf numFmtId="0" fontId="27" fillId="4" borderId="0">
      <alignment horizontal="left" vertical="center"/>
    </xf>
    <xf numFmtId="0" fontId="27" fillId="4" borderId="0">
      <alignment horizontal="right" vertical="center"/>
    </xf>
    <xf numFmtId="0" fontId="27" fillId="4" borderId="0">
      <alignment horizontal="center" vertical="center"/>
    </xf>
    <xf numFmtId="0" fontId="27" fillId="4" borderId="0">
      <alignment horizontal="left" vertical="top"/>
    </xf>
    <xf numFmtId="0" fontId="27" fillId="4" borderId="0">
      <alignment horizontal="right" vertical="center"/>
    </xf>
    <xf numFmtId="0" fontId="27" fillId="4" borderId="0">
      <alignment horizontal="right" vertical="top"/>
    </xf>
    <xf numFmtId="0" fontId="27" fillId="4" borderId="0">
      <alignment horizontal="center" vertical="center"/>
    </xf>
    <xf numFmtId="0" fontId="23" fillId="3" borderId="0">
      <alignment horizontal="center" vertical="center"/>
    </xf>
    <xf numFmtId="0" fontId="23" fillId="3" borderId="0">
      <alignment horizontal="center" vertical="center"/>
    </xf>
    <xf numFmtId="0" fontId="23" fillId="3" borderId="0">
      <alignment horizontal="center" vertical="center"/>
    </xf>
    <xf numFmtId="0" fontId="29" fillId="4" borderId="0">
      <alignment horizontal="left" vertical="top"/>
    </xf>
    <xf numFmtId="0" fontId="27" fillId="4" borderId="0">
      <alignment horizontal="left" vertical="center"/>
    </xf>
    <xf numFmtId="0" fontId="29" fillId="4" borderId="0">
      <alignment horizontal="left" vertical="top"/>
    </xf>
    <xf numFmtId="0" fontId="29" fillId="4" borderId="0">
      <alignment horizontal="center" vertical="center"/>
    </xf>
    <xf numFmtId="0" fontId="30" fillId="4" borderId="0">
      <alignment horizontal="center" vertical="center"/>
    </xf>
    <xf numFmtId="0" fontId="30" fillId="0" borderId="0">
      <alignment horizontal="center" vertical="center"/>
    </xf>
    <xf numFmtId="0" fontId="27" fillId="4" borderId="0">
      <alignment horizontal="center" vertical="center"/>
    </xf>
    <xf numFmtId="0" fontId="27" fillId="0" borderId="0">
      <alignment horizontal="center" vertical="top"/>
    </xf>
    <xf numFmtId="0" fontId="27" fillId="4" borderId="0">
      <alignment horizontal="center" vertical="center"/>
    </xf>
    <xf numFmtId="0" fontId="31" fillId="0" borderId="0">
      <alignment horizontal="left" vertical="top"/>
    </xf>
    <xf numFmtId="0" fontId="27" fillId="4" borderId="0">
      <alignment horizontal="center" vertical="center"/>
    </xf>
    <xf numFmtId="0" fontId="27" fillId="0" borderId="0">
      <alignment horizontal="left" vertical="top"/>
    </xf>
    <xf numFmtId="0" fontId="27" fillId="4" borderId="0">
      <alignment horizontal="left" vertical="center"/>
    </xf>
    <xf numFmtId="0" fontId="31" fillId="0" borderId="0">
      <alignment horizontal="left" vertical="center"/>
    </xf>
    <xf numFmtId="0" fontId="23" fillId="5" borderId="0">
      <alignment horizontal="left" vertical="center"/>
    </xf>
    <xf numFmtId="0" fontId="27" fillId="4" borderId="0">
      <alignment horizontal="left" vertical="center"/>
    </xf>
    <xf numFmtId="0" fontId="31" fillId="0" borderId="0">
      <alignment horizontal="left" vertical="top"/>
    </xf>
    <xf numFmtId="0" fontId="23" fillId="5" borderId="0">
      <alignment horizontal="left" vertical="center"/>
    </xf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21" fillId="0" borderId="0"/>
    <xf numFmtId="0" fontId="23" fillId="3" borderId="0">
      <alignment horizontal="left" vertical="center"/>
    </xf>
    <xf numFmtId="0" fontId="23" fillId="3" borderId="0">
      <alignment horizontal="left" vertical="center"/>
    </xf>
    <xf numFmtId="0" fontId="23" fillId="3" borderId="0">
      <alignment horizontal="left" vertical="center"/>
    </xf>
    <xf numFmtId="0" fontId="23" fillId="3" borderId="0">
      <alignment horizontal="left" vertical="center"/>
    </xf>
    <xf numFmtId="0" fontId="23" fillId="3" borderId="0">
      <alignment horizontal="right" vertical="center"/>
    </xf>
    <xf numFmtId="0" fontId="23" fillId="3" borderId="0">
      <alignment horizontal="right" vertical="center"/>
    </xf>
    <xf numFmtId="0" fontId="23" fillId="3" borderId="0">
      <alignment horizontal="right" vertical="center"/>
    </xf>
    <xf numFmtId="0" fontId="23" fillId="5" borderId="0">
      <alignment horizontal="center" vertical="center"/>
    </xf>
    <xf numFmtId="0" fontId="23" fillId="3" borderId="0">
      <alignment horizontal="center" vertical="center"/>
    </xf>
    <xf numFmtId="0" fontId="23" fillId="3" borderId="0">
      <alignment horizontal="center" vertical="center"/>
    </xf>
    <xf numFmtId="0" fontId="23" fillId="5" borderId="0">
      <alignment horizontal="left" vertical="center"/>
    </xf>
    <xf numFmtId="0" fontId="26" fillId="0" borderId="0"/>
    <xf numFmtId="0" fontId="25" fillId="0" borderId="0"/>
    <xf numFmtId="9" fontId="26" fillId="0" borderId="0" applyFont="0" applyFill="0" applyBorder="0" applyAlignment="0" applyProtection="0"/>
    <xf numFmtId="0" fontId="19" fillId="0" borderId="0"/>
    <xf numFmtId="0" fontId="33" fillId="0" borderId="0">
      <alignment horizontal="right" vertical="center"/>
    </xf>
    <xf numFmtId="0" fontId="34" fillId="0" borderId="0">
      <alignment horizontal="left" vertical="center"/>
    </xf>
    <xf numFmtId="0" fontId="35" fillId="0" borderId="0">
      <alignment horizontal="left" vertical="center"/>
    </xf>
    <xf numFmtId="0" fontId="35" fillId="0" borderId="0">
      <alignment horizontal="left" vertical="top"/>
    </xf>
    <xf numFmtId="0" fontId="36" fillId="0" borderId="0">
      <alignment horizontal="center" vertical="center"/>
    </xf>
    <xf numFmtId="0" fontId="35" fillId="0" borderId="0">
      <alignment horizontal="center" vertical="top"/>
    </xf>
    <xf numFmtId="0" fontId="33" fillId="0" borderId="0">
      <alignment horizontal="left" vertical="top"/>
    </xf>
    <xf numFmtId="0" fontId="33" fillId="0" borderId="0">
      <alignment horizontal="left" vertical="center"/>
    </xf>
    <xf numFmtId="0" fontId="35" fillId="0" borderId="4">
      <alignment horizontal="center" vertical="center"/>
    </xf>
    <xf numFmtId="0" fontId="33" fillId="0" borderId="4">
      <alignment horizontal="center" vertical="center"/>
    </xf>
    <xf numFmtId="0" fontId="35" fillId="0" borderId="4">
      <alignment horizontal="left" vertical="center"/>
    </xf>
    <xf numFmtId="0" fontId="35" fillId="0" borderId="4">
      <alignment horizontal="right" vertical="center"/>
    </xf>
    <xf numFmtId="0" fontId="35" fillId="0" borderId="4">
      <alignment horizontal="left" vertical="top"/>
    </xf>
    <xf numFmtId="166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8" fillId="0" borderId="0"/>
    <xf numFmtId="0" fontId="35" fillId="0" borderId="0">
      <alignment horizontal="left" vertical="top"/>
    </xf>
    <xf numFmtId="0" fontId="35" fillId="0" borderId="4">
      <alignment horizontal="right" vertical="top"/>
    </xf>
    <xf numFmtId="0" fontId="35" fillId="0" borderId="4">
      <alignment horizontal="left" vertical="top"/>
    </xf>
    <xf numFmtId="0" fontId="35" fillId="0" borderId="10">
      <alignment horizontal="left" vertical="top"/>
    </xf>
    <xf numFmtId="0" fontId="35" fillId="0" borderId="2">
      <alignment horizontal="left" vertical="top"/>
    </xf>
    <xf numFmtId="0" fontId="33" fillId="0" borderId="0">
      <alignment horizontal="left" vertical="top"/>
    </xf>
    <xf numFmtId="0" fontId="35" fillId="0" borderId="0">
      <alignment horizontal="center" vertical="top"/>
    </xf>
    <xf numFmtId="0" fontId="36" fillId="0" borderId="0">
      <alignment horizontal="center" vertical="center"/>
    </xf>
    <xf numFmtId="0" fontId="17" fillId="0" borderId="0"/>
    <xf numFmtId="0" fontId="20" fillId="0" borderId="0"/>
    <xf numFmtId="0" fontId="27" fillId="4" borderId="0">
      <alignment horizontal="left" vertical="center"/>
    </xf>
    <xf numFmtId="0" fontId="26" fillId="3" borderId="0">
      <alignment horizontal="center" vertical="center"/>
    </xf>
    <xf numFmtId="0" fontId="32" fillId="0" borderId="0"/>
    <xf numFmtId="0" fontId="32" fillId="0" borderId="0"/>
    <xf numFmtId="0" fontId="27" fillId="4" borderId="0">
      <alignment horizontal="left" vertical="center"/>
    </xf>
    <xf numFmtId="0" fontId="17" fillId="0" borderId="0"/>
    <xf numFmtId="0" fontId="21" fillId="0" borderId="0"/>
    <xf numFmtId="0" fontId="47" fillId="0" borderId="0"/>
    <xf numFmtId="166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14" fillId="0" borderId="0"/>
    <xf numFmtId="0" fontId="33" fillId="0" borderId="0">
      <alignment horizontal="right" vertical="center"/>
    </xf>
    <xf numFmtId="0" fontId="33" fillId="0" borderId="0">
      <alignment horizontal="right" vertical="center"/>
    </xf>
    <xf numFmtId="0" fontId="13" fillId="0" borderId="0"/>
    <xf numFmtId="0" fontId="12" fillId="0" borderId="0"/>
    <xf numFmtId="0" fontId="11" fillId="0" borderId="0"/>
    <xf numFmtId="0" fontId="36" fillId="0" borderId="0">
      <alignment horizontal="center" vertical="center"/>
    </xf>
    <xf numFmtId="0" fontId="35" fillId="0" borderId="0">
      <alignment horizontal="center" vertical="top"/>
    </xf>
    <xf numFmtId="0" fontId="33" fillId="0" borderId="0">
      <alignment horizontal="left" vertical="top"/>
    </xf>
    <xf numFmtId="0" fontId="35" fillId="0" borderId="0">
      <alignment horizontal="left" vertical="top"/>
    </xf>
    <xf numFmtId="0" fontId="35" fillId="0" borderId="4">
      <alignment horizontal="center" vertical="center"/>
    </xf>
    <xf numFmtId="0" fontId="33" fillId="0" borderId="4">
      <alignment horizontal="center" vertical="center"/>
    </xf>
    <xf numFmtId="0" fontId="35" fillId="0" borderId="4">
      <alignment horizontal="left" vertical="center"/>
    </xf>
    <xf numFmtId="0" fontId="35" fillId="0" borderId="2">
      <alignment horizontal="left" vertical="top"/>
    </xf>
    <xf numFmtId="0" fontId="35" fillId="0" borderId="4">
      <alignment horizontal="right" vertical="center"/>
    </xf>
    <xf numFmtId="0" fontId="35" fillId="0" borderId="4">
      <alignment horizontal="right" vertical="top"/>
    </xf>
    <xf numFmtId="0" fontId="35" fillId="0" borderId="0">
      <alignment horizontal="left" vertical="center"/>
    </xf>
    <xf numFmtId="0" fontId="9" fillId="0" borderId="0"/>
    <xf numFmtId="0" fontId="8" fillId="0" borderId="0"/>
    <xf numFmtId="0" fontId="7" fillId="0" borderId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0" fillId="0" borderId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7" fillId="0" borderId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7" fillId="0" borderId="0"/>
    <xf numFmtId="0" fontId="33" fillId="0" borderId="0">
      <alignment horizontal="right" vertical="center"/>
    </xf>
    <xf numFmtId="0" fontId="33" fillId="0" borderId="0">
      <alignment horizontal="right" vertical="center"/>
    </xf>
    <xf numFmtId="0" fontId="35" fillId="0" borderId="4">
      <alignment horizontal="right" vertical="top"/>
    </xf>
    <xf numFmtId="0" fontId="35" fillId="0" borderId="4">
      <alignment horizontal="left"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7" fillId="0" borderId="0"/>
    <xf numFmtId="167" fontId="3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171" fontId="20" fillId="0" borderId="0" applyFont="0" applyFill="0" applyBorder="0" applyAlignment="0" applyProtection="0"/>
    <xf numFmtId="0" fontId="25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4" borderId="0" applyNumberFormat="0" applyBorder="0" applyAlignment="0" applyProtection="0"/>
    <xf numFmtId="0" fontId="57" fillId="8" borderId="0" applyNumberFormat="0" applyBorder="0" applyAlignment="0" applyProtection="0"/>
    <xf numFmtId="0" fontId="58" fillId="25" borderId="17" applyNumberFormat="0" applyAlignment="0" applyProtection="0"/>
    <xf numFmtId="0" fontId="59" fillId="26" borderId="18" applyNumberFormat="0" applyAlignment="0" applyProtection="0"/>
    <xf numFmtId="0" fontId="60" fillId="0" borderId="0" applyNumberFormat="0" applyFill="0" applyBorder="0" applyAlignment="0" applyProtection="0"/>
    <xf numFmtId="0" fontId="61" fillId="9" borderId="0" applyNumberFormat="0" applyBorder="0" applyAlignment="0" applyProtection="0"/>
    <xf numFmtId="0" fontId="62" fillId="0" borderId="19" applyNumberFormat="0" applyFill="0" applyAlignment="0" applyProtection="0"/>
    <xf numFmtId="0" fontId="63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0" applyNumberFormat="0" applyFill="0" applyBorder="0" applyAlignment="0" applyProtection="0"/>
    <xf numFmtId="0" fontId="65" fillId="12" borderId="17" applyNumberFormat="0" applyAlignment="0" applyProtection="0"/>
    <xf numFmtId="0" fontId="66" fillId="0" borderId="22" applyNumberFormat="0" applyFill="0" applyAlignment="0" applyProtection="0"/>
    <xf numFmtId="0" fontId="67" fillId="27" borderId="0" applyNumberFormat="0" applyBorder="0" applyAlignment="0" applyProtection="0"/>
    <xf numFmtId="0" fontId="68" fillId="0" borderId="0" applyNumberFormat="0" applyFill="0" applyBorder="0" applyAlignment="0" applyProtection="0"/>
    <xf numFmtId="0" fontId="20" fillId="28" borderId="23" applyNumberFormat="0" applyFont="0" applyAlignment="0" applyProtection="0"/>
    <xf numFmtId="0" fontId="69" fillId="25" borderId="24" applyNumberFormat="0" applyAlignment="0" applyProtection="0"/>
    <xf numFmtId="0" fontId="27" fillId="4" borderId="0">
      <alignment horizontal="left" vertical="center"/>
    </xf>
    <xf numFmtId="0" fontId="27" fillId="0" borderId="0">
      <alignment horizontal="center" vertical="center"/>
    </xf>
    <xf numFmtId="0" fontId="31" fillId="0" borderId="0">
      <alignment horizontal="center" vertical="center"/>
    </xf>
    <xf numFmtId="0" fontId="27" fillId="0" borderId="0">
      <alignment horizontal="left" vertical="center"/>
    </xf>
    <xf numFmtId="0" fontId="27" fillId="0" borderId="0">
      <alignment horizontal="right" vertical="center"/>
    </xf>
    <xf numFmtId="0" fontId="27" fillId="0" borderId="0">
      <alignment horizontal="center" vertical="center"/>
    </xf>
    <xf numFmtId="0" fontId="27" fillId="0" borderId="0">
      <alignment horizontal="left" vertical="top"/>
    </xf>
    <xf numFmtId="0" fontId="27" fillId="0" borderId="0">
      <alignment horizontal="right" vertical="center"/>
    </xf>
    <xf numFmtId="0" fontId="27" fillId="0" borderId="0">
      <alignment horizontal="left" vertical="center"/>
    </xf>
    <xf numFmtId="0" fontId="23" fillId="3" borderId="0">
      <alignment horizontal="center" vertical="center"/>
    </xf>
    <xf numFmtId="0" fontId="27" fillId="0" borderId="0">
      <alignment horizontal="right" vertical="top"/>
    </xf>
    <xf numFmtId="0" fontId="27" fillId="0" borderId="0">
      <alignment horizontal="left" vertical="top"/>
    </xf>
    <xf numFmtId="0" fontId="70" fillId="0" borderId="0" applyNumberFormat="0" applyFill="0" applyBorder="0" applyAlignment="0" applyProtection="0"/>
    <xf numFmtId="0" fontId="71" fillId="0" borderId="25" applyNumberFormat="0" applyFill="0" applyAlignment="0" applyProtection="0"/>
    <xf numFmtId="0" fontId="72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3" fillId="12" borderId="17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4" fillId="25" borderId="24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0" fontId="75" fillId="25" borderId="17" applyNumberFormat="0" applyAlignment="0" applyProtection="0"/>
    <xf numFmtId="172" fontId="20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80" fillId="26" borderId="18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0" fontId="20" fillId="28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5" fillId="0" borderId="0"/>
    <xf numFmtId="0" fontId="6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21" fillId="0" borderId="0"/>
    <xf numFmtId="173" fontId="20" fillId="0" borderId="0" applyFont="0" applyFill="0" applyBorder="0" applyAlignment="0" applyProtection="0"/>
    <xf numFmtId="0" fontId="1" fillId="0" borderId="0"/>
  </cellStyleXfs>
  <cellXfs count="625">
    <xf numFmtId="0" fontId="0" fillId="0" borderId="0" xfId="0"/>
    <xf numFmtId="0" fontId="24" fillId="2" borderId="0" xfId="63" applyFont="1" applyFill="1"/>
    <xf numFmtId="0" fontId="24" fillId="2" borderId="0" xfId="63" applyFont="1" applyFill="1" applyAlignment="1">
      <alignment vertical="center"/>
    </xf>
    <xf numFmtId="0" fontId="24" fillId="2" borderId="4" xfId="1" applyFont="1" applyFill="1" applyBorder="1" applyAlignment="1">
      <alignment horizontal="left" vertical="center" wrapText="1" shrinkToFit="1"/>
    </xf>
    <xf numFmtId="0" fontId="38" fillId="2" borderId="4" xfId="1" applyFont="1" applyFill="1" applyBorder="1" applyAlignment="1">
      <alignment horizontal="center" vertical="center" wrapText="1"/>
    </xf>
    <xf numFmtId="0" fontId="38" fillId="2" borderId="11" xfId="1" applyFont="1" applyFill="1" applyBorder="1" applyAlignment="1">
      <alignment horizontal="center" vertical="center" wrapText="1"/>
    </xf>
    <xf numFmtId="0" fontId="20" fillId="0" borderId="0" xfId="1" applyFont="1" applyFill="1"/>
    <xf numFmtId="0" fontId="42" fillId="2" borderId="4" xfId="1" applyFont="1" applyFill="1" applyBorder="1" applyAlignment="1">
      <alignment horizontal="left" vertical="center" wrapText="1"/>
    </xf>
    <xf numFmtId="0" fontId="38" fillId="0" borderId="0" xfId="1" applyFont="1"/>
    <xf numFmtId="0" fontId="39" fillId="3" borderId="0" xfId="1" applyFont="1" applyFill="1"/>
    <xf numFmtId="166" fontId="20" fillId="0" borderId="0" xfId="1" applyNumberFormat="1" applyFont="1"/>
    <xf numFmtId="0" fontId="20" fillId="0" borderId="0" xfId="1" applyFont="1" applyAlignment="1">
      <alignment horizontal="center" vertical="center"/>
    </xf>
    <xf numFmtId="9" fontId="38" fillId="2" borderId="11" xfId="1" applyNumberFormat="1" applyFont="1" applyFill="1" applyBorder="1" applyAlignment="1">
      <alignment horizontal="center" vertical="center" wrapText="1"/>
    </xf>
    <xf numFmtId="4" fontId="40" fillId="2" borderId="4" xfId="1" applyNumberFormat="1" applyFont="1" applyFill="1" applyBorder="1" applyAlignment="1">
      <alignment horizontal="center" vertical="center" wrapText="1"/>
    </xf>
    <xf numFmtId="0" fontId="20" fillId="0" borderId="0" xfId="1" applyFont="1"/>
    <xf numFmtId="0" fontId="22" fillId="2" borderId="0" xfId="63" applyFont="1" applyFill="1" applyAlignment="1">
      <alignment horizontal="left" vertical="center" wrapText="1"/>
    </xf>
    <xf numFmtId="0" fontId="38" fillId="0" borderId="0" xfId="1" applyFont="1" applyFill="1" applyAlignment="1">
      <alignment horizontal="center" vertical="center"/>
    </xf>
    <xf numFmtId="0" fontId="38" fillId="0" borderId="0" xfId="1" applyFont="1" applyFill="1"/>
    <xf numFmtId="0" fontId="37" fillId="0" borderId="0" xfId="1" applyFont="1" applyFill="1" applyAlignment="1">
      <alignment horizontal="center" vertical="center"/>
    </xf>
    <xf numFmtId="0" fontId="38" fillId="0" borderId="0" xfId="1" applyFont="1" applyFill="1" applyAlignment="1">
      <alignment horizontal="left" vertical="top"/>
    </xf>
    <xf numFmtId="0" fontId="40" fillId="0" borderId="0" xfId="1" applyFont="1" applyBorder="1" applyAlignment="1">
      <alignment horizontal="left" vertical="top"/>
    </xf>
    <xf numFmtId="0" fontId="38" fillId="0" borderId="0" xfId="1" applyFont="1" applyBorder="1" applyAlignment="1"/>
    <xf numFmtId="0" fontId="38" fillId="0" borderId="0" xfId="1" applyFont="1" applyBorder="1" applyAlignment="1">
      <alignment horizontal="center" vertical="center"/>
    </xf>
    <xf numFmtId="0" fontId="20" fillId="0" borderId="0" xfId="1" applyFont="1" applyBorder="1" applyAlignment="1"/>
    <xf numFmtId="0" fontId="37" fillId="0" borderId="4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2" fillId="3" borderId="4" xfId="1" applyFont="1" applyFill="1" applyBorder="1" applyAlignment="1">
      <alignment horizontal="center" vertical="center" wrapText="1"/>
    </xf>
    <xf numFmtId="0" fontId="38" fillId="3" borderId="4" xfId="1" applyFont="1" applyFill="1" applyBorder="1" applyAlignment="1">
      <alignment horizontal="left" vertical="center" wrapText="1"/>
    </xf>
    <xf numFmtId="0" fontId="38" fillId="3" borderId="4" xfId="1" applyFont="1" applyFill="1" applyBorder="1" applyAlignment="1">
      <alignment horizontal="center" vertical="center" wrapText="1"/>
    </xf>
    <xf numFmtId="0" fontId="24" fillId="3" borderId="4" xfId="1" applyFont="1" applyFill="1" applyBorder="1" applyAlignment="1">
      <alignment horizontal="center" vertical="center" wrapText="1"/>
    </xf>
    <xf numFmtId="2" fontId="24" fillId="3" borderId="4" xfId="1" applyNumberFormat="1" applyFont="1" applyFill="1" applyBorder="1" applyAlignment="1">
      <alignment horizontal="right" vertical="center"/>
    </xf>
    <xf numFmtId="0" fontId="21" fillId="3" borderId="4" xfId="1" applyFont="1" applyFill="1" applyBorder="1" applyAlignment="1">
      <alignment horizontal="center" vertical="center" wrapText="1"/>
    </xf>
    <xf numFmtId="0" fontId="42" fillId="3" borderId="4" xfId="1" applyFont="1" applyFill="1" applyBorder="1" applyAlignment="1">
      <alignment horizontal="left" vertical="center" wrapText="1"/>
    </xf>
    <xf numFmtId="0" fontId="42" fillId="3" borderId="4" xfId="1" applyFont="1" applyFill="1" applyBorder="1" applyAlignment="1">
      <alignment horizontal="center" vertical="center" wrapText="1"/>
    </xf>
    <xf numFmtId="4" fontId="42" fillId="3" borderId="4" xfId="1" applyNumberFormat="1" applyFont="1" applyFill="1" applyBorder="1" applyAlignment="1">
      <alignment horizontal="right" vertical="center" wrapText="1"/>
    </xf>
    <xf numFmtId="0" fontId="43" fillId="3" borderId="4" xfId="1" applyFont="1" applyFill="1" applyBorder="1" applyAlignment="1">
      <alignment horizontal="center" vertical="center" wrapText="1"/>
    </xf>
    <xf numFmtId="4" fontId="40" fillId="2" borderId="4" xfId="63" applyNumberFormat="1" applyFont="1" applyFill="1" applyBorder="1" applyAlignment="1">
      <alignment horizontal="center" vertical="center" wrapText="1"/>
    </xf>
    <xf numFmtId="0" fontId="42" fillId="2" borderId="4" xfId="63" applyFont="1" applyFill="1" applyBorder="1" applyAlignment="1">
      <alignment horizontal="left" vertical="center" wrapText="1"/>
    </xf>
    <xf numFmtId="0" fontId="38" fillId="2" borderId="4" xfId="63" applyFont="1" applyFill="1" applyBorder="1" applyAlignment="1">
      <alignment horizontal="center" vertical="center" wrapText="1"/>
    </xf>
    <xf numFmtId="9" fontId="38" fillId="2" borderId="4" xfId="63" applyNumberFormat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left" vertical="center" wrapText="1"/>
    </xf>
    <xf numFmtId="0" fontId="22" fillId="0" borderId="4" xfId="1" applyFont="1" applyFill="1" applyBorder="1" applyAlignment="1">
      <alignment horizontal="left" vertical="center" wrapText="1"/>
    </xf>
    <xf numFmtId="4" fontId="24" fillId="0" borderId="4" xfId="1" applyNumberFormat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10" fontId="24" fillId="0" borderId="11" xfId="1" applyNumberFormat="1" applyFont="1" applyFill="1" applyBorder="1" applyAlignment="1">
      <alignment horizontal="center" vertical="center" wrapText="1"/>
    </xf>
    <xf numFmtId="10" fontId="24" fillId="0" borderId="0" xfId="1" applyNumberFormat="1" applyFont="1" applyFill="1" applyBorder="1" applyAlignment="1">
      <alignment horizontal="center" vertical="center" wrapText="1"/>
    </xf>
    <xf numFmtId="0" fontId="24" fillId="0" borderId="11" xfId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20" fillId="0" borderId="4" xfId="1" applyFont="1" applyFill="1" applyBorder="1"/>
    <xf numFmtId="0" fontId="42" fillId="0" borderId="4" xfId="1" applyFont="1" applyFill="1" applyBorder="1" applyAlignment="1">
      <alignment horizontal="left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8" fillId="0" borderId="11" xfId="1" applyFont="1" applyFill="1" applyBorder="1" applyAlignment="1">
      <alignment horizontal="center" vertical="center" wrapText="1"/>
    </xf>
    <xf numFmtId="0" fontId="38" fillId="0" borderId="4" xfId="1" applyFont="1" applyFill="1" applyBorder="1" applyAlignment="1">
      <alignment horizontal="center" vertical="center" wrapText="1"/>
    </xf>
    <xf numFmtId="0" fontId="24" fillId="3" borderId="4" xfId="1" applyFont="1" applyFill="1" applyBorder="1" applyAlignment="1">
      <alignment horizontal="left" vertical="center" wrapText="1"/>
    </xf>
    <xf numFmtId="2" fontId="24" fillId="3" borderId="4" xfId="1" applyNumberFormat="1" applyFont="1" applyFill="1" applyBorder="1" applyAlignment="1">
      <alignment horizontal="center" vertical="center" wrapText="1"/>
    </xf>
    <xf numFmtId="2" fontId="24" fillId="3" borderId="4" xfId="1" applyNumberFormat="1" applyFont="1" applyFill="1" applyBorder="1" applyAlignment="1">
      <alignment horizontal="left" vertical="center"/>
    </xf>
    <xf numFmtId="9" fontId="24" fillId="3" borderId="4" xfId="1" applyNumberFormat="1" applyFont="1" applyFill="1" applyBorder="1" applyAlignment="1">
      <alignment horizontal="center" vertical="center"/>
    </xf>
    <xf numFmtId="168" fontId="24" fillId="3" borderId="4" xfId="1" applyNumberFormat="1" applyFont="1" applyFill="1" applyBorder="1" applyAlignment="1">
      <alignment horizontal="center" vertical="center"/>
    </xf>
    <xf numFmtId="2" fontId="20" fillId="3" borderId="4" xfId="1" applyNumberFormat="1" applyFont="1" applyFill="1" applyBorder="1" applyAlignment="1">
      <alignment horizontal="center"/>
    </xf>
    <xf numFmtId="9" fontId="24" fillId="3" borderId="4" xfId="1" applyNumberFormat="1" applyFont="1" applyFill="1" applyBorder="1" applyAlignment="1">
      <alignment horizontal="left" vertical="center" wrapText="1"/>
    </xf>
    <xf numFmtId="4" fontId="24" fillId="3" borderId="4" xfId="1" applyNumberFormat="1" applyFont="1" applyFill="1" applyBorder="1" applyAlignment="1">
      <alignment horizontal="right" vertical="center" wrapText="1"/>
    </xf>
    <xf numFmtId="10" fontId="24" fillId="3" borderId="4" xfId="1" applyNumberFormat="1" applyFont="1" applyFill="1" applyBorder="1" applyAlignment="1">
      <alignment horizontal="center" vertical="center"/>
    </xf>
    <xf numFmtId="2" fontId="24" fillId="3" borderId="4" xfId="1" applyNumberFormat="1" applyFont="1" applyFill="1" applyBorder="1" applyAlignment="1">
      <alignment horizontal="left" vertical="center" wrapText="1"/>
    </xf>
    <xf numFmtId="0" fontId="22" fillId="3" borderId="4" xfId="1" applyFont="1" applyFill="1" applyBorder="1" applyAlignment="1">
      <alignment horizontal="left" vertical="center" wrapText="1"/>
    </xf>
    <xf numFmtId="2" fontId="22" fillId="3" borderId="4" xfId="1" applyNumberFormat="1" applyFont="1" applyFill="1" applyBorder="1" applyAlignment="1">
      <alignment horizontal="center" vertical="center" wrapText="1"/>
    </xf>
    <xf numFmtId="2" fontId="22" fillId="3" borderId="4" xfId="1" applyNumberFormat="1" applyFont="1" applyFill="1" applyBorder="1" applyAlignment="1">
      <alignment horizontal="left" vertical="center"/>
    </xf>
    <xf numFmtId="9" fontId="22" fillId="3" borderId="4" xfId="1" applyNumberFormat="1" applyFont="1" applyFill="1" applyBorder="1" applyAlignment="1">
      <alignment horizontal="center" vertical="center"/>
    </xf>
    <xf numFmtId="168" fontId="22" fillId="3" borderId="4" xfId="1" applyNumberFormat="1" applyFont="1" applyFill="1" applyBorder="1" applyAlignment="1">
      <alignment horizontal="center" vertical="center"/>
    </xf>
    <xf numFmtId="2" fontId="39" fillId="3" borderId="4" xfId="1" applyNumberFormat="1" applyFont="1" applyFill="1" applyBorder="1" applyAlignment="1">
      <alignment horizontal="center"/>
    </xf>
    <xf numFmtId="9" fontId="22" fillId="3" borderId="4" xfId="1" applyNumberFormat="1" applyFont="1" applyFill="1" applyBorder="1" applyAlignment="1">
      <alignment horizontal="left" vertical="center" wrapText="1"/>
    </xf>
    <xf numFmtId="4" fontId="22" fillId="3" borderId="4" xfId="1" applyNumberFormat="1" applyFont="1" applyFill="1" applyBorder="1" applyAlignment="1">
      <alignment horizontal="right" vertical="center" wrapText="1"/>
    </xf>
    <xf numFmtId="0" fontId="21" fillId="0" borderId="4" xfId="1" applyFont="1" applyBorder="1" applyAlignment="1">
      <alignment horizontal="center" vertical="center"/>
    </xf>
    <xf numFmtId="0" fontId="37" fillId="3" borderId="4" xfId="1" applyFont="1" applyFill="1" applyBorder="1" applyAlignment="1">
      <alignment horizontal="left" vertical="center" wrapText="1"/>
    </xf>
    <xf numFmtId="9" fontId="24" fillId="3" borderId="4" xfId="1" applyNumberFormat="1" applyFont="1" applyFill="1" applyBorder="1" applyAlignment="1">
      <alignment horizontal="center" vertical="center" wrapText="1"/>
    </xf>
    <xf numFmtId="2" fontId="24" fillId="3" borderId="4" xfId="1" applyNumberFormat="1" applyFont="1" applyFill="1" applyBorder="1" applyAlignment="1">
      <alignment horizontal="center" vertical="center"/>
    </xf>
    <xf numFmtId="0" fontId="20" fillId="0" borderId="0" xfId="1" applyFont="1" applyFill="1" applyBorder="1"/>
    <xf numFmtId="0" fontId="37" fillId="0" borderId="4" xfId="1" applyFont="1" applyBorder="1" applyAlignment="1">
      <alignment horizontal="left" vertical="center" wrapText="1"/>
    </xf>
    <xf numFmtId="0" fontId="38" fillId="0" borderId="4" xfId="1" applyFont="1" applyBorder="1"/>
    <xf numFmtId="166" fontId="37" fillId="0" borderId="4" xfId="3" applyFont="1" applyBorder="1" applyAlignment="1"/>
    <xf numFmtId="0" fontId="20" fillId="0" borderId="4" xfId="1" applyFont="1" applyBorder="1"/>
    <xf numFmtId="169" fontId="37" fillId="0" borderId="5" xfId="1" applyNumberFormat="1" applyFont="1" applyBorder="1" applyAlignment="1"/>
    <xf numFmtId="4" fontId="22" fillId="3" borderId="5" xfId="1" applyNumberFormat="1" applyFont="1" applyFill="1" applyBorder="1" applyAlignment="1">
      <alignment horizontal="right" vertical="center" wrapText="1"/>
    </xf>
    <xf numFmtId="0" fontId="20" fillId="0" borderId="4" xfId="1" applyFont="1" applyBorder="1" applyAlignment="1"/>
    <xf numFmtId="169" fontId="37" fillId="0" borderId="4" xfId="1" applyNumberFormat="1" applyFont="1" applyBorder="1" applyAlignment="1"/>
    <xf numFmtId="0" fontId="20" fillId="0" borderId="0" xfId="1" applyFont="1" applyBorder="1"/>
    <xf numFmtId="9" fontId="22" fillId="0" borderId="0" xfId="1" applyNumberFormat="1" applyFont="1" applyBorder="1" applyAlignment="1">
      <alignment horizontal="left"/>
    </xf>
    <xf numFmtId="4" fontId="22" fillId="3" borderId="0" xfId="1" applyNumberFormat="1" applyFont="1" applyFill="1" applyBorder="1" applyAlignment="1">
      <alignment horizontal="center" vertical="center" wrapText="1"/>
    </xf>
    <xf numFmtId="9" fontId="24" fillId="0" borderId="0" xfId="1" applyNumberFormat="1" applyFont="1" applyBorder="1" applyAlignment="1">
      <alignment horizontal="left"/>
    </xf>
    <xf numFmtId="0" fontId="45" fillId="0" borderId="0" xfId="1" applyFont="1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38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2" fillId="2" borderId="4" xfId="63" applyFont="1" applyFill="1" applyBorder="1" applyAlignment="1">
      <alignment horizontal="center"/>
    </xf>
    <xf numFmtId="0" fontId="24" fillId="2" borderId="4" xfId="63" applyFont="1" applyFill="1" applyBorder="1"/>
    <xf numFmtId="0" fontId="10" fillId="0" borderId="4" xfId="0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justify" vertical="center" wrapText="1"/>
    </xf>
    <xf numFmtId="4" fontId="52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24" fillId="2" borderId="0" xfId="63" applyFont="1" applyFill="1"/>
    <xf numFmtId="0" fontId="51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22" fillId="2" borderId="0" xfId="63" applyNumberFormat="1" applyFont="1" applyFill="1" applyBorder="1" applyAlignment="1">
      <alignment horizontal="right" vertical="center" wrapText="1"/>
    </xf>
    <xf numFmtId="3" fontId="22" fillId="0" borderId="0" xfId="63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/>
    <xf numFmtId="4" fontId="48" fillId="0" borderId="0" xfId="0" applyNumberFormat="1" applyFont="1" applyFill="1"/>
    <xf numFmtId="0" fontId="48" fillId="0" borderId="0" xfId="0" applyFont="1" applyAlignment="1">
      <alignment horizontal="right"/>
    </xf>
    <xf numFmtId="0" fontId="89" fillId="0" borderId="0" xfId="0" applyFont="1"/>
    <xf numFmtId="4" fontId="89" fillId="0" borderId="0" xfId="0" applyNumberFormat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vertical="center"/>
    </xf>
    <xf numFmtId="4" fontId="0" fillId="0" borderId="0" xfId="0" applyNumberFormat="1" applyBorder="1"/>
    <xf numFmtId="4" fontId="88" fillId="2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5" fontId="0" fillId="0" borderId="4" xfId="0" applyNumberFormat="1" applyBorder="1" applyAlignment="1">
      <alignment horizontal="center"/>
    </xf>
    <xf numFmtId="0" fontId="92" fillId="0" borderId="0" xfId="0" applyFont="1" applyFill="1" applyBorder="1" applyAlignment="1">
      <alignment horizontal="right"/>
    </xf>
    <xf numFmtId="4" fontId="92" fillId="0" borderId="0" xfId="0" applyNumberFormat="1" applyFont="1" applyBorder="1" applyAlignment="1">
      <alignment horizontal="center"/>
    </xf>
    <xf numFmtId="2" fontId="0" fillId="0" borderId="0" xfId="0" applyNumberFormat="1"/>
    <xf numFmtId="0" fontId="22" fillId="0" borderId="4" xfId="0" applyFont="1" applyBorder="1" applyAlignment="1">
      <alignment horizontal="center"/>
    </xf>
    <xf numFmtId="0" fontId="46" fillId="0" borderId="4" xfId="0" applyFont="1" applyFill="1" applyBorder="1" applyAlignment="1">
      <alignment horizontal="right"/>
    </xf>
    <xf numFmtId="4" fontId="46" fillId="0" borderId="4" xfId="0" applyNumberFormat="1" applyFont="1" applyBorder="1" applyAlignment="1">
      <alignment horizontal="center"/>
    </xf>
    <xf numFmtId="0" fontId="93" fillId="0" borderId="0" xfId="0" applyFont="1" applyAlignment="1">
      <alignment vertical="center"/>
    </xf>
    <xf numFmtId="0" fontId="88" fillId="0" borderId="4" xfId="0" applyFont="1" applyBorder="1" applyAlignment="1">
      <alignment vertical="center" wrapText="1"/>
    </xf>
    <xf numFmtId="0" fontId="88" fillId="0" borderId="4" xfId="0" applyFont="1" applyBorder="1" applyAlignment="1">
      <alignment horizontal="center" vertical="center" wrapText="1"/>
    </xf>
    <xf numFmtId="0" fontId="88" fillId="0" borderId="4" xfId="0" applyFont="1" applyBorder="1" applyAlignment="1">
      <alignment horizontal="center" vertical="center"/>
    </xf>
    <xf numFmtId="0" fontId="88" fillId="0" borderId="4" xfId="0" applyFont="1" applyBorder="1" applyAlignment="1">
      <alignment horizontal="center"/>
    </xf>
    <xf numFmtId="175" fontId="88" fillId="0" borderId="4" xfId="0" applyNumberFormat="1" applyFont="1" applyBorder="1" applyAlignment="1">
      <alignment horizontal="center"/>
    </xf>
    <xf numFmtId="0" fontId="88" fillId="0" borderId="4" xfId="0" applyFont="1" applyBorder="1"/>
    <xf numFmtId="3" fontId="88" fillId="0" borderId="4" xfId="0" applyNumberFormat="1" applyFont="1" applyBorder="1" applyAlignment="1">
      <alignment horizontal="center"/>
    </xf>
    <xf numFmtId="0" fontId="46" fillId="0" borderId="4" xfId="0" applyFont="1" applyBorder="1" applyAlignment="1">
      <alignment vertical="center" wrapText="1"/>
    </xf>
    <xf numFmtId="3" fontId="46" fillId="0" borderId="4" xfId="0" applyNumberFormat="1" applyFont="1" applyBorder="1" applyAlignment="1">
      <alignment horizontal="center"/>
    </xf>
    <xf numFmtId="0" fontId="88" fillId="0" borderId="0" xfId="0" applyFont="1"/>
    <xf numFmtId="0" fontId="88" fillId="2" borderId="4" xfId="0" applyFont="1" applyFill="1" applyBorder="1" applyAlignment="1">
      <alignment vertical="center"/>
    </xf>
    <xf numFmtId="0" fontId="88" fillId="2" borderId="4" xfId="0" applyFont="1" applyFill="1" applyBorder="1" applyAlignment="1">
      <alignment horizontal="center" vertical="center"/>
    </xf>
    <xf numFmtId="175" fontId="88" fillId="2" borderId="4" xfId="0" applyNumberFormat="1" applyFont="1" applyFill="1" applyBorder="1" applyAlignment="1">
      <alignment horizontal="center" vertical="center"/>
    </xf>
    <xf numFmtId="176" fontId="88" fillId="2" borderId="4" xfId="0" applyNumberFormat="1" applyFont="1" applyFill="1" applyBorder="1" applyAlignment="1">
      <alignment horizontal="center" vertical="center"/>
    </xf>
    <xf numFmtId="177" fontId="0" fillId="0" borderId="0" xfId="0" applyNumberFormat="1"/>
    <xf numFmtId="0" fontId="88" fillId="0" borderId="4" xfId="139" quotePrefix="1" applyFont="1" applyAlignment="1">
      <alignment horizontal="center" vertical="center" wrapText="1"/>
    </xf>
    <xf numFmtId="0" fontId="24" fillId="2" borderId="4" xfId="0" applyFont="1" applyFill="1" applyBorder="1" applyAlignment="1">
      <alignment wrapText="1"/>
    </xf>
    <xf numFmtId="170" fontId="24" fillId="2" borderId="4" xfId="99" applyNumberFormat="1" applyFont="1" applyFill="1" applyBorder="1" applyAlignment="1">
      <alignment horizontal="center" wrapText="1"/>
    </xf>
    <xf numFmtId="3" fontId="24" fillId="2" borderId="4" xfId="0" applyNumberFormat="1" applyFont="1" applyFill="1" applyBorder="1" applyAlignment="1">
      <alignment horizontal="center" wrapText="1"/>
    </xf>
    <xf numFmtId="2" fontId="48" fillId="0" borderId="0" xfId="0" applyNumberFormat="1" applyFont="1" applyFill="1" applyAlignment="1">
      <alignment horizontal="center"/>
    </xf>
    <xf numFmtId="0" fontId="22" fillId="0" borderId="0" xfId="0" applyFont="1" applyAlignment="1">
      <alignment vertical="center"/>
    </xf>
    <xf numFmtId="0" fontId="93" fillId="0" borderId="0" xfId="0" applyFont="1"/>
    <xf numFmtId="0" fontId="22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4" fontId="95" fillId="29" borderId="4" xfId="0" applyNumberFormat="1" applyFont="1" applyFill="1" applyBorder="1"/>
    <xf numFmtId="0" fontId="0" fillId="0" borderId="4" xfId="0" applyBorder="1" applyAlignment="1">
      <alignment horizontal="left" vertical="center"/>
    </xf>
    <xf numFmtId="0" fontId="96" fillId="0" borderId="0" xfId="0" applyFont="1"/>
    <xf numFmtId="0" fontId="0" fillId="0" borderId="4" xfId="0" applyBorder="1" applyAlignment="1">
      <alignment horizontal="center"/>
    </xf>
    <xf numFmtId="14" fontId="96" fillId="0" borderId="0" xfId="0" applyNumberFormat="1" applyFont="1" applyBorder="1" applyAlignment="1">
      <alignment horizontal="center" vertical="center" wrapText="1"/>
    </xf>
    <xf numFmtId="0" fontId="94" fillId="0" borderId="0" xfId="0" applyFont="1"/>
    <xf numFmtId="0" fontId="96" fillId="0" borderId="0" xfId="0" applyFont="1" applyAlignment="1">
      <alignment horizontal="left"/>
    </xf>
    <xf numFmtId="0" fontId="96" fillId="0" borderId="0" xfId="0" applyFont="1" applyAlignment="1">
      <alignment horizontal="center" vertical="center"/>
    </xf>
    <xf numFmtId="0" fontId="21" fillId="0" borderId="0" xfId="63"/>
    <xf numFmtId="0" fontId="0" fillId="0" borderId="4" xfId="0" applyBorder="1" applyAlignment="1">
      <alignment vertical="center"/>
    </xf>
    <xf numFmtId="0" fontId="0" fillId="0" borderId="4" xfId="0" applyBorder="1"/>
    <xf numFmtId="0" fontId="3" fillId="0" borderId="0" xfId="1922"/>
    <xf numFmtId="178" fontId="94" fillId="0" borderId="0" xfId="0" applyNumberFormat="1" applyFont="1"/>
    <xf numFmtId="10" fontId="94" fillId="0" borderId="0" xfId="0" applyNumberFormat="1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99" fillId="0" borderId="0" xfId="0" applyFont="1" applyAlignment="1">
      <alignment horizontal="right" vertical="center"/>
    </xf>
    <xf numFmtId="0" fontId="29" fillId="6" borderId="26" xfId="0" applyFont="1" applyFill="1" applyBorder="1" applyAlignment="1">
      <alignment vertical="center" wrapText="1"/>
    </xf>
    <xf numFmtId="0" fontId="29" fillId="6" borderId="26" xfId="0" applyFont="1" applyFill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30" fillId="2" borderId="4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0" fillId="2" borderId="0" xfId="0" applyFill="1"/>
    <xf numFmtId="0" fontId="29" fillId="0" borderId="4" xfId="0" applyFont="1" applyBorder="1" applyAlignment="1">
      <alignment horizontal="justify" vertical="center"/>
    </xf>
    <xf numFmtId="0" fontId="95" fillId="0" borderId="4" xfId="0" applyFont="1" applyBorder="1" applyAlignment="1">
      <alignment wrapText="1"/>
    </xf>
    <xf numFmtId="4" fontId="95" fillId="0" borderId="4" xfId="0" applyNumberFormat="1" applyFont="1" applyBorder="1" applyAlignment="1">
      <alignment horizontal="center"/>
    </xf>
    <xf numFmtId="0" fontId="29" fillId="0" borderId="0" xfId="0" applyFont="1" applyAlignment="1">
      <alignment horizontal="justify" vertical="center"/>
    </xf>
    <xf numFmtId="0" fontId="100" fillId="2" borderId="28" xfId="1" applyFont="1" applyFill="1" applyBorder="1" applyAlignment="1">
      <alignment vertical="center" wrapText="1"/>
    </xf>
    <xf numFmtId="0" fontId="100" fillId="2" borderId="27" xfId="1" applyFont="1" applyFill="1" applyBorder="1" applyAlignment="1">
      <alignment horizontal="center" vertical="center" wrapText="1"/>
    </xf>
    <xf numFmtId="0" fontId="52" fillId="2" borderId="26" xfId="1" applyFont="1" applyFill="1" applyBorder="1" applyAlignment="1">
      <alignment horizontal="center" vertical="center" wrapText="1"/>
    </xf>
    <xf numFmtId="0" fontId="100" fillId="2" borderId="26" xfId="1" applyFont="1" applyFill="1" applyBorder="1" applyAlignment="1">
      <alignment vertical="center" wrapText="1"/>
    </xf>
    <xf numFmtId="0" fontId="100" fillId="2" borderId="26" xfId="1" applyFont="1" applyFill="1" applyBorder="1" applyAlignment="1">
      <alignment horizontal="center" vertical="center" wrapText="1"/>
    </xf>
    <xf numFmtId="0" fontId="52" fillId="2" borderId="27" xfId="1" applyFont="1" applyFill="1" applyBorder="1" applyAlignment="1">
      <alignment horizontal="center" vertical="center" wrapText="1"/>
    </xf>
    <xf numFmtId="0" fontId="100" fillId="2" borderId="31" xfId="1" applyFont="1" applyFill="1" applyBorder="1" applyAlignment="1">
      <alignment vertical="center" wrapText="1"/>
    </xf>
    <xf numFmtId="0" fontId="100" fillId="2" borderId="4" xfId="1" applyFont="1" applyFill="1" applyBorder="1" applyAlignment="1">
      <alignment horizontal="center" vertical="center" wrapText="1"/>
    </xf>
    <xf numFmtId="0" fontId="100" fillId="2" borderId="4" xfId="1" applyFont="1" applyFill="1" applyBorder="1" applyAlignment="1">
      <alignment vertical="center" wrapText="1"/>
    </xf>
    <xf numFmtId="0" fontId="100" fillId="2" borderId="28" xfId="1" applyFont="1" applyFill="1" applyBorder="1" applyAlignment="1">
      <alignment horizontal="center" vertical="center" wrapText="1"/>
    </xf>
    <xf numFmtId="0" fontId="52" fillId="2" borderId="26" xfId="1" applyFont="1" applyFill="1" applyBorder="1" applyAlignment="1">
      <alignment vertical="center" wrapText="1"/>
    </xf>
    <xf numFmtId="0" fontId="101" fillId="0" borderId="26" xfId="1" applyFont="1" applyBorder="1" applyAlignment="1">
      <alignment vertical="center" wrapText="1"/>
    </xf>
    <xf numFmtId="0" fontId="52" fillId="0" borderId="30" xfId="1" applyFont="1" applyBorder="1" applyAlignment="1">
      <alignment horizontal="center" vertical="center" wrapText="1"/>
    </xf>
    <xf numFmtId="0" fontId="52" fillId="0" borderId="26" xfId="1" applyFont="1" applyBorder="1" applyAlignment="1">
      <alignment horizontal="center" vertical="center" wrapText="1"/>
    </xf>
    <xf numFmtId="4" fontId="101" fillId="0" borderId="26" xfId="1" applyNumberFormat="1" applyFont="1" applyBorder="1" applyAlignment="1">
      <alignment horizontal="center" vertical="center" wrapText="1"/>
    </xf>
    <xf numFmtId="4" fontId="52" fillId="0" borderId="26" xfId="1" applyNumberFormat="1" applyFont="1" applyBorder="1" applyAlignment="1">
      <alignment horizontal="center" vertical="center" wrapText="1"/>
    </xf>
    <xf numFmtId="2" fontId="46" fillId="2" borderId="0" xfId="63" applyNumberFormat="1" applyFont="1" applyFill="1"/>
    <xf numFmtId="2" fontId="24" fillId="2" borderId="0" xfId="63" applyNumberFormat="1" applyFont="1" applyFill="1"/>
    <xf numFmtId="0" fontId="24" fillId="2" borderId="4" xfId="0" applyNumberFormat="1" applyFont="1" applyFill="1" applyBorder="1" applyAlignment="1">
      <alignment horizontal="center" wrapText="1"/>
    </xf>
    <xf numFmtId="0" fontId="24" fillId="2" borderId="4" xfId="0" applyNumberFormat="1" applyFont="1" applyFill="1" applyBorder="1" applyAlignment="1">
      <alignment wrapText="1"/>
    </xf>
    <xf numFmtId="0" fontId="0" fillId="0" borderId="4" xfId="0" quotePrefix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88" fillId="0" borderId="0" xfId="147" applyFont="1" applyAlignment="1">
      <alignment wrapText="1"/>
    </xf>
    <xf numFmtId="0" fontId="88" fillId="0" borderId="0" xfId="147" applyFont="1" applyFill="1" applyAlignment="1">
      <alignment wrapText="1"/>
    </xf>
    <xf numFmtId="0" fontId="88" fillId="0" borderId="0" xfId="147" applyFont="1" applyFill="1" applyAlignment="1"/>
    <xf numFmtId="2" fontId="88" fillId="0" borderId="0" xfId="147" applyNumberFormat="1" applyFont="1" applyFill="1" applyAlignment="1">
      <alignment wrapText="1"/>
    </xf>
    <xf numFmtId="0" fontId="46" fillId="0" borderId="0" xfId="147" applyFont="1" applyAlignment="1">
      <alignment wrapText="1"/>
    </xf>
    <xf numFmtId="0" fontId="89" fillId="0" borderId="0" xfId="0" applyFont="1" applyBorder="1"/>
    <xf numFmtId="4" fontId="89" fillId="0" borderId="0" xfId="0" applyNumberFormat="1" applyFont="1" applyBorder="1" applyAlignment="1">
      <alignment horizontal="right"/>
    </xf>
    <xf numFmtId="0" fontId="102" fillId="0" borderId="0" xfId="63" applyFont="1"/>
    <xf numFmtId="0" fontId="41" fillId="0" borderId="0" xfId="63" applyFont="1"/>
    <xf numFmtId="4" fontId="41" fillId="0" borderId="0" xfId="63" applyNumberFormat="1" applyFont="1" applyAlignment="1">
      <alignment vertical="center" wrapText="1"/>
    </xf>
    <xf numFmtId="49" fontId="102" fillId="0" borderId="0" xfId="63" applyNumberFormat="1" applyFont="1"/>
    <xf numFmtId="49" fontId="103" fillId="0" borderId="0" xfId="63" applyNumberFormat="1" applyFont="1"/>
    <xf numFmtId="0" fontId="52" fillId="0" borderId="0" xfId="0" applyFont="1" applyFill="1" applyBorder="1"/>
    <xf numFmtId="49" fontId="102" fillId="0" borderId="0" xfId="63" applyNumberFormat="1" applyFont="1" applyAlignment="1"/>
    <xf numFmtId="0" fontId="104" fillId="0" borderId="0" xfId="63" applyFont="1" applyBorder="1" applyAlignment="1"/>
    <xf numFmtId="0" fontId="105" fillId="0" borderId="0" xfId="63" applyFont="1" applyBorder="1" applyAlignment="1"/>
    <xf numFmtId="0" fontId="104" fillId="0" borderId="10" xfId="63" applyFont="1" applyBorder="1" applyAlignment="1">
      <alignment horizontal="center"/>
    </xf>
    <xf numFmtId="0" fontId="97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14" fontId="41" fillId="0" borderId="0" xfId="0" applyNumberFormat="1" applyFont="1" applyBorder="1" applyAlignment="1">
      <alignment horizontal="center" vertical="center" wrapText="1"/>
    </xf>
    <xf numFmtId="0" fontId="52" fillId="0" borderId="0" xfId="0" applyFont="1"/>
    <xf numFmtId="0" fontId="52" fillId="6" borderId="4" xfId="0" applyFont="1" applyFill="1" applyBorder="1" applyAlignment="1">
      <alignment horizontal="center" vertical="center" wrapText="1"/>
    </xf>
    <xf numFmtId="0" fontId="52" fillId="2" borderId="4" xfId="0" applyFont="1" applyFill="1" applyBorder="1" applyAlignment="1">
      <alignment horizontal="center" vertical="center" wrapText="1"/>
    </xf>
    <xf numFmtId="0" fontId="52" fillId="2" borderId="4" xfId="0" applyFont="1" applyFill="1" applyBorder="1" applyAlignment="1">
      <alignment horizontal="left" vertical="center" wrapText="1"/>
    </xf>
    <xf numFmtId="3" fontId="52" fillId="2" borderId="4" xfId="0" applyNumberFormat="1" applyFont="1" applyFill="1" applyBorder="1" applyAlignment="1">
      <alignment horizontal="center" vertical="center" wrapText="1"/>
    </xf>
    <xf numFmtId="4" fontId="52" fillId="2" borderId="4" xfId="0" applyNumberFormat="1" applyFont="1" applyFill="1" applyBorder="1" applyAlignment="1">
      <alignment horizontal="center" vertical="center" wrapText="1"/>
    </xf>
    <xf numFmtId="0" fontId="97" fillId="6" borderId="4" xfId="0" applyFont="1" applyFill="1" applyBorder="1" applyAlignment="1">
      <alignment vertical="center" wrapText="1"/>
    </xf>
    <xf numFmtId="3" fontId="97" fillId="6" borderId="4" xfId="0" applyNumberFormat="1" applyFont="1" applyFill="1" applyBorder="1" applyAlignment="1">
      <alignment horizontal="center" vertical="center" wrapText="1"/>
    </xf>
    <xf numFmtId="4" fontId="97" fillId="6" borderId="4" xfId="0" applyNumberFormat="1" applyFont="1" applyFill="1" applyBorder="1" applyAlignment="1">
      <alignment horizontal="center" vertical="center" wrapText="1"/>
    </xf>
    <xf numFmtId="0" fontId="52" fillId="0" borderId="4" xfId="0" applyFont="1" applyBorder="1" applyAlignment="1">
      <alignment vertical="center" wrapText="1"/>
    </xf>
    <xf numFmtId="0" fontId="52" fillId="0" borderId="4" xfId="0" applyFont="1" applyBorder="1" applyAlignment="1">
      <alignment horizontal="justify" vertical="center" wrapText="1"/>
    </xf>
    <xf numFmtId="3" fontId="52" fillId="0" borderId="4" xfId="0" applyNumberFormat="1" applyFont="1" applyBorder="1" applyAlignment="1">
      <alignment horizontal="center" vertical="center" wrapText="1"/>
    </xf>
    <xf numFmtId="4" fontId="52" fillId="0" borderId="4" xfId="0" applyNumberFormat="1" applyFont="1" applyBorder="1" applyAlignment="1">
      <alignment horizontal="center" vertical="center" wrapText="1"/>
    </xf>
    <xf numFmtId="0" fontId="103" fillId="0" borderId="0" xfId="0" applyFont="1"/>
    <xf numFmtId="3" fontId="102" fillId="0" borderId="4" xfId="63" applyNumberFormat="1" applyFont="1" applyBorder="1" applyAlignment="1">
      <alignment horizontal="center"/>
    </xf>
    <xf numFmtId="4" fontId="102" fillId="0" borderId="4" xfId="63" applyNumberFormat="1" applyFont="1" applyBorder="1" applyAlignment="1">
      <alignment horizontal="center"/>
    </xf>
    <xf numFmtId="0" fontId="97" fillId="0" borderId="0" xfId="0" quotePrefix="1" applyFont="1" applyAlignment="1">
      <alignment horizontal="center" vertical="center" wrapText="1"/>
    </xf>
    <xf numFmtId="0" fontId="97" fillId="0" borderId="0" xfId="0" applyFont="1" applyAlignment="1">
      <alignment horizontal="center" vertical="center" wrapText="1"/>
    </xf>
    <xf numFmtId="180" fontId="97" fillId="0" borderId="0" xfId="0" applyNumberFormat="1" applyFont="1" applyAlignment="1">
      <alignment horizontal="center" vertical="center"/>
    </xf>
    <xf numFmtId="0" fontId="102" fillId="0" borderId="0" xfId="0" applyFont="1" applyAlignment="1">
      <alignment vertical="center"/>
    </xf>
    <xf numFmtId="0" fontId="102" fillId="0" borderId="0" xfId="0" applyFont="1"/>
    <xf numFmtId="0" fontId="102" fillId="0" borderId="0" xfId="0" applyFont="1" applyAlignment="1">
      <alignment horizontal="center"/>
    </xf>
    <xf numFmtId="0" fontId="102" fillId="0" borderId="4" xfId="0" applyFont="1" applyBorder="1" applyAlignment="1">
      <alignment horizontal="center" vertical="center"/>
    </xf>
    <xf numFmtId="0" fontId="102" fillId="0" borderId="4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/>
    </xf>
    <xf numFmtId="0" fontId="102" fillId="0" borderId="4" xfId="0" applyFont="1" applyBorder="1" applyAlignment="1">
      <alignment horizontal="center"/>
    </xf>
    <xf numFmtId="0" fontId="102" fillId="0" borderId="4" xfId="0" applyFont="1" applyBorder="1" applyAlignment="1">
      <alignment wrapText="1"/>
    </xf>
    <xf numFmtId="3" fontId="52" fillId="0" borderId="4" xfId="0" applyNumberFormat="1" applyFont="1" applyBorder="1" applyAlignment="1">
      <alignment horizontal="center" vertical="center"/>
    </xf>
    <xf numFmtId="175" fontId="52" fillId="0" borderId="4" xfId="0" applyNumberFormat="1" applyFont="1" applyBorder="1" applyAlignment="1">
      <alignment horizontal="center" vertical="center"/>
    </xf>
    <xf numFmtId="179" fontId="52" fillId="0" borderId="4" xfId="0" applyNumberFormat="1" applyFont="1" applyBorder="1" applyAlignment="1">
      <alignment horizontal="center" vertical="center"/>
    </xf>
    <xf numFmtId="3" fontId="102" fillId="0" borderId="4" xfId="0" applyNumberFormat="1" applyFont="1" applyBorder="1" applyAlignment="1">
      <alignment horizontal="center" vertical="center"/>
    </xf>
    <xf numFmtId="0" fontId="102" fillId="0" borderId="4" xfId="0" applyFont="1" applyBorder="1"/>
    <xf numFmtId="175" fontId="102" fillId="0" borderId="4" xfId="0" applyNumberFormat="1" applyFont="1" applyBorder="1" applyAlignment="1">
      <alignment horizontal="center" vertical="center"/>
    </xf>
    <xf numFmtId="3" fontId="102" fillId="0" borderId="4" xfId="0" applyNumberFormat="1" applyFont="1" applyBorder="1" applyAlignment="1">
      <alignment horizontal="center"/>
    </xf>
    <xf numFmtId="4" fontId="52" fillId="0" borderId="4" xfId="0" applyNumberFormat="1" applyFont="1" applyBorder="1" applyAlignment="1">
      <alignment horizontal="center" vertical="center"/>
    </xf>
    <xf numFmtId="4" fontId="102" fillId="0" borderId="4" xfId="0" applyNumberFormat="1" applyFont="1" applyBorder="1" applyAlignment="1">
      <alignment horizontal="center"/>
    </xf>
    <xf numFmtId="0" fontId="102" fillId="0" borderId="0" xfId="0" applyFont="1" applyBorder="1"/>
    <xf numFmtId="4" fontId="52" fillId="0" borderId="0" xfId="0" applyNumberFormat="1" applyFont="1" applyBorder="1" applyAlignment="1">
      <alignment horizontal="center" vertical="center"/>
    </xf>
    <xf numFmtId="176" fontId="52" fillId="0" borderId="0" xfId="0" applyNumberFormat="1" applyFont="1" applyAlignment="1">
      <alignment horizontal="center" vertical="top"/>
    </xf>
    <xf numFmtId="0" fontId="102" fillId="0" borderId="0" xfId="0" applyFont="1" applyAlignment="1">
      <alignment horizontal="left" vertical="top" wrapText="1"/>
    </xf>
    <xf numFmtId="0" fontId="102" fillId="0" borderId="0" xfId="0" applyFont="1" applyAlignment="1">
      <alignment horizontal="left" wrapText="1"/>
    </xf>
    <xf numFmtId="0" fontId="102" fillId="0" borderId="0" xfId="0" applyFont="1" applyAlignment="1">
      <alignment wrapText="1"/>
    </xf>
    <xf numFmtId="177" fontId="102" fillId="0" borderId="0" xfId="0" applyNumberFormat="1" applyFont="1" applyAlignment="1">
      <alignment horizontal="center"/>
    </xf>
    <xf numFmtId="14" fontId="102" fillId="0" borderId="0" xfId="0" applyNumberFormat="1" applyFont="1" applyBorder="1" applyAlignment="1">
      <alignment horizontal="center" vertical="center" wrapText="1"/>
    </xf>
    <xf numFmtId="2" fontId="102" fillId="0" borderId="0" xfId="0" applyNumberFormat="1" applyFont="1" applyBorder="1" applyAlignment="1">
      <alignment horizontal="center" vertical="center" wrapText="1"/>
    </xf>
    <xf numFmtId="0" fontId="102" fillId="2" borderId="0" xfId="63" applyFont="1" applyFill="1"/>
    <xf numFmtId="0" fontId="102" fillId="2" borderId="10" xfId="63" applyFont="1" applyFill="1" applyBorder="1"/>
    <xf numFmtId="0" fontId="102" fillId="2" borderId="0" xfId="63" applyFont="1" applyFill="1" applyAlignment="1">
      <alignment vertical="center"/>
    </xf>
    <xf numFmtId="0" fontId="41" fillId="2" borderId="10" xfId="63" applyFont="1" applyFill="1" applyBorder="1" applyAlignment="1">
      <alignment horizontal="right"/>
    </xf>
    <xf numFmtId="49" fontId="41" fillId="2" borderId="4" xfId="63" applyNumberFormat="1" applyFont="1" applyFill="1" applyBorder="1" applyAlignment="1">
      <alignment horizontal="center" vertical="center" wrapText="1"/>
    </xf>
    <xf numFmtId="0" fontId="41" fillId="2" borderId="4" xfId="63" applyFont="1" applyFill="1" applyBorder="1" applyAlignment="1">
      <alignment horizontal="center" vertical="center" wrapText="1"/>
    </xf>
    <xf numFmtId="49" fontId="102" fillId="2" borderId="4" xfId="63" applyNumberFormat="1" applyFont="1" applyFill="1" applyBorder="1" applyAlignment="1">
      <alignment horizontal="center" vertical="center" wrapText="1"/>
    </xf>
    <xf numFmtId="0" fontId="102" fillId="0" borderId="4" xfId="0" applyFont="1" applyBorder="1" applyAlignment="1">
      <alignment vertical="center"/>
    </xf>
    <xf numFmtId="0" fontId="102" fillId="2" borderId="4" xfId="63" applyFont="1" applyFill="1" applyBorder="1" applyAlignment="1">
      <alignment horizontal="center" vertical="center" wrapText="1"/>
    </xf>
    <xf numFmtId="3" fontId="102" fillId="2" borderId="4" xfId="63" applyNumberFormat="1" applyFont="1" applyFill="1" applyBorder="1" applyAlignment="1">
      <alignment horizontal="center" vertical="center" wrapText="1"/>
    </xf>
    <xf numFmtId="3" fontId="102" fillId="2" borderId="4" xfId="63" applyNumberFormat="1" applyFont="1" applyFill="1" applyBorder="1" applyAlignment="1">
      <alignment horizontal="center" vertical="center"/>
    </xf>
    <xf numFmtId="3" fontId="41" fillId="2" borderId="4" xfId="63" applyNumberFormat="1" applyFont="1" applyFill="1" applyBorder="1" applyAlignment="1">
      <alignment horizontal="center" vertical="center" wrapText="1"/>
    </xf>
    <xf numFmtId="49" fontId="102" fillId="2" borderId="8" xfId="63" applyNumberFormat="1" applyFont="1" applyFill="1" applyBorder="1" applyAlignment="1">
      <alignment horizontal="left" vertical="center" wrapText="1"/>
    </xf>
    <xf numFmtId="4" fontId="107" fillId="2" borderId="4" xfId="63" applyNumberFormat="1" applyFont="1" applyFill="1" applyBorder="1" applyAlignment="1">
      <alignment horizontal="center" vertical="center" wrapText="1"/>
    </xf>
    <xf numFmtId="3" fontId="102" fillId="2" borderId="4" xfId="63" applyNumberFormat="1" applyFont="1" applyFill="1" applyBorder="1" applyAlignment="1">
      <alignment horizontal="right" vertical="center" wrapText="1"/>
    </xf>
    <xf numFmtId="49" fontId="41" fillId="2" borderId="0" xfId="63" applyNumberFormat="1" applyFont="1" applyFill="1" applyBorder="1" applyAlignment="1">
      <alignment horizontal="right" vertical="center" wrapText="1"/>
    </xf>
    <xf numFmtId="3" fontId="41" fillId="0" borderId="0" xfId="63" applyNumberFormat="1" applyFont="1" applyFill="1" applyBorder="1" applyAlignment="1">
      <alignment horizontal="right" vertical="center" wrapText="1"/>
    </xf>
    <xf numFmtId="3" fontId="41" fillId="0" borderId="0" xfId="63" applyNumberFormat="1" applyFont="1" applyFill="1" applyBorder="1" applyAlignment="1">
      <alignment horizontal="center" vertical="center" wrapText="1"/>
    </xf>
    <xf numFmtId="0" fontId="52" fillId="0" borderId="0" xfId="132" applyFont="1" applyFill="1" applyAlignment="1">
      <alignment horizontal="center"/>
    </xf>
    <xf numFmtId="0" fontId="52" fillId="0" borderId="0" xfId="132" applyFont="1" applyFill="1"/>
    <xf numFmtId="0" fontId="52" fillId="0" borderId="0" xfId="132" applyFont="1" applyFill="1" applyAlignment="1">
      <alignment wrapText="1"/>
    </xf>
    <xf numFmtId="4" fontId="52" fillId="0" borderId="0" xfId="132" applyNumberFormat="1" applyFont="1" applyFill="1"/>
    <xf numFmtId="0" fontId="52" fillId="0" borderId="4" xfId="93" quotePrefix="1" applyFont="1" applyFill="1" applyBorder="1" applyAlignment="1">
      <alignment horizontal="center" vertical="center" wrapText="1"/>
    </xf>
    <xf numFmtId="4" fontId="52" fillId="0" borderId="4" xfId="93" quotePrefix="1" applyNumberFormat="1" applyFont="1" applyFill="1" applyBorder="1" applyAlignment="1">
      <alignment horizontal="center" vertical="center" wrapText="1"/>
    </xf>
    <xf numFmtId="0" fontId="52" fillId="0" borderId="4" xfId="95" quotePrefix="1" applyFont="1" applyFill="1" applyBorder="1" applyAlignment="1">
      <alignment horizontal="left" vertical="center" wrapText="1"/>
    </xf>
    <xf numFmtId="0" fontId="52" fillId="0" borderId="4" xfId="95" quotePrefix="1" applyFont="1" applyFill="1" applyBorder="1" applyAlignment="1">
      <alignment horizontal="left" vertical="top" wrapText="1"/>
    </xf>
    <xf numFmtId="3" fontId="52" fillId="0" borderId="4" xfId="102" quotePrefix="1" applyNumberFormat="1" applyFont="1" applyFill="1" applyBorder="1" applyAlignment="1">
      <alignment horizontal="center" vertical="center" wrapText="1"/>
    </xf>
    <xf numFmtId="167" fontId="52" fillId="0" borderId="4" xfId="102" quotePrefix="1" applyNumberFormat="1" applyFont="1" applyFill="1" applyBorder="1" applyAlignment="1">
      <alignment horizontal="center" vertical="center" wrapText="1"/>
    </xf>
    <xf numFmtId="0" fontId="52" fillId="0" borderId="4" xfId="132" applyFont="1" applyFill="1" applyBorder="1" applyAlignment="1">
      <alignment wrapText="1"/>
    </xf>
    <xf numFmtId="2" fontId="52" fillId="0" borderId="4" xfId="102" quotePrefix="1" applyNumberFormat="1" applyFont="1" applyFill="1" applyBorder="1" applyAlignment="1">
      <alignment horizontal="center" vertical="center" wrapText="1"/>
    </xf>
    <xf numFmtId="0" fontId="52" fillId="0" borderId="4" xfId="102" quotePrefix="1" applyFont="1" applyFill="1" applyBorder="1" applyAlignment="1">
      <alignment horizontal="center" vertical="center" wrapText="1"/>
    </xf>
    <xf numFmtId="0" fontId="52" fillId="0" borderId="4" xfId="102" quotePrefix="1" applyNumberFormat="1" applyFont="1" applyFill="1" applyBorder="1" applyAlignment="1">
      <alignment horizontal="center" vertical="center" wrapText="1"/>
    </xf>
    <xf numFmtId="0" fontId="102" fillId="6" borderId="4" xfId="0" applyFont="1" applyFill="1" applyBorder="1" applyAlignment="1">
      <alignment horizontal="center" wrapText="1"/>
    </xf>
    <xf numFmtId="0" fontId="102" fillId="6" borderId="4" xfId="0" applyFont="1" applyFill="1" applyBorder="1" applyAlignment="1">
      <alignment horizontal="left" vertical="center" wrapText="1"/>
    </xf>
    <xf numFmtId="0" fontId="102" fillId="6" borderId="4" xfId="95" quotePrefix="1" applyFont="1" applyFill="1" applyBorder="1" applyAlignment="1">
      <alignment horizontal="left" vertical="center" wrapText="1"/>
    </xf>
    <xf numFmtId="3" fontId="102" fillId="6" borderId="4" xfId="102" quotePrefix="1" applyNumberFormat="1" applyFont="1" applyFill="1" applyBorder="1" applyAlignment="1">
      <alignment horizontal="center" vertical="center" wrapText="1"/>
    </xf>
    <xf numFmtId="167" fontId="102" fillId="6" borderId="4" xfId="102" quotePrefix="1" applyNumberFormat="1" applyFont="1" applyFill="1" applyBorder="1" applyAlignment="1">
      <alignment horizontal="center" vertical="center" wrapText="1"/>
    </xf>
    <xf numFmtId="0" fontId="102" fillId="6" borderId="4" xfId="132" applyFont="1" applyFill="1" applyBorder="1" applyAlignment="1">
      <alignment vertical="center" wrapText="1"/>
    </xf>
    <xf numFmtId="0" fontId="102" fillId="6" borderId="4" xfId="0" applyFont="1" applyFill="1" applyBorder="1" applyAlignment="1">
      <alignment horizontal="center" vertical="center" wrapText="1"/>
    </xf>
    <xf numFmtId="4" fontId="102" fillId="6" borderId="4" xfId="99" applyNumberFormat="1" applyFont="1" applyFill="1" applyBorder="1" applyAlignment="1">
      <alignment wrapText="1"/>
    </xf>
    <xf numFmtId="0" fontId="102" fillId="0" borderId="4" xfId="0" applyFont="1" applyBorder="1" applyAlignment="1">
      <alignment horizontal="center" wrapText="1"/>
    </xf>
    <xf numFmtId="0" fontId="102" fillId="0" borderId="4" xfId="0" quotePrefix="1" applyFont="1" applyFill="1" applyBorder="1" applyAlignment="1">
      <alignment vertical="center" wrapText="1"/>
    </xf>
    <xf numFmtId="0" fontId="102" fillId="0" borderId="4" xfId="95" quotePrefix="1" applyFont="1" applyFill="1" applyBorder="1" applyAlignment="1">
      <alignment horizontal="left" vertical="center" wrapText="1"/>
    </xf>
    <xf numFmtId="10" fontId="102" fillId="0" borderId="4" xfId="1921" quotePrefix="1" applyNumberFormat="1" applyFont="1" applyFill="1" applyBorder="1" applyAlignment="1">
      <alignment horizontal="center" vertical="center" wrapText="1"/>
    </xf>
    <xf numFmtId="0" fontId="102" fillId="0" borderId="4" xfId="102" quotePrefix="1" applyFont="1" applyFill="1" applyBorder="1" applyAlignment="1">
      <alignment horizontal="left" vertical="center" wrapText="1"/>
    </xf>
    <xf numFmtId="0" fontId="102" fillId="0" borderId="4" xfId="132" applyFont="1" applyFill="1" applyBorder="1" applyAlignment="1">
      <alignment vertical="center" wrapText="1"/>
    </xf>
    <xf numFmtId="0" fontId="102" fillId="0" borderId="4" xfId="132" applyFont="1" applyFill="1" applyBorder="1" applyAlignment="1">
      <alignment horizontal="center" wrapText="1"/>
    </xf>
    <xf numFmtId="3" fontId="102" fillId="0" borderId="4" xfId="132" applyNumberFormat="1" applyFont="1" applyFill="1" applyBorder="1" applyAlignment="1">
      <alignment horizontal="center" wrapText="1"/>
    </xf>
    <xf numFmtId="0" fontId="102" fillId="0" borderId="4" xfId="0" applyFont="1" applyBorder="1" applyAlignment="1">
      <alignment horizontal="left" vertical="center" wrapText="1"/>
    </xf>
    <xf numFmtId="0" fontId="102" fillId="0" borderId="4" xfId="95" quotePrefix="1" applyFont="1" applyFill="1" applyBorder="1" applyAlignment="1">
      <alignment horizontal="left" vertical="top" wrapText="1"/>
    </xf>
    <xf numFmtId="0" fontId="102" fillId="0" borderId="4" xfId="102" quotePrefix="1" applyFont="1" applyFill="1" applyBorder="1" applyAlignment="1">
      <alignment horizontal="center" vertical="top" wrapText="1"/>
    </xf>
    <xf numFmtId="0" fontId="102" fillId="0" borderId="4" xfId="102" quotePrefix="1" applyFont="1" applyFill="1" applyBorder="1" applyAlignment="1">
      <alignment horizontal="left" vertical="top" wrapText="1"/>
    </xf>
    <xf numFmtId="0" fontId="102" fillId="0" borderId="4" xfId="132" applyFont="1" applyFill="1" applyBorder="1" applyAlignment="1">
      <alignment wrapText="1"/>
    </xf>
    <xf numFmtId="3" fontId="102" fillId="0" borderId="4" xfId="99" applyNumberFormat="1" applyFont="1" applyFill="1" applyBorder="1" applyAlignment="1">
      <alignment horizontal="center" wrapText="1"/>
    </xf>
    <xf numFmtId="0" fontId="88" fillId="0" borderId="0" xfId="147" applyFont="1" applyAlignment="1">
      <alignment wrapText="1"/>
    </xf>
    <xf numFmtId="3" fontId="24" fillId="2" borderId="4" xfId="0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88" fillId="0" borderId="0" xfId="147" applyFont="1" applyAlignment="1">
      <alignment wrapText="1"/>
    </xf>
    <xf numFmtId="0" fontId="24" fillId="2" borderId="6" xfId="0" applyFont="1" applyFill="1" applyBorder="1" applyAlignment="1">
      <alignment horizontal="center" vertical="center" wrapText="1"/>
    </xf>
    <xf numFmtId="4" fontId="0" fillId="30" borderId="0" xfId="0" applyNumberFormat="1" applyFill="1"/>
    <xf numFmtId="0" fontId="102" fillId="4" borderId="0" xfId="0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 wrapText="1"/>
    </xf>
    <xf numFmtId="49" fontId="102" fillId="0" borderId="0" xfId="0" applyNumberFormat="1" applyFont="1" applyBorder="1" applyAlignment="1">
      <alignment horizontal="center" vertical="center"/>
    </xf>
    <xf numFmtId="178" fontId="102" fillId="0" borderId="0" xfId="0" applyNumberFormat="1" applyFont="1" applyBorder="1" applyAlignment="1">
      <alignment horizontal="center" vertical="center"/>
    </xf>
    <xf numFmtId="0" fontId="102" fillId="0" borderId="0" xfId="0" applyFont="1" applyAlignment="1">
      <alignment horizontal="right" vertical="top"/>
    </xf>
    <xf numFmtId="0" fontId="102" fillId="4" borderId="0" xfId="0" applyFont="1" applyFill="1" applyBorder="1" applyAlignment="1">
      <alignment horizontal="left" vertical="center" wrapText="1"/>
    </xf>
    <xf numFmtId="49" fontId="102" fillId="0" borderId="0" xfId="0" applyNumberFormat="1" applyFont="1" applyBorder="1" applyAlignment="1">
      <alignment vertical="center"/>
    </xf>
    <xf numFmtId="0" fontId="102" fillId="0" borderId="0" xfId="0" applyFont="1" applyFill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88" fillId="0" borderId="0" xfId="147" applyFont="1" applyAlignment="1">
      <alignment wrapText="1"/>
    </xf>
    <xf numFmtId="0" fontId="24" fillId="2" borderId="4" xfId="0" applyFont="1" applyFill="1" applyBorder="1" applyAlignment="1">
      <alignment horizontal="center" wrapText="1"/>
    </xf>
    <xf numFmtId="0" fontId="46" fillId="0" borderId="0" xfId="147" applyFont="1" applyAlignment="1">
      <alignment horizontal="center" wrapText="1"/>
    </xf>
    <xf numFmtId="0" fontId="88" fillId="0" borderId="0" xfId="147" applyFont="1" applyAlignment="1">
      <alignment horizontal="center" wrapText="1"/>
    </xf>
    <xf numFmtId="4" fontId="88" fillId="0" borderId="0" xfId="147" applyNumberFormat="1" applyFont="1" applyFill="1" applyAlignment="1">
      <alignment wrapText="1"/>
    </xf>
    <xf numFmtId="0" fontId="24" fillId="2" borderId="8" xfId="0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/>
    </xf>
    <xf numFmtId="4" fontId="52" fillId="0" borderId="0" xfId="0" applyNumberFormat="1" applyFont="1"/>
    <xf numFmtId="0" fontId="30" fillId="0" borderId="11" xfId="0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101" fillId="0" borderId="4" xfId="1" applyFont="1" applyBorder="1" applyAlignment="1">
      <alignment vertical="center" wrapText="1"/>
    </xf>
    <xf numFmtId="3" fontId="88" fillId="0" borderId="0" xfId="147" applyNumberFormat="1" applyFont="1" applyFill="1" applyAlignment="1">
      <alignment wrapText="1"/>
    </xf>
    <xf numFmtId="0" fontId="102" fillId="0" borderId="0" xfId="63" applyFont="1" applyAlignment="1">
      <alignment vertical="top"/>
    </xf>
    <xf numFmtId="0" fontId="88" fillId="0" borderId="0" xfId="147" applyFont="1" applyAlignment="1">
      <alignment wrapText="1"/>
    </xf>
    <xf numFmtId="0" fontId="109" fillId="0" borderId="4" xfId="0" applyFont="1" applyBorder="1" applyAlignment="1">
      <alignment horizontal="center" vertical="center" wrapText="1"/>
    </xf>
    <xf numFmtId="0" fontId="109" fillId="0" borderId="4" xfId="0" applyFont="1" applyFill="1" applyBorder="1" applyAlignment="1">
      <alignment horizontal="center" vertical="center" textRotation="90" wrapText="1"/>
    </xf>
    <xf numFmtId="0" fontId="110" fillId="0" borderId="4" xfId="0" applyFont="1" applyBorder="1" applyAlignment="1">
      <alignment horizontal="center" vertical="center" wrapText="1"/>
    </xf>
    <xf numFmtId="0" fontId="93" fillId="0" borderId="4" xfId="0" applyFont="1" applyBorder="1" applyAlignment="1">
      <alignment vertical="center" wrapText="1"/>
    </xf>
    <xf numFmtId="0" fontId="93" fillId="0" borderId="7" xfId="0" applyFont="1" applyBorder="1" applyAlignment="1">
      <alignment vertical="center" wrapText="1"/>
    </xf>
    <xf numFmtId="0" fontId="93" fillId="0" borderId="7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88" fillId="0" borderId="0" xfId="147" applyFont="1" applyAlignment="1">
      <alignment wrapText="1"/>
    </xf>
    <xf numFmtId="10" fontId="102" fillId="0" borderId="0" xfId="0" applyNumberFormat="1" applyFont="1" applyAlignment="1">
      <alignment horizontal="center" vertical="center"/>
    </xf>
    <xf numFmtId="178" fontId="102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49" fontId="41" fillId="0" borderId="0" xfId="0" applyNumberFormat="1" applyFont="1" applyAlignment="1">
      <alignment vertical="center" wrapText="1"/>
    </xf>
    <xf numFmtId="0" fontId="102" fillId="0" borderId="0" xfId="0" applyFont="1" applyAlignment="1">
      <alignment vertical="center" wrapText="1"/>
    </xf>
    <xf numFmtId="0" fontId="41" fillId="0" borderId="0" xfId="63" applyFont="1" applyFill="1" applyAlignment="1">
      <alignment vertical="center" wrapText="1"/>
    </xf>
    <xf numFmtId="0" fontId="88" fillId="0" borderId="0" xfId="147" applyFont="1" applyAlignment="1">
      <alignment wrapText="1"/>
    </xf>
    <xf numFmtId="9" fontId="22" fillId="0" borderId="7" xfId="1" applyNumberFormat="1" applyFont="1" applyBorder="1" applyAlignment="1">
      <alignment horizontal="left"/>
    </xf>
    <xf numFmtId="9" fontId="22" fillId="0" borderId="8" xfId="1" applyNumberFormat="1" applyFont="1" applyBorder="1" applyAlignment="1">
      <alignment horizontal="left"/>
    </xf>
    <xf numFmtId="9" fontId="22" fillId="0" borderId="6" xfId="1" applyNumberFormat="1" applyFont="1" applyBorder="1" applyAlignment="1">
      <alignment horizontal="left"/>
    </xf>
    <xf numFmtId="0" fontId="44" fillId="2" borderId="0" xfId="1" applyFont="1" applyFill="1" applyAlignment="1">
      <alignment horizontal="center" vertical="center" wrapText="1"/>
    </xf>
    <xf numFmtId="0" fontId="38" fillId="0" borderId="0" xfId="1" applyFont="1" applyFill="1" applyAlignment="1"/>
    <xf numFmtId="0" fontId="20" fillId="0" borderId="0" xfId="1" applyFont="1" applyFill="1" applyAlignment="1"/>
    <xf numFmtId="0" fontId="38" fillId="0" borderId="15" xfId="1" applyFont="1" applyFill="1" applyBorder="1" applyAlignment="1">
      <alignment vertical="center"/>
    </xf>
    <xf numFmtId="0" fontId="20" fillId="0" borderId="15" xfId="1" applyFont="1" applyFill="1" applyBorder="1" applyAlignment="1">
      <alignment vertical="center"/>
    </xf>
    <xf numFmtId="0" fontId="37" fillId="0" borderId="4" xfId="1" applyFont="1" applyBorder="1" applyAlignment="1">
      <alignment horizontal="center" vertical="center" wrapText="1"/>
    </xf>
    <xf numFmtId="0" fontId="39" fillId="0" borderId="4" xfId="1" applyFont="1" applyBorder="1" applyAlignment="1">
      <alignment horizontal="center" vertical="center" wrapText="1"/>
    </xf>
    <xf numFmtId="0" fontId="41" fillId="0" borderId="7" xfId="1" applyFont="1" applyBorder="1" applyAlignment="1">
      <alignment horizontal="center"/>
    </xf>
    <xf numFmtId="0" fontId="41" fillId="0" borderId="8" xfId="1" applyFont="1" applyBorder="1" applyAlignment="1">
      <alignment horizontal="center"/>
    </xf>
    <xf numFmtId="0" fontId="41" fillId="0" borderId="6" xfId="1" applyFont="1" applyBorder="1" applyAlignment="1">
      <alignment horizontal="center"/>
    </xf>
    <xf numFmtId="0" fontId="22" fillId="0" borderId="7" xfId="1" applyFont="1" applyFill="1" applyBorder="1" applyAlignment="1">
      <alignment horizontal="left" vertical="center" wrapText="1"/>
    </xf>
    <xf numFmtId="0" fontId="22" fillId="0" borderId="8" xfId="1" applyFont="1" applyFill="1" applyBorder="1" applyAlignment="1">
      <alignment horizontal="left" vertical="center" wrapText="1"/>
    </xf>
    <xf numFmtId="0" fontId="22" fillId="0" borderId="6" xfId="1" applyFont="1" applyFill="1" applyBorder="1" applyAlignment="1">
      <alignment horizontal="left" vertical="center" wrapText="1"/>
    </xf>
    <xf numFmtId="0" fontId="108" fillId="0" borderId="0" xfId="0" applyFont="1" applyAlignment="1">
      <alignment horizontal="center" wrapText="1"/>
    </xf>
    <xf numFmtId="0" fontId="108" fillId="0" borderId="10" xfId="0" applyFont="1" applyBorder="1" applyAlignment="1">
      <alignment horizontal="center" wrapText="1"/>
    </xf>
    <xf numFmtId="0" fontId="109" fillId="0" borderId="4" xfId="0" applyFont="1" applyBorder="1" applyAlignment="1">
      <alignment horizontal="center" vertical="center" wrapText="1"/>
    </xf>
    <xf numFmtId="0" fontId="109" fillId="0" borderId="4" xfId="0" applyFont="1" applyBorder="1" applyAlignment="1">
      <alignment horizontal="center" vertical="center"/>
    </xf>
    <xf numFmtId="0" fontId="110" fillId="0" borderId="1" xfId="0" applyFont="1" applyBorder="1" applyAlignment="1">
      <alignment horizontal="center" vertical="center" wrapText="1"/>
    </xf>
    <xf numFmtId="0" fontId="110" fillId="0" borderId="3" xfId="0" applyFont="1" applyBorder="1" applyAlignment="1">
      <alignment horizontal="center" vertical="center" wrapText="1"/>
    </xf>
    <xf numFmtId="0" fontId="110" fillId="0" borderId="16" xfId="0" applyFont="1" applyBorder="1" applyAlignment="1">
      <alignment horizontal="center" vertical="center" wrapText="1"/>
    </xf>
    <xf numFmtId="0" fontId="110" fillId="0" borderId="14" xfId="0" applyFont="1" applyBorder="1" applyAlignment="1">
      <alignment horizontal="center" vertical="center" wrapText="1"/>
    </xf>
    <xf numFmtId="0" fontId="110" fillId="0" borderId="4" xfId="0" applyFont="1" applyBorder="1" applyAlignment="1">
      <alignment horizontal="center" vertical="center"/>
    </xf>
    <xf numFmtId="0" fontId="98" fillId="0" borderId="0" xfId="0" applyFont="1" applyAlignment="1">
      <alignment horizontal="center" vertical="center" wrapText="1"/>
    </xf>
    <xf numFmtId="0" fontId="95" fillId="0" borderId="0" xfId="0" applyFont="1" applyAlignment="1">
      <alignment horizontal="center" wrapText="1"/>
    </xf>
    <xf numFmtId="0" fontId="95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95" fillId="29" borderId="7" xfId="0" applyFont="1" applyFill="1" applyBorder="1" applyAlignment="1">
      <alignment horizontal="right"/>
    </xf>
    <xf numFmtId="0" fontId="95" fillId="29" borderId="8" xfId="0" applyFont="1" applyFill="1" applyBorder="1" applyAlignment="1">
      <alignment horizontal="right"/>
    </xf>
    <xf numFmtId="0" fontId="95" fillId="29" borderId="6" xfId="0" applyFont="1" applyFill="1" applyBorder="1" applyAlignment="1">
      <alignment horizontal="right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0" fillId="0" borderId="0" xfId="0" applyFont="1" applyBorder="1" applyAlignment="1">
      <alignment horizontal="left" vertical="top" wrapText="1"/>
    </xf>
    <xf numFmtId="49" fontId="48" fillId="0" borderId="0" xfId="0" applyNumberFormat="1" applyFont="1" applyFill="1" applyBorder="1" applyAlignment="1">
      <alignment horizontal="justify" vertical="center" wrapText="1"/>
    </xf>
    <xf numFmtId="0" fontId="89" fillId="0" borderId="0" xfId="0" applyFont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0" fontId="89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vertical="center" wrapText="1"/>
    </xf>
    <xf numFmtId="0" fontId="91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left" wrapText="1"/>
    </xf>
    <xf numFmtId="0" fontId="90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horizontal="left" wrapText="1"/>
    </xf>
    <xf numFmtId="0" fontId="41" fillId="0" borderId="0" xfId="63" applyFont="1" applyAlignment="1">
      <alignment horizontal="center"/>
    </xf>
    <xf numFmtId="0" fontId="41" fillId="0" borderId="0" xfId="63" applyFont="1" applyAlignment="1">
      <alignment horizontal="left" vertical="center" wrapText="1"/>
    </xf>
    <xf numFmtId="49" fontId="102" fillId="0" borderId="0" xfId="63" applyNumberFormat="1" applyFont="1" applyAlignment="1">
      <alignment horizontal="left" vertical="center" wrapText="1"/>
    </xf>
    <xf numFmtId="49" fontId="102" fillId="0" borderId="0" xfId="63" applyNumberFormat="1" applyFont="1" applyAlignment="1">
      <alignment horizontal="left" wrapText="1"/>
    </xf>
    <xf numFmtId="0" fontId="41" fillId="0" borderId="0" xfId="63" applyFont="1" applyAlignment="1">
      <alignment horizontal="left" wrapText="1"/>
    </xf>
    <xf numFmtId="0" fontId="41" fillId="0" borderId="0" xfId="63" applyFont="1" applyFill="1" applyAlignment="1">
      <alignment horizontal="left" vertical="center" wrapText="1"/>
    </xf>
    <xf numFmtId="49" fontId="90" fillId="2" borderId="0" xfId="63" applyNumberFormat="1" applyFont="1" applyFill="1" applyBorder="1" applyAlignment="1">
      <alignment horizontal="left" vertical="center" wrapText="1"/>
    </xf>
    <xf numFmtId="0" fontId="97" fillId="0" borderId="0" xfId="0" applyFont="1" applyAlignment="1">
      <alignment horizontal="center" vertical="center"/>
    </xf>
    <xf numFmtId="0" fontId="97" fillId="0" borderId="0" xfId="0" quotePrefix="1" applyFont="1" applyAlignment="1">
      <alignment horizontal="center" vertical="center" wrapText="1"/>
    </xf>
    <xf numFmtId="0" fontId="97" fillId="0" borderId="0" xfId="0" applyFont="1" applyAlignment="1">
      <alignment horizontal="center" vertical="center" wrapText="1"/>
    </xf>
    <xf numFmtId="0" fontId="52" fillId="6" borderId="4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left" wrapText="1"/>
    </xf>
    <xf numFmtId="0" fontId="102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center" wrapText="1"/>
    </xf>
    <xf numFmtId="49" fontId="41" fillId="0" borderId="0" xfId="0" quotePrefix="1" applyNumberFormat="1" applyFont="1" applyAlignment="1">
      <alignment horizontal="left" vertical="center" wrapText="1"/>
    </xf>
    <xf numFmtId="0" fontId="102" fillId="0" borderId="0" xfId="0" applyFont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96" fillId="0" borderId="0" xfId="0" applyFont="1" applyAlignment="1">
      <alignment horizontal="left" wrapText="1"/>
    </xf>
    <xf numFmtId="0" fontId="104" fillId="0" borderId="0" xfId="0" applyFont="1" applyAlignment="1">
      <alignment horizontal="left" vertical="center" wrapText="1"/>
    </xf>
    <xf numFmtId="0" fontId="102" fillId="4" borderId="0" xfId="0" applyFont="1" applyFill="1" applyBorder="1" applyAlignment="1">
      <alignment horizontal="left" vertical="center" wrapText="1"/>
    </xf>
    <xf numFmtId="49" fontId="41" fillId="2" borderId="7" xfId="63" applyNumberFormat="1" applyFont="1" applyFill="1" applyBorder="1" applyAlignment="1">
      <alignment horizontal="right" vertical="center" wrapText="1"/>
    </xf>
    <xf numFmtId="49" fontId="41" fillId="2" borderId="8" xfId="63" applyNumberFormat="1" applyFont="1" applyFill="1" applyBorder="1" applyAlignment="1">
      <alignment horizontal="right" vertical="center" wrapText="1"/>
    </xf>
    <xf numFmtId="49" fontId="41" fillId="2" borderId="6" xfId="63" applyNumberFormat="1" applyFont="1" applyFill="1" applyBorder="1" applyAlignment="1">
      <alignment horizontal="right" vertical="center" wrapText="1"/>
    </xf>
    <xf numFmtId="0" fontId="22" fillId="6" borderId="0" xfId="63" applyFont="1" applyFill="1" applyAlignment="1">
      <alignment horizontal="center" wrapText="1"/>
    </xf>
    <xf numFmtId="0" fontId="93" fillId="6" borderId="4" xfId="0" applyFont="1" applyFill="1" applyBorder="1" applyAlignment="1">
      <alignment horizontal="center" vertical="center"/>
    </xf>
    <xf numFmtId="0" fontId="46" fillId="0" borderId="7" xfId="0" applyFont="1" applyBorder="1" applyAlignment="1">
      <alignment horizontal="left"/>
    </xf>
    <xf numFmtId="0" fontId="46" fillId="0" borderId="8" xfId="0" applyFont="1" applyBorder="1" applyAlignment="1">
      <alignment horizontal="left"/>
    </xf>
    <xf numFmtId="0" fontId="46" fillId="0" borderId="6" xfId="0" applyFont="1" applyBorder="1" applyAlignment="1">
      <alignment horizontal="left"/>
    </xf>
    <xf numFmtId="0" fontId="88" fillId="6" borderId="4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/>
    </xf>
    <xf numFmtId="0" fontId="88" fillId="0" borderId="4" xfId="0" applyFont="1" applyBorder="1" applyAlignment="1">
      <alignment horizontal="left"/>
    </xf>
    <xf numFmtId="0" fontId="88" fillId="0" borderId="7" xfId="0" applyFont="1" applyBorder="1" applyAlignment="1">
      <alignment horizontal="left"/>
    </xf>
    <xf numFmtId="0" fontId="88" fillId="0" borderId="8" xfId="0" applyFont="1" applyBorder="1" applyAlignment="1">
      <alignment horizontal="left"/>
    </xf>
    <xf numFmtId="0" fontId="88" fillId="0" borderId="6" xfId="0" applyFont="1" applyBorder="1" applyAlignment="1">
      <alignment horizontal="left"/>
    </xf>
    <xf numFmtId="0" fontId="41" fillId="2" borderId="7" xfId="63" applyFont="1" applyFill="1" applyBorder="1" applyAlignment="1">
      <alignment horizontal="center" vertical="center" wrapText="1"/>
    </xf>
    <xf numFmtId="0" fontId="41" fillId="2" borderId="8" xfId="63" applyFont="1" applyFill="1" applyBorder="1" applyAlignment="1">
      <alignment horizontal="center" vertical="center" wrapText="1"/>
    </xf>
    <xf numFmtId="0" fontId="41" fillId="2" borderId="1" xfId="63" applyFont="1" applyFill="1" applyBorder="1" applyAlignment="1">
      <alignment horizontal="center" vertical="center" wrapText="1"/>
    </xf>
    <xf numFmtId="0" fontId="41" fillId="2" borderId="2" xfId="63" applyFont="1" applyFill="1" applyBorder="1" applyAlignment="1">
      <alignment horizontal="center" vertical="center" wrapText="1"/>
    </xf>
    <xf numFmtId="0" fontId="41" fillId="2" borderId="3" xfId="63" applyFont="1" applyFill="1" applyBorder="1" applyAlignment="1">
      <alignment horizontal="center" vertical="center" wrapText="1"/>
    </xf>
    <xf numFmtId="49" fontId="41" fillId="2" borderId="5" xfId="63" applyNumberFormat="1" applyFont="1" applyFill="1" applyBorder="1" applyAlignment="1">
      <alignment horizontal="center" vertical="center" wrapText="1"/>
    </xf>
    <xf numFmtId="49" fontId="41" fillId="2" borderId="11" xfId="63" applyNumberFormat="1" applyFont="1" applyFill="1" applyBorder="1" applyAlignment="1">
      <alignment horizontal="center" vertical="center" wrapText="1"/>
    </xf>
    <xf numFmtId="0" fontId="22" fillId="2" borderId="5" xfId="63" applyFont="1" applyFill="1" applyBorder="1" applyAlignment="1">
      <alignment horizontal="center"/>
    </xf>
    <xf numFmtId="0" fontId="22" fillId="2" borderId="11" xfId="63" applyFont="1" applyFill="1" applyBorder="1" applyAlignment="1">
      <alignment horizontal="center"/>
    </xf>
    <xf numFmtId="49" fontId="41" fillId="2" borderId="9" xfId="63" applyNumberFormat="1" applyFont="1" applyFill="1" applyBorder="1" applyAlignment="1">
      <alignment horizontal="center" vertical="center" wrapText="1"/>
    </xf>
    <xf numFmtId="0" fontId="41" fillId="2" borderId="4" xfId="63" applyFont="1" applyFill="1" applyBorder="1" applyAlignment="1">
      <alignment horizontal="center"/>
    </xf>
    <xf numFmtId="0" fontId="41" fillId="2" borderId="0" xfId="63" applyFont="1" applyFill="1" applyAlignment="1">
      <alignment horizontal="center" vertical="center" wrapText="1"/>
    </xf>
    <xf numFmtId="0" fontId="102" fillId="2" borderId="0" xfId="63" applyFont="1" applyFill="1" applyAlignment="1">
      <alignment horizontal="left" vertical="top" wrapText="1"/>
    </xf>
    <xf numFmtId="0" fontId="102" fillId="2" borderId="0" xfId="63" applyFont="1" applyFill="1" applyAlignment="1">
      <alignment horizontal="left" vertical="top"/>
    </xf>
    <xf numFmtId="0" fontId="41" fillId="2" borderId="0" xfId="63" applyFont="1" applyFill="1" applyAlignment="1">
      <alignment horizontal="left" vertical="center" wrapText="1"/>
    </xf>
    <xf numFmtId="0" fontId="97" fillId="2" borderId="0" xfId="0" applyFont="1" applyFill="1" applyAlignment="1">
      <alignment horizontal="left" vertical="center"/>
    </xf>
    <xf numFmtId="0" fontId="102" fillId="2" borderId="0" xfId="63" applyFont="1" applyFill="1" applyAlignment="1">
      <alignment horizontal="left" vertical="center" wrapText="1"/>
    </xf>
    <xf numFmtId="0" fontId="41" fillId="2" borderId="0" xfId="63" applyFont="1" applyFill="1" applyAlignment="1">
      <alignment horizontal="left" vertical="top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" xfId="105" quotePrefix="1" applyFont="1" applyFill="1" applyBorder="1" applyAlignment="1">
      <alignment horizontal="left" vertical="top" wrapText="1"/>
    </xf>
    <xf numFmtId="0" fontId="24" fillId="0" borderId="3" xfId="105" quotePrefix="1" applyFont="1" applyFill="1" applyBorder="1" applyAlignment="1">
      <alignment horizontal="left" vertical="top" wrapText="1"/>
    </xf>
    <xf numFmtId="3" fontId="24" fillId="0" borderId="4" xfId="0" applyNumberFormat="1" applyFont="1" applyFill="1" applyBorder="1" applyAlignment="1">
      <alignment horizontal="center" vertical="center" wrapText="1"/>
    </xf>
    <xf numFmtId="0" fontId="24" fillId="0" borderId="12" xfId="105" quotePrefix="1" applyFont="1" applyFill="1" applyBorder="1" applyAlignment="1">
      <alignment horizontal="left" vertical="top" wrapText="1"/>
    </xf>
    <xf numFmtId="0" fontId="24" fillId="0" borderId="13" xfId="105" quotePrefix="1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6" xfId="105" quotePrefix="1" applyFont="1" applyFill="1" applyBorder="1" applyAlignment="1">
      <alignment horizontal="left" vertical="top" wrapText="1"/>
    </xf>
    <xf numFmtId="0" fontId="24" fillId="0" borderId="14" xfId="105" quotePrefix="1" applyFont="1" applyFill="1" applyBorder="1" applyAlignment="1">
      <alignment horizontal="left" vertical="top" wrapText="1"/>
    </xf>
    <xf numFmtId="0" fontId="24" fillId="2" borderId="4" xfId="0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center" vertical="center" wrapText="1"/>
    </xf>
    <xf numFmtId="3" fontId="24" fillId="2" borderId="4" xfId="0" applyNumberFormat="1" applyFont="1" applyFill="1" applyBorder="1" applyAlignment="1">
      <alignment horizontal="center" vertical="center" wrapText="1"/>
    </xf>
    <xf numFmtId="0" fontId="24" fillId="2" borderId="16" xfId="105" quotePrefix="1" applyFont="1" applyFill="1" applyBorder="1" applyAlignment="1">
      <alignment horizontal="left" vertical="top" wrapText="1"/>
    </xf>
    <xf numFmtId="0" fontId="24" fillId="2" borderId="14" xfId="105" quotePrefix="1" applyFont="1" applyFill="1" applyBorder="1" applyAlignment="1">
      <alignment horizontal="left" vertical="top" wrapText="1"/>
    </xf>
    <xf numFmtId="0" fontId="24" fillId="2" borderId="1" xfId="105" quotePrefix="1" applyFont="1" applyFill="1" applyBorder="1" applyAlignment="1">
      <alignment horizontal="left" vertical="top" wrapText="1"/>
    </xf>
    <xf numFmtId="0" fontId="24" fillId="2" borderId="3" xfId="105" quotePrefix="1" applyFont="1" applyFill="1" applyBorder="1" applyAlignment="1">
      <alignment horizontal="left" vertical="top" wrapText="1"/>
    </xf>
    <xf numFmtId="3" fontId="24" fillId="2" borderId="5" xfId="0" applyNumberFormat="1" applyFont="1" applyFill="1" applyBorder="1" applyAlignment="1">
      <alignment horizontal="center" vertical="center" wrapText="1"/>
    </xf>
    <xf numFmtId="3" fontId="24" fillId="2" borderId="9" xfId="0" applyNumberFormat="1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>
      <alignment horizontal="left" vertical="center" wrapText="1"/>
    </xf>
    <xf numFmtId="0" fontId="24" fillId="2" borderId="12" xfId="105" quotePrefix="1" applyFont="1" applyFill="1" applyBorder="1" applyAlignment="1">
      <alignment horizontal="left" vertical="top" wrapText="1"/>
    </xf>
    <xf numFmtId="0" fontId="24" fillId="2" borderId="13" xfId="105" quotePrefix="1" applyFont="1" applyFill="1" applyBorder="1" applyAlignment="1">
      <alignment horizontal="left" vertical="top" wrapText="1"/>
    </xf>
    <xf numFmtId="3" fontId="24" fillId="2" borderId="11" xfId="0" applyNumberFormat="1" applyFont="1" applyFill="1" applyBorder="1" applyAlignment="1">
      <alignment horizontal="center" vertical="center" wrapText="1"/>
    </xf>
    <xf numFmtId="0" fontId="24" fillId="2" borderId="1" xfId="141" quotePrefix="1" applyFont="1" applyFill="1" applyBorder="1" applyAlignment="1">
      <alignment horizontal="center" vertical="center" wrapText="1"/>
    </xf>
    <xf numFmtId="0" fontId="24" fillId="2" borderId="2" xfId="141" quotePrefix="1" applyFont="1" applyFill="1" applyBorder="1" applyAlignment="1">
      <alignment horizontal="center" vertical="center" wrapText="1"/>
    </xf>
    <xf numFmtId="0" fontId="24" fillId="2" borderId="3" xfId="141" quotePrefix="1" applyFont="1" applyFill="1" applyBorder="1" applyAlignment="1">
      <alignment horizontal="center" vertical="center" wrapText="1"/>
    </xf>
    <xf numFmtId="0" fontId="24" fillId="2" borderId="12" xfId="141" quotePrefix="1" applyFont="1" applyFill="1" applyBorder="1" applyAlignment="1">
      <alignment horizontal="center" vertical="center" wrapText="1"/>
    </xf>
    <xf numFmtId="0" fontId="24" fillId="2" borderId="0" xfId="141" quotePrefix="1" applyFont="1" applyFill="1" applyBorder="1" applyAlignment="1">
      <alignment horizontal="center" vertical="center" wrapText="1"/>
    </xf>
    <xf numFmtId="0" fontId="24" fillId="2" borderId="13" xfId="141" quotePrefix="1" applyFont="1" applyFill="1" applyBorder="1" applyAlignment="1">
      <alignment horizontal="center" vertical="center" wrapText="1"/>
    </xf>
    <xf numFmtId="0" fontId="24" fillId="2" borderId="16" xfId="141" quotePrefix="1" applyFont="1" applyFill="1" applyBorder="1" applyAlignment="1">
      <alignment horizontal="center" vertical="center" wrapText="1"/>
    </xf>
    <xf numFmtId="0" fontId="24" fillId="2" borderId="10" xfId="141" quotePrefix="1" applyFont="1" applyFill="1" applyBorder="1" applyAlignment="1">
      <alignment horizontal="center" vertical="center" wrapText="1"/>
    </xf>
    <xf numFmtId="0" fontId="24" fillId="2" borderId="14" xfId="141" quotePrefix="1" applyFont="1" applyFill="1" applyBorder="1" applyAlignment="1">
      <alignment horizontal="center" vertical="center" wrapText="1"/>
    </xf>
    <xf numFmtId="0" fontId="24" fillId="2" borderId="1" xfId="106" quotePrefix="1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wrapText="1"/>
    </xf>
    <xf numFmtId="0" fontId="24" fillId="2" borderId="12" xfId="102" quotePrefix="1" applyFont="1" applyFill="1" applyBorder="1" applyAlignment="1">
      <alignment horizontal="left" vertical="top" wrapText="1"/>
    </xf>
    <xf numFmtId="0" fontId="24" fillId="2" borderId="13" xfId="0" applyFont="1" applyFill="1" applyBorder="1" applyAlignment="1">
      <alignment wrapText="1"/>
    </xf>
    <xf numFmtId="0" fontId="24" fillId="2" borderId="16" xfId="102" quotePrefix="1" applyFont="1" applyFill="1" applyBorder="1" applyAlignment="1">
      <alignment horizontal="left" vertical="top" wrapText="1"/>
    </xf>
    <xf numFmtId="0" fontId="24" fillId="2" borderId="14" xfId="0" applyFont="1" applyFill="1" applyBorder="1" applyAlignment="1">
      <alignment wrapText="1"/>
    </xf>
    <xf numFmtId="0" fontId="24" fillId="2" borderId="5" xfId="0" applyNumberFormat="1" applyFont="1" applyFill="1" applyBorder="1" applyAlignment="1">
      <alignment horizontal="center" vertical="center" wrapText="1"/>
    </xf>
    <xf numFmtId="0" fontId="24" fillId="2" borderId="9" xfId="0" applyNumberFormat="1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7" xfId="102" quotePrefix="1" applyFont="1" applyFill="1" applyBorder="1" applyAlignment="1">
      <alignment horizontal="center" vertical="top" wrapText="1"/>
    </xf>
    <xf numFmtId="0" fontId="24" fillId="2" borderId="6" xfId="102" quotePrefix="1" applyFont="1" applyFill="1" applyBorder="1" applyAlignment="1">
      <alignment horizontal="center" vertical="top" wrapText="1"/>
    </xf>
    <xf numFmtId="0" fontId="24" fillId="2" borderId="7" xfId="0" applyFont="1" applyFill="1" applyBorder="1" applyAlignment="1">
      <alignment horizontal="center" wrapText="1"/>
    </xf>
    <xf numFmtId="0" fontId="24" fillId="2" borderId="8" xfId="0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11" xfId="0" applyNumberFormat="1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5" xfId="147" applyFont="1" applyFill="1" applyBorder="1" applyAlignment="1">
      <alignment horizontal="center" vertical="center" wrapText="1"/>
    </xf>
    <xf numFmtId="0" fontId="24" fillId="2" borderId="9" xfId="147" applyFont="1" applyFill="1" applyBorder="1" applyAlignment="1">
      <alignment horizontal="center" vertical="center" wrapText="1"/>
    </xf>
    <xf numFmtId="0" fontId="24" fillId="2" borderId="11" xfId="147" applyFont="1" applyFill="1" applyBorder="1" applyAlignment="1">
      <alignment horizontal="center" vertical="center" wrapText="1"/>
    </xf>
    <xf numFmtId="0" fontId="24" fillId="2" borderId="1" xfId="147" applyFont="1" applyFill="1" applyBorder="1" applyAlignment="1">
      <alignment horizontal="center" vertical="center" wrapText="1"/>
    </xf>
    <xf numFmtId="0" fontId="24" fillId="2" borderId="2" xfId="147" applyFont="1" applyFill="1" applyBorder="1" applyAlignment="1">
      <alignment horizontal="center" vertical="center" wrapText="1"/>
    </xf>
    <xf numFmtId="0" fontId="24" fillId="2" borderId="3" xfId="147" applyFont="1" applyFill="1" applyBorder="1" applyAlignment="1">
      <alignment horizontal="center" vertical="center" wrapText="1"/>
    </xf>
    <xf numFmtId="0" fontId="24" fillId="2" borderId="12" xfId="147" applyFont="1" applyFill="1" applyBorder="1" applyAlignment="1">
      <alignment horizontal="center" vertical="center" wrapText="1"/>
    </xf>
    <xf numFmtId="0" fontId="24" fillId="2" borderId="0" xfId="147" applyFont="1" applyFill="1" applyBorder="1" applyAlignment="1">
      <alignment horizontal="center" vertical="center" wrapText="1"/>
    </xf>
    <xf numFmtId="0" fontId="24" fillId="2" borderId="13" xfId="147" applyFont="1" applyFill="1" applyBorder="1" applyAlignment="1">
      <alignment horizontal="center" vertical="center" wrapText="1"/>
    </xf>
    <xf numFmtId="0" fontId="24" fillId="2" borderId="16" xfId="147" applyFont="1" applyFill="1" applyBorder="1" applyAlignment="1">
      <alignment horizontal="center" vertical="center" wrapText="1"/>
    </xf>
    <xf numFmtId="0" fontId="24" fillId="2" borderId="10" xfId="147" applyFont="1" applyFill="1" applyBorder="1" applyAlignment="1">
      <alignment horizontal="center" vertical="center" wrapText="1"/>
    </xf>
    <xf numFmtId="0" fontId="24" fillId="2" borderId="14" xfId="147" applyFont="1" applyFill="1" applyBorder="1" applyAlignment="1">
      <alignment horizontal="center" vertical="center" wrapText="1"/>
    </xf>
    <xf numFmtId="0" fontId="24" fillId="2" borderId="1" xfId="0" quotePrefix="1" applyFont="1" applyFill="1" applyBorder="1" applyAlignment="1">
      <alignment horizontal="left" vertical="center" wrapText="1"/>
    </xf>
    <xf numFmtId="0" fontId="24" fillId="2" borderId="5" xfId="141" quotePrefix="1" applyFont="1" applyFill="1" applyBorder="1" applyAlignment="1">
      <alignment horizontal="center" vertical="center" wrapText="1"/>
    </xf>
    <xf numFmtId="0" fontId="24" fillId="2" borderId="9" xfId="147" applyFont="1" applyFill="1" applyBorder="1" applyAlignment="1">
      <alignment horizontal="center" wrapText="1"/>
    </xf>
    <xf numFmtId="0" fontId="24" fillId="2" borderId="11" xfId="147" applyFont="1" applyFill="1" applyBorder="1" applyAlignment="1">
      <alignment horizontal="center" wrapText="1"/>
    </xf>
    <xf numFmtId="0" fontId="88" fillId="0" borderId="7" xfId="139" quotePrefix="1" applyFont="1" applyBorder="1" applyAlignment="1">
      <alignment horizontal="center" vertical="center" wrapText="1"/>
    </xf>
    <xf numFmtId="0" fontId="88" fillId="0" borderId="8" xfId="139" quotePrefix="1" applyFont="1" applyBorder="1" applyAlignment="1">
      <alignment horizontal="center" vertical="center" wrapText="1"/>
    </xf>
    <xf numFmtId="0" fontId="88" fillId="0" borderId="6" xfId="139" quotePrefix="1" applyFont="1" applyBorder="1" applyAlignment="1">
      <alignment horizontal="center" vertical="center" wrapText="1"/>
    </xf>
    <xf numFmtId="0" fontId="88" fillId="0" borderId="0" xfId="86" quotePrefix="1" applyFont="1" applyAlignment="1">
      <alignment horizontal="left" vertical="center" wrapText="1"/>
    </xf>
    <xf numFmtId="0" fontId="88" fillId="0" borderId="0" xfId="147" applyFont="1" applyAlignment="1">
      <alignment wrapText="1"/>
    </xf>
    <xf numFmtId="0" fontId="93" fillId="0" borderId="0" xfId="131" quotePrefix="1" applyFont="1" applyAlignment="1">
      <alignment horizontal="right" vertical="center" wrapText="1"/>
    </xf>
    <xf numFmtId="0" fontId="93" fillId="0" borderId="0" xfId="135" quotePrefix="1" applyFont="1" applyAlignment="1">
      <alignment horizontal="center" vertical="center" wrapText="1"/>
    </xf>
    <xf numFmtId="0" fontId="88" fillId="0" borderId="0" xfId="136" quotePrefix="1" applyFont="1" applyAlignment="1">
      <alignment horizontal="center" vertical="top" wrapText="1"/>
    </xf>
    <xf numFmtId="0" fontId="93" fillId="0" borderId="0" xfId="137" quotePrefix="1" applyFont="1" applyAlignment="1">
      <alignment horizontal="left" vertical="top" wrapText="1"/>
    </xf>
    <xf numFmtId="0" fontId="93" fillId="0" borderId="0" xfId="138" quotePrefix="1" applyFont="1" applyAlignment="1">
      <alignment horizontal="left" vertical="top" wrapText="1"/>
    </xf>
    <xf numFmtId="0" fontId="93" fillId="0" borderId="0" xfId="147" applyFont="1" applyAlignment="1">
      <alignment wrapText="1"/>
    </xf>
    <xf numFmtId="0" fontId="88" fillId="0" borderId="0" xfId="138" quotePrefix="1" applyFont="1" applyAlignment="1">
      <alignment horizontal="left" vertical="top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2" fontId="24" fillId="2" borderId="3" xfId="0" applyNumberFormat="1" applyFont="1" applyFill="1" applyBorder="1" applyAlignment="1">
      <alignment horizontal="center" vertical="center" wrapText="1"/>
    </xf>
    <xf numFmtId="2" fontId="24" fillId="2" borderId="13" xfId="0" applyNumberFormat="1" applyFont="1" applyFill="1" applyBorder="1" applyAlignment="1">
      <alignment horizontal="center" vertical="center" wrapText="1"/>
    </xf>
    <xf numFmtId="2" fontId="24" fillId="2" borderId="14" xfId="0" applyNumberFormat="1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88" fillId="0" borderId="6" xfId="147" applyFont="1" applyBorder="1" applyAlignment="1">
      <alignment wrapText="1"/>
    </xf>
    <xf numFmtId="0" fontId="24" fillId="2" borderId="6" xfId="0" applyFont="1" applyFill="1" applyBorder="1" applyAlignment="1">
      <alignment horizontal="center" vertical="center" wrapText="1"/>
    </xf>
    <xf numFmtId="3" fontId="24" fillId="2" borderId="4" xfId="147" applyNumberFormat="1" applyFont="1" applyFill="1" applyBorder="1" applyAlignment="1">
      <alignment horizontal="center" vertical="center" wrapText="1"/>
    </xf>
    <xf numFmtId="3" fontId="24" fillId="2" borderId="5" xfId="147" applyNumberFormat="1" applyFont="1" applyFill="1" applyBorder="1" applyAlignment="1">
      <alignment horizontal="center" vertical="center" wrapText="1"/>
    </xf>
    <xf numFmtId="3" fontId="24" fillId="2" borderId="9" xfId="147" applyNumberFormat="1" applyFont="1" applyFill="1" applyBorder="1" applyAlignment="1">
      <alignment horizontal="center" vertical="center" wrapText="1"/>
    </xf>
    <xf numFmtId="3" fontId="24" fillId="2" borderId="11" xfId="147" applyNumberFormat="1" applyFont="1" applyFill="1" applyBorder="1" applyAlignment="1">
      <alignment horizontal="center" vertical="center" wrapText="1"/>
    </xf>
    <xf numFmtId="4" fontId="24" fillId="0" borderId="0" xfId="141" quotePrefix="1" applyNumberFormat="1" applyFont="1" applyFill="1" applyBorder="1" applyAlignment="1">
      <alignment horizontal="center" vertical="center" wrapText="1"/>
    </xf>
    <xf numFmtId="0" fontId="24" fillId="2" borderId="5" xfId="147" applyNumberFormat="1" applyFont="1" applyFill="1" applyBorder="1" applyAlignment="1">
      <alignment horizontal="center" vertical="center" wrapText="1"/>
    </xf>
    <xf numFmtId="0" fontId="24" fillId="2" borderId="9" xfId="147" applyNumberFormat="1" applyFont="1" applyFill="1" applyBorder="1" applyAlignment="1">
      <alignment horizontal="center" vertical="center" wrapText="1"/>
    </xf>
    <xf numFmtId="0" fontId="24" fillId="2" borderId="11" xfId="147" applyNumberFormat="1" applyFont="1" applyFill="1" applyBorder="1" applyAlignment="1">
      <alignment horizontal="center" vertical="center" wrapText="1"/>
    </xf>
    <xf numFmtId="0" fontId="24" fillId="2" borderId="5" xfId="141" quotePrefix="1" applyNumberFormat="1" applyFont="1" applyFill="1" applyBorder="1" applyAlignment="1">
      <alignment horizontal="center" vertical="center" wrapText="1"/>
    </xf>
    <xf numFmtId="0" fontId="24" fillId="2" borderId="9" xfId="147" applyNumberFormat="1" applyFont="1" applyFill="1" applyBorder="1" applyAlignment="1">
      <alignment horizontal="center" wrapText="1"/>
    </xf>
    <xf numFmtId="0" fontId="24" fillId="2" borderId="11" xfId="147" applyNumberFormat="1" applyFont="1" applyFill="1" applyBorder="1" applyAlignment="1">
      <alignment horizontal="center" wrapText="1"/>
    </xf>
    <xf numFmtId="3" fontId="24" fillId="2" borderId="5" xfId="141" quotePrefix="1" applyNumberFormat="1" applyFont="1" applyFill="1" applyBorder="1" applyAlignment="1">
      <alignment horizontal="center" vertical="center" wrapText="1"/>
    </xf>
    <xf numFmtId="3" fontId="24" fillId="2" borderId="9" xfId="141" quotePrefix="1" applyNumberFormat="1" applyFont="1" applyFill="1" applyBorder="1" applyAlignment="1">
      <alignment horizontal="center" vertical="center" wrapText="1"/>
    </xf>
    <xf numFmtId="3" fontId="24" fillId="2" borderId="11" xfId="141" quotePrefix="1" applyNumberFormat="1" applyFont="1" applyFill="1" applyBorder="1" applyAlignment="1">
      <alignment horizontal="center" vertical="center" wrapText="1"/>
    </xf>
    <xf numFmtId="0" fontId="24" fillId="2" borderId="1" xfId="0" quotePrefix="1" applyFont="1" applyFill="1" applyBorder="1" applyAlignment="1">
      <alignment horizontal="center" vertical="center" wrapText="1"/>
    </xf>
    <xf numFmtId="0" fontId="97" fillId="0" borderId="0" xfId="109" quotePrefix="1" applyFont="1" applyFill="1" applyAlignment="1">
      <alignment horizontal="center" vertical="center" wrapText="1"/>
    </xf>
    <xf numFmtId="0" fontId="52" fillId="0" borderId="0" xfId="132" applyFont="1" applyFill="1" applyAlignment="1">
      <alignment wrapText="1"/>
    </xf>
    <xf numFmtId="0" fontId="52" fillId="0" borderId="0" xfId="108" quotePrefix="1" applyFont="1" applyFill="1" applyAlignment="1">
      <alignment horizontal="center" vertical="top" wrapText="1"/>
    </xf>
    <xf numFmtId="0" fontId="97" fillId="0" borderId="0" xfId="107" quotePrefix="1" applyFont="1" applyFill="1" applyAlignment="1">
      <alignment horizontal="left" vertical="top" wrapText="1"/>
    </xf>
    <xf numFmtId="0" fontId="97" fillId="0" borderId="0" xfId="102" quotePrefix="1" applyFont="1" applyFill="1" applyAlignment="1">
      <alignment horizontal="left" vertical="top" wrapText="1"/>
    </xf>
    <xf numFmtId="0" fontId="97" fillId="0" borderId="0" xfId="132" applyFont="1" applyFill="1" applyAlignment="1">
      <alignment wrapText="1"/>
    </xf>
    <xf numFmtId="0" fontId="52" fillId="0" borderId="0" xfId="87" quotePrefix="1" applyFont="1" applyFill="1" applyAlignment="1">
      <alignment horizontal="left" vertical="center" wrapText="1"/>
    </xf>
    <xf numFmtId="0" fontId="97" fillId="0" borderId="0" xfId="92" quotePrefix="1" applyFont="1" applyFill="1" applyAlignment="1">
      <alignment horizontal="left" vertical="center" wrapText="1"/>
    </xf>
    <xf numFmtId="0" fontId="52" fillId="0" borderId="0" xfId="102" quotePrefix="1" applyFont="1" applyFill="1" applyAlignment="1">
      <alignment horizontal="left" vertical="top" wrapText="1"/>
    </xf>
    <xf numFmtId="4" fontId="52" fillId="0" borderId="5" xfId="99" applyNumberFormat="1" applyFont="1" applyFill="1" applyBorder="1" applyAlignment="1">
      <alignment horizontal="center" vertical="center" wrapText="1"/>
    </xf>
    <xf numFmtId="4" fontId="52" fillId="0" borderId="9" xfId="99" applyNumberFormat="1" applyFont="1" applyFill="1" applyBorder="1" applyAlignment="1">
      <alignment horizontal="center" vertical="center" wrapText="1"/>
    </xf>
    <xf numFmtId="4" fontId="52" fillId="0" borderId="11" xfId="99" applyNumberFormat="1" applyFont="1" applyFill="1" applyBorder="1" applyAlignment="1">
      <alignment horizontal="center" vertical="center" wrapText="1"/>
    </xf>
    <xf numFmtId="0" fontId="52" fillId="0" borderId="4" xfId="93" quotePrefix="1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4" xfId="95" quotePrefix="1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wrapText="1"/>
    </xf>
    <xf numFmtId="0" fontId="52" fillId="0" borderId="4" xfId="95" quotePrefix="1" applyFont="1" applyFill="1" applyBorder="1" applyAlignment="1">
      <alignment horizontal="left" vertical="center" wrapText="1"/>
    </xf>
    <xf numFmtId="0" fontId="52" fillId="0" borderId="4" xfId="0" applyFont="1" applyBorder="1" applyAlignment="1">
      <alignment horizontal="left" vertical="center" wrapText="1"/>
    </xf>
    <xf numFmtId="0" fontId="52" fillId="0" borderId="7" xfId="106" quotePrefix="1" applyFont="1" applyFill="1" applyBorder="1" applyAlignment="1">
      <alignment horizontal="left" vertical="top" wrapText="1"/>
    </xf>
    <xf numFmtId="0" fontId="52" fillId="0" borderId="8" xfId="106" quotePrefix="1" applyFont="1" applyFill="1" applyBorder="1" applyAlignment="1">
      <alignment horizontal="left" vertical="top" wrapText="1"/>
    </xf>
    <xf numFmtId="0" fontId="52" fillId="0" borderId="6" xfId="106" quotePrefix="1" applyFont="1" applyFill="1" applyBorder="1" applyAlignment="1">
      <alignment horizontal="left" vertical="top" wrapText="1"/>
    </xf>
    <xf numFmtId="0" fontId="52" fillId="0" borderId="5" xfId="95" quotePrefix="1" applyFont="1" applyFill="1" applyBorder="1" applyAlignment="1">
      <alignment horizontal="center" vertical="center" wrapText="1"/>
    </xf>
    <xf numFmtId="0" fontId="52" fillId="0" borderId="9" xfId="95" quotePrefix="1" applyFont="1" applyFill="1" applyBorder="1" applyAlignment="1">
      <alignment horizontal="center" vertical="center" wrapText="1"/>
    </xf>
    <xf numFmtId="0" fontId="52" fillId="0" borderId="11" xfId="95" quotePrefix="1" applyFont="1" applyFill="1" applyBorder="1" applyAlignment="1">
      <alignment horizontal="center" vertical="center" wrapText="1"/>
    </xf>
  </cellXfs>
  <cellStyles count="1926">
    <cellStyle name="20% - Accent1" xfId="420"/>
    <cellStyle name="20% - Accent2" xfId="421"/>
    <cellStyle name="20% - Accent3" xfId="422"/>
    <cellStyle name="20% - Accent4" xfId="423"/>
    <cellStyle name="20% - Accent5" xfId="424"/>
    <cellStyle name="20% - Accent6" xfId="425"/>
    <cellStyle name="20% - Акцент1 10" xfId="426"/>
    <cellStyle name="20% - Акцент1 11" xfId="427"/>
    <cellStyle name="20% - Акцент1 12" xfId="428"/>
    <cellStyle name="20% - Акцент1 13" xfId="429"/>
    <cellStyle name="20% - Акцент1 14" xfId="430"/>
    <cellStyle name="20% - Акцент1 15" xfId="431"/>
    <cellStyle name="20% - Акцент1 16" xfId="432"/>
    <cellStyle name="20% - Акцент1 17" xfId="433"/>
    <cellStyle name="20% - Акцент1 18" xfId="434"/>
    <cellStyle name="20% - Акцент1 19" xfId="435"/>
    <cellStyle name="20% - Акцент1 2" xfId="436"/>
    <cellStyle name="20% - Акцент1 2 2" xfId="437"/>
    <cellStyle name="20% - Акцент1 2 3" xfId="438"/>
    <cellStyle name="20% - Акцент1 2 4" xfId="439"/>
    <cellStyle name="20% - Акцент1 2 5" xfId="440"/>
    <cellStyle name="20% - Акцент1 2 6" xfId="441"/>
    <cellStyle name="20% - Акцент1 2_Приложения к 571" xfId="442"/>
    <cellStyle name="20% - Акцент1 20" xfId="443"/>
    <cellStyle name="20% - Акцент1 21" xfId="444"/>
    <cellStyle name="20% - Акцент1 22" xfId="445"/>
    <cellStyle name="20% - Акцент1 23" xfId="446"/>
    <cellStyle name="20% - Акцент1 24" xfId="447"/>
    <cellStyle name="20% - Акцент1 3" xfId="448"/>
    <cellStyle name="20% - Акцент1 3 2" xfId="449"/>
    <cellStyle name="20% - Акцент1 3 3" xfId="450"/>
    <cellStyle name="20% - Акцент1 3 4" xfId="451"/>
    <cellStyle name="20% - Акцент1 3 5" xfId="452"/>
    <cellStyle name="20% - Акцент1 3 6" xfId="453"/>
    <cellStyle name="20% - Акцент1 3_Приложения к 571" xfId="454"/>
    <cellStyle name="20% - Акцент1 4" xfId="455"/>
    <cellStyle name="20% - Акцент1 5" xfId="456"/>
    <cellStyle name="20% - Акцент1 6" xfId="457"/>
    <cellStyle name="20% - Акцент1 7" xfId="458"/>
    <cellStyle name="20% - Акцент1 8" xfId="459"/>
    <cellStyle name="20% - Акцент1 9" xfId="460"/>
    <cellStyle name="20% - Акцент2 10" xfId="461"/>
    <cellStyle name="20% - Акцент2 11" xfId="462"/>
    <cellStyle name="20% - Акцент2 12" xfId="463"/>
    <cellStyle name="20% - Акцент2 13" xfId="464"/>
    <cellStyle name="20% - Акцент2 14" xfId="465"/>
    <cellStyle name="20% - Акцент2 15" xfId="466"/>
    <cellStyle name="20% - Акцент2 16" xfId="467"/>
    <cellStyle name="20% - Акцент2 17" xfId="468"/>
    <cellStyle name="20% - Акцент2 18" xfId="469"/>
    <cellStyle name="20% - Акцент2 19" xfId="470"/>
    <cellStyle name="20% - Акцент2 2" xfId="471"/>
    <cellStyle name="20% - Акцент2 2 2" xfId="472"/>
    <cellStyle name="20% - Акцент2 2 3" xfId="473"/>
    <cellStyle name="20% - Акцент2 2 4" xfId="474"/>
    <cellStyle name="20% - Акцент2 2 5" xfId="475"/>
    <cellStyle name="20% - Акцент2 2 6" xfId="476"/>
    <cellStyle name="20% - Акцент2 2_Приложения к 571" xfId="477"/>
    <cellStyle name="20% - Акцент2 20" xfId="478"/>
    <cellStyle name="20% - Акцент2 21" xfId="479"/>
    <cellStyle name="20% - Акцент2 22" xfId="480"/>
    <cellStyle name="20% - Акцент2 23" xfId="481"/>
    <cellStyle name="20% - Акцент2 24" xfId="482"/>
    <cellStyle name="20% - Акцент2 3" xfId="483"/>
    <cellStyle name="20% - Акцент2 3 2" xfId="484"/>
    <cellStyle name="20% - Акцент2 3 3" xfId="485"/>
    <cellStyle name="20% - Акцент2 3 4" xfId="486"/>
    <cellStyle name="20% - Акцент2 3 5" xfId="487"/>
    <cellStyle name="20% - Акцент2 3 6" xfId="488"/>
    <cellStyle name="20% - Акцент2 3_Приложения к 571" xfId="489"/>
    <cellStyle name="20% - Акцент2 4" xfId="490"/>
    <cellStyle name="20% - Акцент2 5" xfId="491"/>
    <cellStyle name="20% - Акцент2 6" xfId="492"/>
    <cellStyle name="20% - Акцент2 7" xfId="493"/>
    <cellStyle name="20% - Акцент2 8" xfId="494"/>
    <cellStyle name="20% - Акцент2 9" xfId="495"/>
    <cellStyle name="20% - Акцент3 10" xfId="496"/>
    <cellStyle name="20% - Акцент3 11" xfId="497"/>
    <cellStyle name="20% - Акцент3 12" xfId="498"/>
    <cellStyle name="20% - Акцент3 13" xfId="499"/>
    <cellStyle name="20% - Акцент3 14" xfId="500"/>
    <cellStyle name="20% - Акцент3 15" xfId="501"/>
    <cellStyle name="20% - Акцент3 16" xfId="502"/>
    <cellStyle name="20% - Акцент3 17" xfId="503"/>
    <cellStyle name="20% - Акцент3 18" xfId="504"/>
    <cellStyle name="20% - Акцент3 19" xfId="505"/>
    <cellStyle name="20% - Акцент3 2" xfId="506"/>
    <cellStyle name="20% - Акцент3 2 2" xfId="507"/>
    <cellStyle name="20% - Акцент3 2 3" xfId="508"/>
    <cellStyle name="20% - Акцент3 2 4" xfId="509"/>
    <cellStyle name="20% - Акцент3 2 5" xfId="510"/>
    <cellStyle name="20% - Акцент3 2 6" xfId="511"/>
    <cellStyle name="20% - Акцент3 2_Приложения к 571" xfId="512"/>
    <cellStyle name="20% - Акцент3 20" xfId="513"/>
    <cellStyle name="20% - Акцент3 21" xfId="514"/>
    <cellStyle name="20% - Акцент3 22" xfId="515"/>
    <cellStyle name="20% - Акцент3 23" xfId="516"/>
    <cellStyle name="20% - Акцент3 24" xfId="517"/>
    <cellStyle name="20% - Акцент3 3" xfId="518"/>
    <cellStyle name="20% - Акцент3 3 2" xfId="519"/>
    <cellStyle name="20% - Акцент3 3 3" xfId="520"/>
    <cellStyle name="20% - Акцент3 3 4" xfId="521"/>
    <cellStyle name="20% - Акцент3 3 5" xfId="522"/>
    <cellStyle name="20% - Акцент3 3 6" xfId="523"/>
    <cellStyle name="20% - Акцент3 3_Приложения к 571" xfId="524"/>
    <cellStyle name="20% - Акцент3 4" xfId="525"/>
    <cellStyle name="20% - Акцент3 5" xfId="526"/>
    <cellStyle name="20% - Акцент3 6" xfId="527"/>
    <cellStyle name="20% - Акцент3 7" xfId="528"/>
    <cellStyle name="20% - Акцент3 8" xfId="529"/>
    <cellStyle name="20% - Акцент3 9" xfId="530"/>
    <cellStyle name="20% - Акцент4 10" xfId="531"/>
    <cellStyle name="20% - Акцент4 11" xfId="532"/>
    <cellStyle name="20% - Акцент4 12" xfId="533"/>
    <cellStyle name="20% - Акцент4 13" xfId="534"/>
    <cellStyle name="20% - Акцент4 14" xfId="535"/>
    <cellStyle name="20% - Акцент4 15" xfId="536"/>
    <cellStyle name="20% - Акцент4 16" xfId="537"/>
    <cellStyle name="20% - Акцент4 17" xfId="538"/>
    <cellStyle name="20% - Акцент4 18" xfId="539"/>
    <cellStyle name="20% - Акцент4 19" xfId="540"/>
    <cellStyle name="20% - Акцент4 2" xfId="541"/>
    <cellStyle name="20% - Акцент4 2 2" xfId="542"/>
    <cellStyle name="20% - Акцент4 2 3" xfId="543"/>
    <cellStyle name="20% - Акцент4 2 4" xfId="544"/>
    <cellStyle name="20% - Акцент4 2 5" xfId="545"/>
    <cellStyle name="20% - Акцент4 2 6" xfId="546"/>
    <cellStyle name="20% - Акцент4 2_Приложения к 571" xfId="547"/>
    <cellStyle name="20% - Акцент4 20" xfId="548"/>
    <cellStyle name="20% - Акцент4 21" xfId="549"/>
    <cellStyle name="20% - Акцент4 22" xfId="550"/>
    <cellStyle name="20% - Акцент4 23" xfId="551"/>
    <cellStyle name="20% - Акцент4 24" xfId="552"/>
    <cellStyle name="20% - Акцент4 3" xfId="553"/>
    <cellStyle name="20% - Акцент4 3 2" xfId="554"/>
    <cellStyle name="20% - Акцент4 3 3" xfId="555"/>
    <cellStyle name="20% - Акцент4 3 4" xfId="556"/>
    <cellStyle name="20% - Акцент4 3 5" xfId="557"/>
    <cellStyle name="20% - Акцент4 3 6" xfId="558"/>
    <cellStyle name="20% - Акцент4 3_Приложения к 571" xfId="559"/>
    <cellStyle name="20% - Акцент4 4" xfId="560"/>
    <cellStyle name="20% - Акцент4 5" xfId="561"/>
    <cellStyle name="20% - Акцент4 6" xfId="562"/>
    <cellStyle name="20% - Акцент4 7" xfId="563"/>
    <cellStyle name="20% - Акцент4 8" xfId="564"/>
    <cellStyle name="20% - Акцент4 9" xfId="565"/>
    <cellStyle name="20% - Акцент5 10" xfId="566"/>
    <cellStyle name="20% - Акцент5 11" xfId="567"/>
    <cellStyle name="20% - Акцент5 12" xfId="568"/>
    <cellStyle name="20% - Акцент5 13" xfId="569"/>
    <cellStyle name="20% - Акцент5 14" xfId="570"/>
    <cellStyle name="20% - Акцент5 15" xfId="571"/>
    <cellStyle name="20% - Акцент5 16" xfId="572"/>
    <cellStyle name="20% - Акцент5 17" xfId="573"/>
    <cellStyle name="20% - Акцент5 18" xfId="574"/>
    <cellStyle name="20% - Акцент5 19" xfId="575"/>
    <cellStyle name="20% - Акцент5 2" xfId="576"/>
    <cellStyle name="20% - Акцент5 2 2" xfId="577"/>
    <cellStyle name="20% - Акцент5 2 3" xfId="578"/>
    <cellStyle name="20% - Акцент5 2 4" xfId="579"/>
    <cellStyle name="20% - Акцент5 2 5" xfId="580"/>
    <cellStyle name="20% - Акцент5 2 6" xfId="581"/>
    <cellStyle name="20% - Акцент5 2_Приложения к 571" xfId="582"/>
    <cellStyle name="20% - Акцент5 20" xfId="583"/>
    <cellStyle name="20% - Акцент5 21" xfId="584"/>
    <cellStyle name="20% - Акцент5 22" xfId="585"/>
    <cellStyle name="20% - Акцент5 23" xfId="586"/>
    <cellStyle name="20% - Акцент5 24" xfId="587"/>
    <cellStyle name="20% - Акцент5 3" xfId="588"/>
    <cellStyle name="20% - Акцент5 3 2" xfId="589"/>
    <cellStyle name="20% - Акцент5 3 3" xfId="590"/>
    <cellStyle name="20% - Акцент5 3 4" xfId="591"/>
    <cellStyle name="20% - Акцент5 3 5" xfId="592"/>
    <cellStyle name="20% - Акцент5 3 6" xfId="593"/>
    <cellStyle name="20% - Акцент5 3_Приложения к 571" xfId="594"/>
    <cellStyle name="20% - Акцент5 4" xfId="595"/>
    <cellStyle name="20% - Акцент5 5" xfId="596"/>
    <cellStyle name="20% - Акцент5 6" xfId="597"/>
    <cellStyle name="20% - Акцент5 7" xfId="598"/>
    <cellStyle name="20% - Акцент5 8" xfId="599"/>
    <cellStyle name="20% - Акцент5 9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2" xfId="612"/>
    <cellStyle name="20% - Акцент6 2 3" xfId="613"/>
    <cellStyle name="20% - Акцент6 2 4" xfId="614"/>
    <cellStyle name="20% - Акцент6 2 5" xfId="615"/>
    <cellStyle name="20% - Акцент6 2 6" xfId="616"/>
    <cellStyle name="20% - Акцент6 2_Приложения к 571" xfId="617"/>
    <cellStyle name="20% - Акцент6 20" xfId="618"/>
    <cellStyle name="20% - Акцент6 21" xfId="619"/>
    <cellStyle name="20% - Акцент6 22" xfId="620"/>
    <cellStyle name="20% - Акцент6 23" xfId="621"/>
    <cellStyle name="20% - Акцент6 24" xfId="622"/>
    <cellStyle name="20% - Акцент6 3" xfId="623"/>
    <cellStyle name="20% - Акцент6 3 2" xfId="624"/>
    <cellStyle name="20% - Акцент6 3 3" xfId="625"/>
    <cellStyle name="20% - Акцент6 3 4" xfId="626"/>
    <cellStyle name="20% - Акцент6 3 5" xfId="627"/>
    <cellStyle name="20% - Акцент6 3 6" xfId="628"/>
    <cellStyle name="20% - Акцент6 3_Приложения к 571" xfId="629"/>
    <cellStyle name="20% - Акцент6 4" xfId="630"/>
    <cellStyle name="20% - Акцент6 5" xfId="631"/>
    <cellStyle name="20% - Акцент6 6" xfId="632"/>
    <cellStyle name="20% - Акцент6 7" xfId="633"/>
    <cellStyle name="20% - Акцент6 8" xfId="634"/>
    <cellStyle name="20% - Акцент6 9" xfId="635"/>
    <cellStyle name="40% - Accent1" xfId="636"/>
    <cellStyle name="40% - Accent2" xfId="637"/>
    <cellStyle name="40% - Accent3" xfId="638"/>
    <cellStyle name="40% - Accent4" xfId="639"/>
    <cellStyle name="40% - Accent5" xfId="640"/>
    <cellStyle name="40% - Accent6" xfId="641"/>
    <cellStyle name="40% - Акцент1 10" xfId="642"/>
    <cellStyle name="40% - Акцент1 11" xfId="643"/>
    <cellStyle name="40% - Акцент1 12" xfId="644"/>
    <cellStyle name="40% - Акцент1 13" xfId="645"/>
    <cellStyle name="40% - Акцент1 14" xfId="646"/>
    <cellStyle name="40% - Акцент1 15" xfId="647"/>
    <cellStyle name="40% - Акцент1 16" xfId="648"/>
    <cellStyle name="40% - Акцент1 17" xfId="649"/>
    <cellStyle name="40% - Акцент1 18" xfId="650"/>
    <cellStyle name="40% - Акцент1 19" xfId="651"/>
    <cellStyle name="40% - Акцент1 2" xfId="652"/>
    <cellStyle name="40% - Акцент1 2 2" xfId="653"/>
    <cellStyle name="40% - Акцент1 2 3" xfId="654"/>
    <cellStyle name="40% - Акцент1 2 4" xfId="655"/>
    <cellStyle name="40% - Акцент1 2 5" xfId="656"/>
    <cellStyle name="40% - Акцент1 2 6" xfId="657"/>
    <cellStyle name="40% - Акцент1 2_Приложения к 571" xfId="658"/>
    <cellStyle name="40% - Акцент1 20" xfId="659"/>
    <cellStyle name="40% - Акцент1 21" xfId="660"/>
    <cellStyle name="40% - Акцент1 22" xfId="661"/>
    <cellStyle name="40% - Акцент1 23" xfId="662"/>
    <cellStyle name="40% - Акцент1 24" xfId="663"/>
    <cellStyle name="40% - Акцент1 3" xfId="664"/>
    <cellStyle name="40% - Акцент1 3 2" xfId="665"/>
    <cellStyle name="40% - Акцент1 3 3" xfId="666"/>
    <cellStyle name="40% - Акцент1 3 4" xfId="667"/>
    <cellStyle name="40% - Акцент1 3 5" xfId="668"/>
    <cellStyle name="40% - Акцент1 3 6" xfId="669"/>
    <cellStyle name="40% - Акцент1 3_Приложения к 571" xfId="670"/>
    <cellStyle name="40% - Акцент1 4" xfId="671"/>
    <cellStyle name="40% - Акцент1 5" xfId="672"/>
    <cellStyle name="40% - Акцент1 6" xfId="673"/>
    <cellStyle name="40% - Акцент1 7" xfId="674"/>
    <cellStyle name="40% - Акцент1 8" xfId="675"/>
    <cellStyle name="40% - Акцент1 9" xfId="676"/>
    <cellStyle name="40% - Акцент2 10" xfId="677"/>
    <cellStyle name="40% - Акцент2 11" xfId="678"/>
    <cellStyle name="40% - Акцент2 12" xfId="679"/>
    <cellStyle name="40% - Акцент2 13" xfId="680"/>
    <cellStyle name="40% - Акцент2 14" xfId="681"/>
    <cellStyle name="40% - Акцент2 15" xfId="682"/>
    <cellStyle name="40% - Акцент2 16" xfId="683"/>
    <cellStyle name="40% - Акцент2 17" xfId="684"/>
    <cellStyle name="40% - Акцент2 18" xfId="685"/>
    <cellStyle name="40% - Акцент2 19" xfId="686"/>
    <cellStyle name="40% - Акцент2 2" xfId="687"/>
    <cellStyle name="40% - Акцент2 2 2" xfId="688"/>
    <cellStyle name="40% - Акцент2 2 3" xfId="689"/>
    <cellStyle name="40% - Акцент2 2 4" xfId="690"/>
    <cellStyle name="40% - Акцент2 2 5" xfId="691"/>
    <cellStyle name="40% - Акцент2 2 6" xfId="692"/>
    <cellStyle name="40% - Акцент2 2_Приложения к 571" xfId="693"/>
    <cellStyle name="40% - Акцент2 20" xfId="694"/>
    <cellStyle name="40% - Акцент2 21" xfId="695"/>
    <cellStyle name="40% - Акцент2 22" xfId="696"/>
    <cellStyle name="40% - Акцент2 23" xfId="697"/>
    <cellStyle name="40% - Акцент2 24" xfId="698"/>
    <cellStyle name="40% - Акцент2 3" xfId="699"/>
    <cellStyle name="40% - Акцент2 3 2" xfId="700"/>
    <cellStyle name="40% - Акцент2 3 3" xfId="701"/>
    <cellStyle name="40% - Акцент2 3 4" xfId="702"/>
    <cellStyle name="40% - Акцент2 3 5" xfId="703"/>
    <cellStyle name="40% - Акцент2 3 6" xfId="704"/>
    <cellStyle name="40% - Акцент2 3_Приложения к 571" xfId="705"/>
    <cellStyle name="40% - Акцент2 4" xfId="706"/>
    <cellStyle name="40% - Акцент2 5" xfId="707"/>
    <cellStyle name="40% - Акцент2 6" xfId="708"/>
    <cellStyle name="40% - Акцент2 7" xfId="709"/>
    <cellStyle name="40% - Акцент2 8" xfId="710"/>
    <cellStyle name="40% - Акцент2 9" xfId="711"/>
    <cellStyle name="40% - Акцент3 10" xfId="712"/>
    <cellStyle name="40% - Акцент3 11" xfId="713"/>
    <cellStyle name="40% - Акцент3 12" xfId="714"/>
    <cellStyle name="40% - Акцент3 13" xfId="715"/>
    <cellStyle name="40% - Акцент3 14" xfId="716"/>
    <cellStyle name="40% - Акцент3 15" xfId="717"/>
    <cellStyle name="40% - Акцент3 16" xfId="718"/>
    <cellStyle name="40% - Акцент3 17" xfId="719"/>
    <cellStyle name="40% - Акцент3 18" xfId="720"/>
    <cellStyle name="40% - Акцент3 19" xfId="721"/>
    <cellStyle name="40% - Акцент3 2" xfId="722"/>
    <cellStyle name="40% - Акцент3 2 2" xfId="723"/>
    <cellStyle name="40% - Акцент3 2 3" xfId="724"/>
    <cellStyle name="40% - Акцент3 2 4" xfId="725"/>
    <cellStyle name="40% - Акцент3 2 5" xfId="726"/>
    <cellStyle name="40% - Акцент3 2 6" xfId="727"/>
    <cellStyle name="40% - Акцент3 2_Приложения к 571" xfId="728"/>
    <cellStyle name="40% - Акцент3 20" xfId="729"/>
    <cellStyle name="40% - Акцент3 21" xfId="730"/>
    <cellStyle name="40% - Акцент3 22" xfId="731"/>
    <cellStyle name="40% - Акцент3 23" xfId="732"/>
    <cellStyle name="40% - Акцент3 24" xfId="733"/>
    <cellStyle name="40% - Акцент3 3" xfId="734"/>
    <cellStyle name="40% - Акцент3 3 2" xfId="735"/>
    <cellStyle name="40% - Акцент3 3 3" xfId="736"/>
    <cellStyle name="40% - Акцент3 3 4" xfId="737"/>
    <cellStyle name="40% - Акцент3 3 5" xfId="738"/>
    <cellStyle name="40% - Акцент3 3 6" xfId="739"/>
    <cellStyle name="40% - Акцент3 3_Приложения к 571" xfId="740"/>
    <cellStyle name="40% - Акцент3 4" xfId="741"/>
    <cellStyle name="40% - Акцент3 5" xfId="742"/>
    <cellStyle name="40% - Акцент3 6" xfId="743"/>
    <cellStyle name="40% - Акцент3 7" xfId="744"/>
    <cellStyle name="40% - Акцент3 8" xfId="745"/>
    <cellStyle name="40% - Акцент3 9" xfId="746"/>
    <cellStyle name="40% - Акцент4 10" xfId="747"/>
    <cellStyle name="40% - Акцент4 11" xfId="748"/>
    <cellStyle name="40% - Акцент4 12" xfId="749"/>
    <cellStyle name="40% - Акцент4 13" xfId="750"/>
    <cellStyle name="40% - Акцент4 14" xfId="751"/>
    <cellStyle name="40% - Акцент4 15" xfId="752"/>
    <cellStyle name="40% - Акцент4 16" xfId="753"/>
    <cellStyle name="40% - Акцент4 17" xfId="754"/>
    <cellStyle name="40% - Акцент4 18" xfId="755"/>
    <cellStyle name="40% - Акцент4 19" xfId="756"/>
    <cellStyle name="40% - Акцент4 2" xfId="757"/>
    <cellStyle name="40% - Акцент4 2 2" xfId="758"/>
    <cellStyle name="40% - Акцент4 2 3" xfId="759"/>
    <cellStyle name="40% - Акцент4 2 4" xfId="760"/>
    <cellStyle name="40% - Акцент4 2 5" xfId="761"/>
    <cellStyle name="40% - Акцент4 2 6" xfId="762"/>
    <cellStyle name="40% - Акцент4 2_Приложения к 571" xfId="763"/>
    <cellStyle name="40% - Акцент4 20" xfId="764"/>
    <cellStyle name="40% - Акцент4 21" xfId="765"/>
    <cellStyle name="40% - Акцент4 22" xfId="766"/>
    <cellStyle name="40% - Акцент4 23" xfId="767"/>
    <cellStyle name="40% - Акцент4 24" xfId="768"/>
    <cellStyle name="40% - Акцент4 3" xfId="769"/>
    <cellStyle name="40% - Акцент4 3 2" xfId="770"/>
    <cellStyle name="40% - Акцент4 3 3" xfId="771"/>
    <cellStyle name="40% - Акцент4 3 4" xfId="772"/>
    <cellStyle name="40% - Акцент4 3 5" xfId="773"/>
    <cellStyle name="40% - Акцент4 3 6" xfId="774"/>
    <cellStyle name="40% - Акцент4 3_Приложения к 571" xfId="775"/>
    <cellStyle name="40% - Акцент4 4" xfId="776"/>
    <cellStyle name="40% - Акцент4 5" xfId="777"/>
    <cellStyle name="40% - Акцент4 6" xfId="778"/>
    <cellStyle name="40% - Акцент4 7" xfId="779"/>
    <cellStyle name="40% - Акцент4 8" xfId="780"/>
    <cellStyle name="40% - Акцент4 9" xfId="781"/>
    <cellStyle name="40% - Акцент5 10" xfId="782"/>
    <cellStyle name="40% - Акцент5 11" xfId="783"/>
    <cellStyle name="40% - Акцент5 12" xfId="784"/>
    <cellStyle name="40% - Акцент5 13" xfId="785"/>
    <cellStyle name="40% - Акцент5 14" xfId="786"/>
    <cellStyle name="40% - Акцент5 15" xfId="787"/>
    <cellStyle name="40% - Акцент5 16" xfId="788"/>
    <cellStyle name="40% - Акцент5 17" xfId="789"/>
    <cellStyle name="40% - Акцент5 18" xfId="790"/>
    <cellStyle name="40% - Акцент5 19" xfId="791"/>
    <cellStyle name="40% - Акцент5 2" xfId="792"/>
    <cellStyle name="40% - Акцент5 2 2" xfId="793"/>
    <cellStyle name="40% - Акцент5 2 3" xfId="794"/>
    <cellStyle name="40% - Акцент5 2 4" xfId="795"/>
    <cellStyle name="40% - Акцент5 2 5" xfId="796"/>
    <cellStyle name="40% - Акцент5 2 6" xfId="797"/>
    <cellStyle name="40% - Акцент5 2_Приложения к 571" xfId="798"/>
    <cellStyle name="40% - Акцент5 20" xfId="799"/>
    <cellStyle name="40% - Акцент5 21" xfId="800"/>
    <cellStyle name="40% - Акцент5 22" xfId="801"/>
    <cellStyle name="40% - Акцент5 23" xfId="802"/>
    <cellStyle name="40% - Акцент5 24" xfId="803"/>
    <cellStyle name="40% - Акцент5 3" xfId="804"/>
    <cellStyle name="40% - Акцент5 3 2" xfId="805"/>
    <cellStyle name="40% - Акцент5 3 3" xfId="806"/>
    <cellStyle name="40% - Акцент5 3 4" xfId="807"/>
    <cellStyle name="40% - Акцент5 3 5" xfId="808"/>
    <cellStyle name="40% - Акцент5 3 6" xfId="809"/>
    <cellStyle name="40% - Акцент5 3_Приложения к 571" xfId="810"/>
    <cellStyle name="40% - Акцент5 4" xfId="811"/>
    <cellStyle name="40% - Акцент5 5" xfId="812"/>
    <cellStyle name="40% - Акцент5 6" xfId="813"/>
    <cellStyle name="40% - Акцент5 7" xfId="814"/>
    <cellStyle name="40% - Акцент5 8" xfId="815"/>
    <cellStyle name="40% - Акцент5 9" xfId="816"/>
    <cellStyle name="40% - Акцент6 10" xfId="817"/>
    <cellStyle name="40% - Акцент6 11" xfId="818"/>
    <cellStyle name="40% - Акцент6 12" xfId="819"/>
    <cellStyle name="40% - Акцент6 13" xfId="820"/>
    <cellStyle name="40% - Акцент6 14" xfId="821"/>
    <cellStyle name="40% - Акцент6 15" xfId="822"/>
    <cellStyle name="40% - Акцент6 16" xfId="823"/>
    <cellStyle name="40% - Акцент6 17" xfId="824"/>
    <cellStyle name="40% - Акцент6 18" xfId="825"/>
    <cellStyle name="40% - Акцент6 19" xfId="826"/>
    <cellStyle name="40% - Акцент6 2" xfId="827"/>
    <cellStyle name="40% - Акцент6 2 2" xfId="828"/>
    <cellStyle name="40% - Акцент6 2 3" xfId="829"/>
    <cellStyle name="40% - Акцент6 2 4" xfId="830"/>
    <cellStyle name="40% - Акцент6 2 5" xfId="831"/>
    <cellStyle name="40% - Акцент6 2 6" xfId="832"/>
    <cellStyle name="40% - Акцент6 2_Приложения к 571" xfId="833"/>
    <cellStyle name="40% - Акцент6 20" xfId="834"/>
    <cellStyle name="40% - Акцент6 21" xfId="835"/>
    <cellStyle name="40% - Акцент6 22" xfId="836"/>
    <cellStyle name="40% - Акцент6 23" xfId="837"/>
    <cellStyle name="40% - Акцент6 24" xfId="838"/>
    <cellStyle name="40% - Акцент6 3" xfId="839"/>
    <cellStyle name="40% - Акцент6 3 2" xfId="840"/>
    <cellStyle name="40% - Акцент6 3 3" xfId="841"/>
    <cellStyle name="40% - Акцент6 3 4" xfId="842"/>
    <cellStyle name="40% - Акцент6 3 5" xfId="843"/>
    <cellStyle name="40% - Акцент6 3 6" xfId="844"/>
    <cellStyle name="40% - Акцент6 3_Приложения к 571" xfId="845"/>
    <cellStyle name="40% - Акцент6 4" xfId="846"/>
    <cellStyle name="40% - Акцент6 5" xfId="847"/>
    <cellStyle name="40% - Акцент6 6" xfId="848"/>
    <cellStyle name="40% - Акцент6 7" xfId="849"/>
    <cellStyle name="40% - Акцент6 8" xfId="850"/>
    <cellStyle name="40% - Акцент6 9" xfId="851"/>
    <cellStyle name="60% - Accent1" xfId="852"/>
    <cellStyle name="60% - Accent2" xfId="853"/>
    <cellStyle name="60% - Accent3" xfId="854"/>
    <cellStyle name="60% - Accent4" xfId="855"/>
    <cellStyle name="60% - Accent5" xfId="856"/>
    <cellStyle name="60% - Accent6" xfId="857"/>
    <cellStyle name="60% - Акцент1 10" xfId="858"/>
    <cellStyle name="60% - Акцент1 11" xfId="859"/>
    <cellStyle name="60% - Акцент1 12" xfId="860"/>
    <cellStyle name="60% - Акцент1 13" xfId="861"/>
    <cellStyle name="60% - Акцент1 14" xfId="862"/>
    <cellStyle name="60% - Акцент1 15" xfId="863"/>
    <cellStyle name="60% - Акцент1 16" xfId="864"/>
    <cellStyle name="60% - Акцент1 17" xfId="865"/>
    <cellStyle name="60% - Акцент1 18" xfId="866"/>
    <cellStyle name="60% - Акцент1 19" xfId="867"/>
    <cellStyle name="60% - Акцент1 2" xfId="868"/>
    <cellStyle name="60% - Акцент1 2 2" xfId="869"/>
    <cellStyle name="60% - Акцент1 2 3" xfId="870"/>
    <cellStyle name="60% - Акцент1 2 4" xfId="871"/>
    <cellStyle name="60% - Акцент1 2 5" xfId="872"/>
    <cellStyle name="60% - Акцент1 2 6" xfId="873"/>
    <cellStyle name="60% - Акцент1 20" xfId="874"/>
    <cellStyle name="60% - Акцент1 21" xfId="875"/>
    <cellStyle name="60% - Акцент1 22" xfId="876"/>
    <cellStyle name="60% - Акцент1 23" xfId="877"/>
    <cellStyle name="60% - Акцент1 24" xfId="878"/>
    <cellStyle name="60% - Акцент1 3" xfId="879"/>
    <cellStyle name="60% - Акцент1 3 2" xfId="880"/>
    <cellStyle name="60% - Акцент1 3 3" xfId="881"/>
    <cellStyle name="60% - Акцент1 3 4" xfId="882"/>
    <cellStyle name="60% - Акцент1 3 5" xfId="883"/>
    <cellStyle name="60% - Акцент1 3 6" xfId="884"/>
    <cellStyle name="60% - Акцент1 4" xfId="885"/>
    <cellStyle name="60% - Акцент1 5" xfId="886"/>
    <cellStyle name="60% - Акцент1 6" xfId="887"/>
    <cellStyle name="60% - Акцент1 7" xfId="888"/>
    <cellStyle name="60% - Акцент1 8" xfId="889"/>
    <cellStyle name="60% - Акцент1 9" xfId="890"/>
    <cellStyle name="60% - Акцент2 10" xfId="891"/>
    <cellStyle name="60% - Акцент2 11" xfId="892"/>
    <cellStyle name="60% - Акцент2 12" xfId="893"/>
    <cellStyle name="60% - Акцент2 13" xfId="894"/>
    <cellStyle name="60% - Акцент2 14" xfId="895"/>
    <cellStyle name="60% - Акцент2 15" xfId="896"/>
    <cellStyle name="60% - Акцент2 16" xfId="897"/>
    <cellStyle name="60% - Акцент2 17" xfId="898"/>
    <cellStyle name="60% - Акцент2 18" xfId="899"/>
    <cellStyle name="60% - Акцент2 19" xfId="900"/>
    <cellStyle name="60% - Акцент2 2" xfId="901"/>
    <cellStyle name="60% - Акцент2 2 2" xfId="902"/>
    <cellStyle name="60% - Акцент2 2 3" xfId="903"/>
    <cellStyle name="60% - Акцент2 2 4" xfId="904"/>
    <cellStyle name="60% - Акцент2 2 5" xfId="905"/>
    <cellStyle name="60% - Акцент2 2 6" xfId="906"/>
    <cellStyle name="60% - Акцент2 20" xfId="907"/>
    <cellStyle name="60% - Акцент2 21" xfId="908"/>
    <cellStyle name="60% - Акцент2 22" xfId="909"/>
    <cellStyle name="60% - Акцент2 23" xfId="910"/>
    <cellStyle name="60% - Акцент2 24" xfId="911"/>
    <cellStyle name="60% - Акцент2 3" xfId="912"/>
    <cellStyle name="60% - Акцент2 3 2" xfId="913"/>
    <cellStyle name="60% - Акцент2 3 3" xfId="914"/>
    <cellStyle name="60% - Акцент2 3 4" xfId="915"/>
    <cellStyle name="60% - Акцент2 3 5" xfId="916"/>
    <cellStyle name="60% - Акцент2 3 6" xfId="917"/>
    <cellStyle name="60% - Акцент2 4" xfId="918"/>
    <cellStyle name="60% - Акцент2 5" xfId="919"/>
    <cellStyle name="60% - Акцент2 6" xfId="920"/>
    <cellStyle name="60% - Акцент2 7" xfId="921"/>
    <cellStyle name="60% - Акцент2 8" xfId="922"/>
    <cellStyle name="60% - Акцент2 9" xfId="923"/>
    <cellStyle name="60% - Акцент3 10" xfId="924"/>
    <cellStyle name="60% - Акцент3 11" xfId="925"/>
    <cellStyle name="60% - Акцент3 12" xfId="926"/>
    <cellStyle name="60% - Акцент3 13" xfId="927"/>
    <cellStyle name="60% - Акцент3 14" xfId="928"/>
    <cellStyle name="60% - Акцент3 15" xfId="929"/>
    <cellStyle name="60% - Акцент3 16" xfId="930"/>
    <cellStyle name="60% - Акцент3 17" xfId="931"/>
    <cellStyle name="60% - Акцент3 18" xfId="932"/>
    <cellStyle name="60% - Акцент3 19" xfId="933"/>
    <cellStyle name="60% - Акцент3 2" xfId="934"/>
    <cellStyle name="60% - Акцент3 2 2" xfId="935"/>
    <cellStyle name="60% - Акцент3 2 3" xfId="936"/>
    <cellStyle name="60% - Акцент3 2 4" xfId="937"/>
    <cellStyle name="60% - Акцент3 2 5" xfId="938"/>
    <cellStyle name="60% - Акцент3 2 6" xfId="939"/>
    <cellStyle name="60% - Акцент3 20" xfId="940"/>
    <cellStyle name="60% - Акцент3 21" xfId="941"/>
    <cellStyle name="60% - Акцент3 22" xfId="942"/>
    <cellStyle name="60% - Акцент3 23" xfId="943"/>
    <cellStyle name="60% - Акцент3 24" xfId="944"/>
    <cellStyle name="60% - Акцент3 3" xfId="945"/>
    <cellStyle name="60% - Акцент3 3 2" xfId="946"/>
    <cellStyle name="60% - Акцент3 3 3" xfId="947"/>
    <cellStyle name="60% - Акцент3 3 4" xfId="948"/>
    <cellStyle name="60% - Акцент3 3 5" xfId="949"/>
    <cellStyle name="60% - Акцент3 3 6" xfId="950"/>
    <cellStyle name="60% - Акцент3 4" xfId="951"/>
    <cellStyle name="60% - Акцент3 5" xfId="952"/>
    <cellStyle name="60% - Акцент3 6" xfId="953"/>
    <cellStyle name="60% - Акцент3 7" xfId="954"/>
    <cellStyle name="60% - Акцент3 8" xfId="955"/>
    <cellStyle name="60% - Акцент3 9" xfId="956"/>
    <cellStyle name="60% - Акцент4 10" xfId="957"/>
    <cellStyle name="60% - Акцент4 11" xfId="958"/>
    <cellStyle name="60% - Акцент4 12" xfId="959"/>
    <cellStyle name="60% - Акцент4 13" xfId="960"/>
    <cellStyle name="60% - Акцент4 14" xfId="961"/>
    <cellStyle name="60% - Акцент4 15" xfId="962"/>
    <cellStyle name="60% - Акцент4 16" xfId="963"/>
    <cellStyle name="60% - Акцент4 17" xfId="964"/>
    <cellStyle name="60% - Акцент4 18" xfId="965"/>
    <cellStyle name="60% - Акцент4 19" xfId="966"/>
    <cellStyle name="60% - Акцент4 2" xfId="967"/>
    <cellStyle name="60% - Акцент4 2 2" xfId="968"/>
    <cellStyle name="60% - Акцент4 2 3" xfId="969"/>
    <cellStyle name="60% - Акцент4 2 4" xfId="970"/>
    <cellStyle name="60% - Акцент4 2 5" xfId="971"/>
    <cellStyle name="60% - Акцент4 2 6" xfId="972"/>
    <cellStyle name="60% - Акцент4 20" xfId="973"/>
    <cellStyle name="60% - Акцент4 21" xfId="974"/>
    <cellStyle name="60% - Акцент4 22" xfId="975"/>
    <cellStyle name="60% - Акцент4 23" xfId="976"/>
    <cellStyle name="60% - Акцент4 24" xfId="977"/>
    <cellStyle name="60% - Акцент4 3" xfId="978"/>
    <cellStyle name="60% - Акцент4 3 2" xfId="979"/>
    <cellStyle name="60% - Акцент4 3 3" xfId="980"/>
    <cellStyle name="60% - Акцент4 3 4" xfId="981"/>
    <cellStyle name="60% - Акцент4 3 5" xfId="982"/>
    <cellStyle name="60% - Акцент4 3 6" xfId="983"/>
    <cellStyle name="60% - Акцент4 4" xfId="984"/>
    <cellStyle name="60% - Акцент4 5" xfId="985"/>
    <cellStyle name="60% - Акцент4 6" xfId="986"/>
    <cellStyle name="60% - Акцент4 7" xfId="987"/>
    <cellStyle name="60% - Акцент4 8" xfId="988"/>
    <cellStyle name="60% - Акцент4 9" xfId="989"/>
    <cellStyle name="60% - Акцент5 10" xfId="990"/>
    <cellStyle name="60% - Акцент5 11" xfId="991"/>
    <cellStyle name="60% - Акцент5 12" xfId="992"/>
    <cellStyle name="60% - Акцент5 13" xfId="993"/>
    <cellStyle name="60% - Акцент5 14" xfId="994"/>
    <cellStyle name="60% - Акцент5 15" xfId="995"/>
    <cellStyle name="60% - Акцент5 16" xfId="996"/>
    <cellStyle name="60% - Акцент5 17" xfId="997"/>
    <cellStyle name="60% - Акцент5 18" xfId="998"/>
    <cellStyle name="60% - Акцент5 19" xfId="999"/>
    <cellStyle name="60% - Акцент5 2" xfId="1000"/>
    <cellStyle name="60% - Акцент5 2 2" xfId="1001"/>
    <cellStyle name="60% - Акцент5 2 3" xfId="1002"/>
    <cellStyle name="60% - Акцент5 2 4" xfId="1003"/>
    <cellStyle name="60% - Акцент5 2 5" xfId="1004"/>
    <cellStyle name="60% - Акцент5 2 6" xfId="1005"/>
    <cellStyle name="60% - Акцент5 20" xfId="1006"/>
    <cellStyle name="60% - Акцент5 21" xfId="1007"/>
    <cellStyle name="60% - Акцент5 22" xfId="1008"/>
    <cellStyle name="60% - Акцент5 23" xfId="1009"/>
    <cellStyle name="60% - Акцент5 24" xfId="1010"/>
    <cellStyle name="60% - Акцент5 3" xfId="1011"/>
    <cellStyle name="60% - Акцент5 3 2" xfId="1012"/>
    <cellStyle name="60% - Акцент5 3 3" xfId="1013"/>
    <cellStyle name="60% - Акцент5 3 4" xfId="1014"/>
    <cellStyle name="60% - Акцент5 3 5" xfId="1015"/>
    <cellStyle name="60% - Акцент5 3 6" xfId="1016"/>
    <cellStyle name="60% - Акцент5 4" xfId="1017"/>
    <cellStyle name="60% - Акцент5 5" xfId="1018"/>
    <cellStyle name="60% - Акцент5 6" xfId="1019"/>
    <cellStyle name="60% - Акцент5 7" xfId="1020"/>
    <cellStyle name="60% - Акцент5 8" xfId="1021"/>
    <cellStyle name="60% - Акцент5 9" xfId="1022"/>
    <cellStyle name="60% - Акцент6 10" xfId="1023"/>
    <cellStyle name="60% - Акцент6 11" xfId="1024"/>
    <cellStyle name="60% - Акцент6 12" xfId="1025"/>
    <cellStyle name="60% - Акцент6 13" xfId="1026"/>
    <cellStyle name="60% - Акцент6 14" xfId="1027"/>
    <cellStyle name="60% - Акцент6 15" xfId="1028"/>
    <cellStyle name="60% - Акцент6 16" xfId="1029"/>
    <cellStyle name="60% - Акцент6 17" xfId="1030"/>
    <cellStyle name="60% - Акцент6 18" xfId="1031"/>
    <cellStyle name="60% - Акцент6 19" xfId="1032"/>
    <cellStyle name="60% - Акцент6 2" xfId="1033"/>
    <cellStyle name="60% - Акцент6 2 2" xfId="1034"/>
    <cellStyle name="60% - Акцент6 2 3" xfId="1035"/>
    <cellStyle name="60% - Акцент6 2 4" xfId="1036"/>
    <cellStyle name="60% - Акцент6 2 5" xfId="1037"/>
    <cellStyle name="60% - Акцент6 2 6" xfId="1038"/>
    <cellStyle name="60% - Акцент6 20" xfId="1039"/>
    <cellStyle name="60% - Акцент6 21" xfId="1040"/>
    <cellStyle name="60% - Акцент6 22" xfId="1041"/>
    <cellStyle name="60% - Акцент6 23" xfId="1042"/>
    <cellStyle name="60% - Акцент6 24" xfId="1043"/>
    <cellStyle name="60% - Акцент6 3" xfId="1044"/>
    <cellStyle name="60% - Акцент6 3 2" xfId="1045"/>
    <cellStyle name="60% - Акцент6 3 3" xfId="1046"/>
    <cellStyle name="60% - Акцент6 3 4" xfId="1047"/>
    <cellStyle name="60% - Акцент6 3 5" xfId="1048"/>
    <cellStyle name="60% - Акцент6 3 6" xfId="1049"/>
    <cellStyle name="60% - Акцент6 4" xfId="1050"/>
    <cellStyle name="60% - Акцент6 5" xfId="1051"/>
    <cellStyle name="60% - Акцент6 6" xfId="1052"/>
    <cellStyle name="60% - Акцент6 7" xfId="1053"/>
    <cellStyle name="60% - Акцент6 8" xfId="1054"/>
    <cellStyle name="60% - Акцент6 9" xfId="1055"/>
    <cellStyle name="Accent1" xfId="1056"/>
    <cellStyle name="Accent2" xfId="1057"/>
    <cellStyle name="Accent3" xfId="1058"/>
    <cellStyle name="Accent4" xfId="1059"/>
    <cellStyle name="Accent5" xfId="1060"/>
    <cellStyle name="Accent6" xfId="1061"/>
    <cellStyle name="Bad" xfId="1062"/>
    <cellStyle name="Calculation" xfId="1063"/>
    <cellStyle name="Check Cell" xfId="1064"/>
    <cellStyle name="Explanatory Text" xfId="1065"/>
    <cellStyle name="Good" xfId="1066"/>
    <cellStyle name="Heading 1" xfId="1067"/>
    <cellStyle name="Heading 2" xfId="1068"/>
    <cellStyle name="Heading 3" xfId="1069"/>
    <cellStyle name="Heading 4" xfId="1070"/>
    <cellStyle name="Input" xfId="1071"/>
    <cellStyle name="Linked Cell" xfId="1072"/>
    <cellStyle name="Neutral" xfId="1073"/>
    <cellStyle name="normal" xfId="1074"/>
    <cellStyle name="Note" xfId="1075"/>
    <cellStyle name="Output" xfId="1076"/>
    <cellStyle name="S0" xfId="8"/>
    <cellStyle name="S0 10" xfId="131"/>
    <cellStyle name="S0 11" xfId="1077"/>
    <cellStyle name="S0 2" xfId="9"/>
    <cellStyle name="S0 2 2" xfId="5"/>
    <cellStyle name="S0 2 2 2" xfId="70"/>
    <cellStyle name="S0 2 3" xfId="71"/>
    <cellStyle name="S0 2_Сметы 1 этап" xfId="16"/>
    <cellStyle name="S0 3" xfId="17"/>
    <cellStyle name="S0 3 2" xfId="72"/>
    <cellStyle name="S0 4" xfId="18"/>
    <cellStyle name="S0 4 2" xfId="73"/>
    <cellStyle name="S0 5" xfId="7"/>
    <cellStyle name="S0 6" xfId="85"/>
    <cellStyle name="S0 7" xfId="112"/>
    <cellStyle name="S0 7 2" xfId="161"/>
    <cellStyle name="S0 8" xfId="116"/>
    <cellStyle name="S0 8 2" xfId="162"/>
    <cellStyle name="S0 9" xfId="130"/>
    <cellStyle name="S0_Сметы 1 этап" xfId="19"/>
    <cellStyle name="S1" xfId="10"/>
    <cellStyle name="S1 2" xfId="20"/>
    <cellStyle name="S1 3" xfId="21"/>
    <cellStyle name="S1 3 2" xfId="74"/>
    <cellStyle name="S1 4" xfId="22"/>
    <cellStyle name="S1 4 2" xfId="75"/>
    <cellStyle name="S1 5" xfId="76"/>
    <cellStyle name="S1 6" xfId="86"/>
    <cellStyle name="S1_Сметы 1 этап" xfId="23"/>
    <cellStyle name="S10" xfId="24"/>
    <cellStyle name="S10 2" xfId="25"/>
    <cellStyle name="S10 3" xfId="26"/>
    <cellStyle name="S10 4" xfId="77"/>
    <cellStyle name="S10 5" xfId="95"/>
    <cellStyle name="S10 6" xfId="142"/>
    <cellStyle name="S10_Сметы 1 этап" xfId="27"/>
    <cellStyle name="S11" xfId="28"/>
    <cellStyle name="S11 2" xfId="29"/>
    <cellStyle name="S11 3" xfId="96"/>
    <cellStyle name="S11 4" xfId="144"/>
    <cellStyle name="S12" xfId="30"/>
    <cellStyle name="S12 2" xfId="31"/>
    <cellStyle name="S12 3" xfId="97"/>
    <cellStyle name="S12 4" xfId="106"/>
    <cellStyle name="S13" xfId="32"/>
    <cellStyle name="S13 2" xfId="105"/>
    <cellStyle name="S13 3" xfId="145"/>
    <cellStyle name="S13 3 2" xfId="163"/>
    <cellStyle name="S13 4" xfId="1078"/>
    <cellStyle name="S14" xfId="33"/>
    <cellStyle name="S14 2" xfId="103"/>
    <cellStyle name="S14 3" xfId="164"/>
    <cellStyle name="S14 4" xfId="1079"/>
    <cellStyle name="S15" xfId="34"/>
    <cellStyle name="S15 2" xfId="104"/>
    <cellStyle name="S15 3" xfId="1080"/>
    <cellStyle name="S16" xfId="35"/>
    <cellStyle name="S16 2" xfId="1081"/>
    <cellStyle name="S17" xfId="36"/>
    <cellStyle name="S17 2" xfId="1082"/>
    <cellStyle name="S18" xfId="37"/>
    <cellStyle name="S18 2" xfId="1083"/>
    <cellStyle name="S19" xfId="38"/>
    <cellStyle name="S19 2" xfId="1084"/>
    <cellStyle name="S2" xfId="11"/>
    <cellStyle name="S2 2" xfId="39"/>
    <cellStyle name="S2 3" xfId="40"/>
    <cellStyle name="S2 3 2" xfId="78"/>
    <cellStyle name="S2 4" xfId="6"/>
    <cellStyle name="S2 4 2" xfId="79"/>
    <cellStyle name="S2 5" xfId="41"/>
    <cellStyle name="S2 5 2" xfId="1086"/>
    <cellStyle name="S2 5 3" xfId="1085"/>
    <cellStyle name="S2 6" xfId="87"/>
    <cellStyle name="S2 7" xfId="135"/>
    <cellStyle name="S2_Сметы 1 этап" xfId="42"/>
    <cellStyle name="S20" xfId="43"/>
    <cellStyle name="S20 2" xfId="1087"/>
    <cellStyle name="S21" xfId="44"/>
    <cellStyle name="S21 2" xfId="1088"/>
    <cellStyle name="S22" xfId="45"/>
    <cellStyle name="S3" xfId="46"/>
    <cellStyle name="S3 2" xfId="88"/>
    <cellStyle name="S3 2 2" xfId="113"/>
    <cellStyle name="S3 3" xfId="109"/>
    <cellStyle name="S3 4" xfId="136"/>
    <cellStyle name="S4" xfId="47"/>
    <cellStyle name="S4 2" xfId="48"/>
    <cellStyle name="S4 3" xfId="89"/>
    <cellStyle name="S4 4" xfId="108"/>
    <cellStyle name="S4 5" xfId="137"/>
    <cellStyle name="S5" xfId="49"/>
    <cellStyle name="S5 2" xfId="50"/>
    <cellStyle name="S5 3" xfId="90"/>
    <cellStyle name="S5 4" xfId="107"/>
    <cellStyle name="S5 5" xfId="138"/>
    <cellStyle name="S6" xfId="51"/>
    <cellStyle name="S6 2" xfId="52"/>
    <cellStyle name="S6 3" xfId="91"/>
    <cellStyle name="S6 4" xfId="102"/>
    <cellStyle name="S6 5" xfId="139"/>
    <cellStyle name="S7" xfId="53"/>
    <cellStyle name="S7 2" xfId="54"/>
    <cellStyle name="S7 3" xfId="92"/>
    <cellStyle name="S7 4" xfId="140"/>
    <cellStyle name="S8" xfId="55"/>
    <cellStyle name="S8 2" xfId="56"/>
    <cellStyle name="S8 3" xfId="93"/>
    <cellStyle name="S8 4" xfId="141"/>
    <cellStyle name="S9" xfId="57"/>
    <cellStyle name="S9 2" xfId="58"/>
    <cellStyle name="S9 3" xfId="59"/>
    <cellStyle name="S9 4" xfId="80"/>
    <cellStyle name="S9 5" xfId="94"/>
    <cellStyle name="S9 6" xfId="143"/>
    <cellStyle name="S9_Сметы 1 этап" xfId="60"/>
    <cellStyle name="Title" xfId="1089"/>
    <cellStyle name="Total" xfId="1090"/>
    <cellStyle name="Warning Text" xfId="1091"/>
    <cellStyle name="Акцент1 10" xfId="1092"/>
    <cellStyle name="Акцент1 11" xfId="1093"/>
    <cellStyle name="Акцент1 12" xfId="1094"/>
    <cellStyle name="Акцент1 13" xfId="1095"/>
    <cellStyle name="Акцент1 14" xfId="1096"/>
    <cellStyle name="Акцент1 15" xfId="1097"/>
    <cellStyle name="Акцент1 16" xfId="1098"/>
    <cellStyle name="Акцент1 17" xfId="1099"/>
    <cellStyle name="Акцент1 18" xfId="1100"/>
    <cellStyle name="Акцент1 19" xfId="1101"/>
    <cellStyle name="Акцент1 2" xfId="1102"/>
    <cellStyle name="Акцент1 2 2" xfId="1103"/>
    <cellStyle name="Акцент1 2 3" xfId="1104"/>
    <cellStyle name="Акцент1 2 4" xfId="1105"/>
    <cellStyle name="Акцент1 2 5" xfId="1106"/>
    <cellStyle name="Акцент1 2 6" xfId="1107"/>
    <cellStyle name="Акцент1 20" xfId="1108"/>
    <cellStyle name="Акцент1 21" xfId="1109"/>
    <cellStyle name="Акцент1 22" xfId="1110"/>
    <cellStyle name="Акцент1 23" xfId="1111"/>
    <cellStyle name="Акцент1 24" xfId="1112"/>
    <cellStyle name="Акцент1 3" xfId="1113"/>
    <cellStyle name="Акцент1 3 2" xfId="1114"/>
    <cellStyle name="Акцент1 3 3" xfId="1115"/>
    <cellStyle name="Акцент1 3 4" xfId="1116"/>
    <cellStyle name="Акцент1 3 5" xfId="1117"/>
    <cellStyle name="Акцент1 3 6" xfId="1118"/>
    <cellStyle name="Акцент1 4" xfId="1119"/>
    <cellStyle name="Акцент1 5" xfId="1120"/>
    <cellStyle name="Акцент1 6" xfId="1121"/>
    <cellStyle name="Акцент1 7" xfId="1122"/>
    <cellStyle name="Акцент1 8" xfId="1123"/>
    <cellStyle name="Акцент1 9" xfId="1124"/>
    <cellStyle name="Акцент2 10" xfId="1125"/>
    <cellStyle name="Акцент2 11" xfId="1126"/>
    <cellStyle name="Акцент2 12" xfId="1127"/>
    <cellStyle name="Акцент2 13" xfId="1128"/>
    <cellStyle name="Акцент2 14" xfId="1129"/>
    <cellStyle name="Акцент2 15" xfId="1130"/>
    <cellStyle name="Акцент2 16" xfId="1131"/>
    <cellStyle name="Акцент2 17" xfId="1132"/>
    <cellStyle name="Акцент2 18" xfId="1133"/>
    <cellStyle name="Акцент2 19" xfId="1134"/>
    <cellStyle name="Акцент2 2" xfId="1135"/>
    <cellStyle name="Акцент2 2 2" xfId="1136"/>
    <cellStyle name="Акцент2 2 3" xfId="1137"/>
    <cellStyle name="Акцент2 2 4" xfId="1138"/>
    <cellStyle name="Акцент2 2 5" xfId="1139"/>
    <cellStyle name="Акцент2 2 6" xfId="1140"/>
    <cellStyle name="Акцент2 20" xfId="1141"/>
    <cellStyle name="Акцент2 21" xfId="1142"/>
    <cellStyle name="Акцент2 22" xfId="1143"/>
    <cellStyle name="Акцент2 23" xfId="1144"/>
    <cellStyle name="Акцент2 24" xfId="1145"/>
    <cellStyle name="Акцент2 3" xfId="1146"/>
    <cellStyle name="Акцент2 3 2" xfId="1147"/>
    <cellStyle name="Акцент2 3 3" xfId="1148"/>
    <cellStyle name="Акцент2 3 4" xfId="1149"/>
    <cellStyle name="Акцент2 3 5" xfId="1150"/>
    <cellStyle name="Акцент2 3 6" xfId="1151"/>
    <cellStyle name="Акцент2 4" xfId="1152"/>
    <cellStyle name="Акцент2 5" xfId="1153"/>
    <cellStyle name="Акцент2 6" xfId="1154"/>
    <cellStyle name="Акцент2 7" xfId="1155"/>
    <cellStyle name="Акцент2 8" xfId="1156"/>
    <cellStyle name="Акцент2 9" xfId="1157"/>
    <cellStyle name="Акцент3 10" xfId="1158"/>
    <cellStyle name="Акцент3 11" xfId="1159"/>
    <cellStyle name="Акцент3 12" xfId="1160"/>
    <cellStyle name="Акцент3 13" xfId="1161"/>
    <cellStyle name="Акцент3 14" xfId="1162"/>
    <cellStyle name="Акцент3 15" xfId="1163"/>
    <cellStyle name="Акцент3 16" xfId="1164"/>
    <cellStyle name="Акцент3 17" xfId="1165"/>
    <cellStyle name="Акцент3 18" xfId="1166"/>
    <cellStyle name="Акцент3 19" xfId="1167"/>
    <cellStyle name="Акцент3 2" xfId="1168"/>
    <cellStyle name="Акцент3 2 2" xfId="1169"/>
    <cellStyle name="Акцент3 2 3" xfId="1170"/>
    <cellStyle name="Акцент3 2 4" xfId="1171"/>
    <cellStyle name="Акцент3 2 5" xfId="1172"/>
    <cellStyle name="Акцент3 2 6" xfId="1173"/>
    <cellStyle name="Акцент3 20" xfId="1174"/>
    <cellStyle name="Акцент3 21" xfId="1175"/>
    <cellStyle name="Акцент3 22" xfId="1176"/>
    <cellStyle name="Акцент3 23" xfId="1177"/>
    <cellStyle name="Акцент3 24" xfId="1178"/>
    <cellStyle name="Акцент3 3" xfId="1179"/>
    <cellStyle name="Акцент3 3 2" xfId="1180"/>
    <cellStyle name="Акцент3 3 3" xfId="1181"/>
    <cellStyle name="Акцент3 3 4" xfId="1182"/>
    <cellStyle name="Акцент3 3 5" xfId="1183"/>
    <cellStyle name="Акцент3 3 6" xfId="1184"/>
    <cellStyle name="Акцент3 4" xfId="1185"/>
    <cellStyle name="Акцент3 5" xfId="1186"/>
    <cellStyle name="Акцент3 6" xfId="1187"/>
    <cellStyle name="Акцент3 7" xfId="1188"/>
    <cellStyle name="Акцент3 8" xfId="1189"/>
    <cellStyle name="Акцент3 9" xfId="1190"/>
    <cellStyle name="Акцент4 10" xfId="1191"/>
    <cellStyle name="Акцент4 11" xfId="1192"/>
    <cellStyle name="Акцент4 12" xfId="1193"/>
    <cellStyle name="Акцент4 13" xfId="1194"/>
    <cellStyle name="Акцент4 14" xfId="1195"/>
    <cellStyle name="Акцент4 15" xfId="1196"/>
    <cellStyle name="Акцент4 16" xfId="1197"/>
    <cellStyle name="Акцент4 17" xfId="1198"/>
    <cellStyle name="Акцент4 18" xfId="1199"/>
    <cellStyle name="Акцент4 19" xfId="1200"/>
    <cellStyle name="Акцент4 2" xfId="1201"/>
    <cellStyle name="Акцент4 2 2" xfId="1202"/>
    <cellStyle name="Акцент4 2 3" xfId="1203"/>
    <cellStyle name="Акцент4 2 4" xfId="1204"/>
    <cellStyle name="Акцент4 2 5" xfId="1205"/>
    <cellStyle name="Акцент4 2 6" xfId="1206"/>
    <cellStyle name="Акцент4 20" xfId="1207"/>
    <cellStyle name="Акцент4 21" xfId="1208"/>
    <cellStyle name="Акцент4 22" xfId="1209"/>
    <cellStyle name="Акцент4 23" xfId="1210"/>
    <cellStyle name="Акцент4 24" xfId="1211"/>
    <cellStyle name="Акцент4 3" xfId="1212"/>
    <cellStyle name="Акцент4 3 2" xfId="1213"/>
    <cellStyle name="Акцент4 3 3" xfId="1214"/>
    <cellStyle name="Акцент4 3 4" xfId="1215"/>
    <cellStyle name="Акцент4 3 5" xfId="1216"/>
    <cellStyle name="Акцент4 3 6" xfId="1217"/>
    <cellStyle name="Акцент4 4" xfId="1218"/>
    <cellStyle name="Акцент4 5" xfId="1219"/>
    <cellStyle name="Акцент4 6" xfId="1220"/>
    <cellStyle name="Акцент4 7" xfId="1221"/>
    <cellStyle name="Акцент4 8" xfId="1222"/>
    <cellStyle name="Акцент4 9" xfId="1223"/>
    <cellStyle name="Акцент5 10" xfId="1224"/>
    <cellStyle name="Акцент5 11" xfId="1225"/>
    <cellStyle name="Акцент5 12" xfId="1226"/>
    <cellStyle name="Акцент5 13" xfId="1227"/>
    <cellStyle name="Акцент5 14" xfId="1228"/>
    <cellStyle name="Акцент5 15" xfId="1229"/>
    <cellStyle name="Акцент5 16" xfId="1230"/>
    <cellStyle name="Акцент5 17" xfId="1231"/>
    <cellStyle name="Акцент5 18" xfId="1232"/>
    <cellStyle name="Акцент5 19" xfId="1233"/>
    <cellStyle name="Акцент5 2" xfId="1234"/>
    <cellStyle name="Акцент5 2 2" xfId="1235"/>
    <cellStyle name="Акцент5 2 3" xfId="1236"/>
    <cellStyle name="Акцент5 2 4" xfId="1237"/>
    <cellStyle name="Акцент5 2 5" xfId="1238"/>
    <cellStyle name="Акцент5 2 6" xfId="1239"/>
    <cellStyle name="Акцент5 20" xfId="1240"/>
    <cellStyle name="Акцент5 21" xfId="1241"/>
    <cellStyle name="Акцент5 22" xfId="1242"/>
    <cellStyle name="Акцент5 23" xfId="1243"/>
    <cellStyle name="Акцент5 24" xfId="1244"/>
    <cellStyle name="Акцент5 3" xfId="1245"/>
    <cellStyle name="Акцент5 3 2" xfId="1246"/>
    <cellStyle name="Акцент5 3 3" xfId="1247"/>
    <cellStyle name="Акцент5 3 4" xfId="1248"/>
    <cellStyle name="Акцент5 3 5" xfId="1249"/>
    <cellStyle name="Акцент5 3 6" xfId="1250"/>
    <cellStyle name="Акцент5 4" xfId="1251"/>
    <cellStyle name="Акцент5 5" xfId="1252"/>
    <cellStyle name="Акцент5 6" xfId="1253"/>
    <cellStyle name="Акцент5 7" xfId="1254"/>
    <cellStyle name="Акцент5 8" xfId="1255"/>
    <cellStyle name="Акцент5 9" xfId="1256"/>
    <cellStyle name="Акцент6 10" xfId="1257"/>
    <cellStyle name="Акцент6 11" xfId="1258"/>
    <cellStyle name="Акцент6 12" xfId="1259"/>
    <cellStyle name="Акцент6 13" xfId="1260"/>
    <cellStyle name="Акцент6 14" xfId="1261"/>
    <cellStyle name="Акцент6 15" xfId="1262"/>
    <cellStyle name="Акцент6 16" xfId="1263"/>
    <cellStyle name="Акцент6 17" xfId="1264"/>
    <cellStyle name="Акцент6 18" xfId="1265"/>
    <cellStyle name="Акцент6 19" xfId="1266"/>
    <cellStyle name="Акцент6 2" xfId="1267"/>
    <cellStyle name="Акцент6 2 2" xfId="1268"/>
    <cellStyle name="Акцент6 2 3" xfId="1269"/>
    <cellStyle name="Акцент6 2 4" xfId="1270"/>
    <cellStyle name="Акцент6 2 5" xfId="1271"/>
    <cellStyle name="Акцент6 2 6" xfId="1272"/>
    <cellStyle name="Акцент6 20" xfId="1273"/>
    <cellStyle name="Акцент6 21" xfId="1274"/>
    <cellStyle name="Акцент6 22" xfId="1275"/>
    <cellStyle name="Акцент6 23" xfId="1276"/>
    <cellStyle name="Акцент6 24" xfId="1277"/>
    <cellStyle name="Акцент6 3" xfId="1278"/>
    <cellStyle name="Акцент6 3 2" xfId="1279"/>
    <cellStyle name="Акцент6 3 3" xfId="1280"/>
    <cellStyle name="Акцент6 3 4" xfId="1281"/>
    <cellStyle name="Акцент6 3 5" xfId="1282"/>
    <cellStyle name="Акцент6 3 6" xfId="1283"/>
    <cellStyle name="Акцент6 4" xfId="1284"/>
    <cellStyle name="Акцент6 5" xfId="1285"/>
    <cellStyle name="Акцент6 6" xfId="1286"/>
    <cellStyle name="Акцент6 7" xfId="1287"/>
    <cellStyle name="Акцент6 8" xfId="1288"/>
    <cellStyle name="Акцент6 9" xfId="1289"/>
    <cellStyle name="Ввод  10" xfId="1290"/>
    <cellStyle name="Ввод  11" xfId="1291"/>
    <cellStyle name="Ввод  12" xfId="1292"/>
    <cellStyle name="Ввод  13" xfId="1293"/>
    <cellStyle name="Ввод  14" xfId="1294"/>
    <cellStyle name="Ввод  15" xfId="1295"/>
    <cellStyle name="Ввод  16" xfId="1296"/>
    <cellStyle name="Ввод  17" xfId="1297"/>
    <cellStyle name="Ввод  18" xfId="1298"/>
    <cellStyle name="Ввод  19" xfId="1299"/>
    <cellStyle name="Ввод  2" xfId="1300"/>
    <cellStyle name="Ввод  2 2" xfId="1301"/>
    <cellStyle name="Ввод  2 3" xfId="1302"/>
    <cellStyle name="Ввод  2 4" xfId="1303"/>
    <cellStyle name="Ввод  2 5" xfId="1304"/>
    <cellStyle name="Ввод  2 6" xfId="1305"/>
    <cellStyle name="Ввод  20" xfId="1306"/>
    <cellStyle name="Ввод  21" xfId="1307"/>
    <cellStyle name="Ввод  22" xfId="1308"/>
    <cellStyle name="Ввод  23" xfId="1309"/>
    <cellStyle name="Ввод  24" xfId="1310"/>
    <cellStyle name="Ввод  3" xfId="1311"/>
    <cellStyle name="Ввод  3 2" xfId="1312"/>
    <cellStyle name="Ввод  3 3" xfId="1313"/>
    <cellStyle name="Ввод  3 4" xfId="1314"/>
    <cellStyle name="Ввод  3 5" xfId="1315"/>
    <cellStyle name="Ввод  3 6" xfId="1316"/>
    <cellStyle name="Ввод  4" xfId="1317"/>
    <cellStyle name="Ввод  5" xfId="1318"/>
    <cellStyle name="Ввод  6" xfId="1319"/>
    <cellStyle name="Ввод  7" xfId="1320"/>
    <cellStyle name="Ввод  8" xfId="1321"/>
    <cellStyle name="Ввод  9" xfId="1322"/>
    <cellStyle name="Вывод 10" xfId="1323"/>
    <cellStyle name="Вывод 11" xfId="1324"/>
    <cellStyle name="Вывод 12" xfId="1325"/>
    <cellStyle name="Вывод 13" xfId="1326"/>
    <cellStyle name="Вывод 14" xfId="1327"/>
    <cellStyle name="Вывод 15" xfId="1328"/>
    <cellStyle name="Вывод 16" xfId="1329"/>
    <cellStyle name="Вывод 17" xfId="1330"/>
    <cellStyle name="Вывод 18" xfId="1331"/>
    <cellStyle name="Вывод 19" xfId="1332"/>
    <cellStyle name="Вывод 2" xfId="1333"/>
    <cellStyle name="Вывод 2 2" xfId="1334"/>
    <cellStyle name="Вывод 2 3" xfId="1335"/>
    <cellStyle name="Вывод 2 4" xfId="1336"/>
    <cellStyle name="Вывод 2 5" xfId="1337"/>
    <cellStyle name="Вывод 2 6" xfId="1338"/>
    <cellStyle name="Вывод 20" xfId="1339"/>
    <cellStyle name="Вывод 21" xfId="1340"/>
    <cellStyle name="Вывод 22" xfId="1341"/>
    <cellStyle name="Вывод 23" xfId="1342"/>
    <cellStyle name="Вывод 24" xfId="1343"/>
    <cellStyle name="Вывод 3" xfId="1344"/>
    <cellStyle name="Вывод 3 2" xfId="1345"/>
    <cellStyle name="Вывод 3 3" xfId="1346"/>
    <cellStyle name="Вывод 3 4" xfId="1347"/>
    <cellStyle name="Вывод 3 5" xfId="1348"/>
    <cellStyle name="Вывод 3 6" xfId="1349"/>
    <cellStyle name="Вывод 4" xfId="1350"/>
    <cellStyle name="Вывод 5" xfId="1351"/>
    <cellStyle name="Вывод 6" xfId="1352"/>
    <cellStyle name="Вывод 7" xfId="1353"/>
    <cellStyle name="Вывод 8" xfId="1354"/>
    <cellStyle name="Вывод 9" xfId="1355"/>
    <cellStyle name="Вычисление 10" xfId="1356"/>
    <cellStyle name="Вычисление 11" xfId="1357"/>
    <cellStyle name="Вычисление 12" xfId="1358"/>
    <cellStyle name="Вычисление 13" xfId="1359"/>
    <cellStyle name="Вычисление 14" xfId="1360"/>
    <cellStyle name="Вычисление 15" xfId="1361"/>
    <cellStyle name="Вычисление 16" xfId="1362"/>
    <cellStyle name="Вычисление 17" xfId="1363"/>
    <cellStyle name="Вычисление 18" xfId="1364"/>
    <cellStyle name="Вычисление 19" xfId="1365"/>
    <cellStyle name="Вычисление 2" xfId="1366"/>
    <cellStyle name="Вычисление 2 2" xfId="1367"/>
    <cellStyle name="Вычисление 2 3" xfId="1368"/>
    <cellStyle name="Вычисление 2 4" xfId="1369"/>
    <cellStyle name="Вычисление 2 5" xfId="1370"/>
    <cellStyle name="Вычисление 2 6" xfId="1371"/>
    <cellStyle name="Вычисление 20" xfId="1372"/>
    <cellStyle name="Вычисление 21" xfId="1373"/>
    <cellStyle name="Вычисление 22" xfId="1374"/>
    <cellStyle name="Вычисление 23" xfId="1375"/>
    <cellStyle name="Вычисление 24" xfId="1376"/>
    <cellStyle name="Вычисление 3" xfId="1377"/>
    <cellStyle name="Вычисление 3 2" xfId="1378"/>
    <cellStyle name="Вычисление 3 3" xfId="1379"/>
    <cellStyle name="Вычисление 3 4" xfId="1380"/>
    <cellStyle name="Вычисление 3 5" xfId="1381"/>
    <cellStyle name="Вычисление 3 6" xfId="1382"/>
    <cellStyle name="Вычисление 4" xfId="1383"/>
    <cellStyle name="Вычисление 5" xfId="1384"/>
    <cellStyle name="Вычисление 6" xfId="1385"/>
    <cellStyle name="Вычисление 7" xfId="1386"/>
    <cellStyle name="Вычисление 8" xfId="1387"/>
    <cellStyle name="Вычисление 9" xfId="1388"/>
    <cellStyle name="Денежный [0] 10" xfId="1389"/>
    <cellStyle name="Денежный [0] 11" xfId="1390"/>
    <cellStyle name="Денежный [0] 12" xfId="1391"/>
    <cellStyle name="Денежный [0] 13" xfId="1392"/>
    <cellStyle name="Денежный [0] 14" xfId="1393"/>
    <cellStyle name="Денежный [0] 15" xfId="1394"/>
    <cellStyle name="Денежный [0] 16" xfId="1395"/>
    <cellStyle name="Денежный [0] 17" xfId="1396"/>
    <cellStyle name="Денежный [0] 18" xfId="1397"/>
    <cellStyle name="Денежный [0] 19" xfId="1398"/>
    <cellStyle name="Денежный [0] 2" xfId="1399"/>
    <cellStyle name="Денежный [0] 20" xfId="1400"/>
    <cellStyle name="Денежный [0] 21" xfId="1401"/>
    <cellStyle name="Денежный [0] 3" xfId="1402"/>
    <cellStyle name="Денежный [0] 4" xfId="1403"/>
    <cellStyle name="Денежный [0] 5" xfId="1404"/>
    <cellStyle name="Денежный [0] 6" xfId="1405"/>
    <cellStyle name="Денежный [0] 7" xfId="1406"/>
    <cellStyle name="Денежный [0] 8" xfId="1407"/>
    <cellStyle name="Денежный [0] 9" xfId="1408"/>
    <cellStyle name="Денежный 2" xfId="1409"/>
    <cellStyle name="Денежный 2 2" xfId="1924"/>
    <cellStyle name="Заголовок 1 10" xfId="1410"/>
    <cellStyle name="Заголовок 1 11" xfId="1411"/>
    <cellStyle name="Заголовок 1 12" xfId="1412"/>
    <cellStyle name="Заголовок 1 13" xfId="1413"/>
    <cellStyle name="Заголовок 1 14" xfId="1414"/>
    <cellStyle name="Заголовок 1 15" xfId="1415"/>
    <cellStyle name="Заголовок 1 16" xfId="1416"/>
    <cellStyle name="Заголовок 1 17" xfId="1417"/>
    <cellStyle name="Заголовок 1 18" xfId="1418"/>
    <cellStyle name="Заголовок 1 19" xfId="1419"/>
    <cellStyle name="Заголовок 1 2" xfId="1420"/>
    <cellStyle name="Заголовок 1 2 2" xfId="1421"/>
    <cellStyle name="Заголовок 1 2 3" xfId="1422"/>
    <cellStyle name="Заголовок 1 2 4" xfId="1423"/>
    <cellStyle name="Заголовок 1 2 5" xfId="1424"/>
    <cellStyle name="Заголовок 1 2 6" xfId="1425"/>
    <cellStyle name="Заголовок 1 20" xfId="1426"/>
    <cellStyle name="Заголовок 1 21" xfId="1427"/>
    <cellStyle name="Заголовок 1 22" xfId="1428"/>
    <cellStyle name="Заголовок 1 23" xfId="1429"/>
    <cellStyle name="Заголовок 1 24" xfId="1430"/>
    <cellStyle name="Заголовок 1 3" xfId="1431"/>
    <cellStyle name="Заголовок 1 3 2" xfId="1432"/>
    <cellStyle name="Заголовок 1 3 3" xfId="1433"/>
    <cellStyle name="Заголовок 1 3 4" xfId="1434"/>
    <cellStyle name="Заголовок 1 3 5" xfId="1435"/>
    <cellStyle name="Заголовок 1 3 6" xfId="1436"/>
    <cellStyle name="Заголовок 1 4" xfId="1437"/>
    <cellStyle name="Заголовок 1 5" xfId="1438"/>
    <cellStyle name="Заголовок 1 6" xfId="1439"/>
    <cellStyle name="Заголовок 1 7" xfId="1440"/>
    <cellStyle name="Заголовок 1 8" xfId="1441"/>
    <cellStyle name="Заголовок 1 9" xfId="1442"/>
    <cellStyle name="Заголовок 2 10" xfId="1443"/>
    <cellStyle name="Заголовок 2 11" xfId="1444"/>
    <cellStyle name="Заголовок 2 12" xfId="1445"/>
    <cellStyle name="Заголовок 2 13" xfId="1446"/>
    <cellStyle name="Заголовок 2 14" xfId="1447"/>
    <cellStyle name="Заголовок 2 15" xfId="1448"/>
    <cellStyle name="Заголовок 2 16" xfId="1449"/>
    <cellStyle name="Заголовок 2 17" xfId="1450"/>
    <cellStyle name="Заголовок 2 18" xfId="1451"/>
    <cellStyle name="Заголовок 2 19" xfId="1452"/>
    <cellStyle name="Заголовок 2 2" xfId="1453"/>
    <cellStyle name="Заголовок 2 2 2" xfId="1454"/>
    <cellStyle name="Заголовок 2 2 3" xfId="1455"/>
    <cellStyle name="Заголовок 2 2 4" xfId="1456"/>
    <cellStyle name="Заголовок 2 2 5" xfId="1457"/>
    <cellStyle name="Заголовок 2 2 6" xfId="1458"/>
    <cellStyle name="Заголовок 2 20" xfId="1459"/>
    <cellStyle name="Заголовок 2 21" xfId="1460"/>
    <cellStyle name="Заголовок 2 22" xfId="1461"/>
    <cellStyle name="Заголовок 2 23" xfId="1462"/>
    <cellStyle name="Заголовок 2 24" xfId="1463"/>
    <cellStyle name="Заголовок 2 3" xfId="1464"/>
    <cellStyle name="Заголовок 2 3 2" xfId="1465"/>
    <cellStyle name="Заголовок 2 3 3" xfId="1466"/>
    <cellStyle name="Заголовок 2 3 4" xfId="1467"/>
    <cellStyle name="Заголовок 2 3 5" xfId="1468"/>
    <cellStyle name="Заголовок 2 3 6" xfId="1469"/>
    <cellStyle name="Заголовок 2 4" xfId="1470"/>
    <cellStyle name="Заголовок 2 5" xfId="1471"/>
    <cellStyle name="Заголовок 2 6" xfId="1472"/>
    <cellStyle name="Заголовок 2 7" xfId="1473"/>
    <cellStyle name="Заголовок 2 8" xfId="1474"/>
    <cellStyle name="Заголовок 2 9" xfId="1475"/>
    <cellStyle name="Заголовок 3 10" xfId="1476"/>
    <cellStyle name="Заголовок 3 11" xfId="1477"/>
    <cellStyle name="Заголовок 3 12" xfId="1478"/>
    <cellStyle name="Заголовок 3 13" xfId="1479"/>
    <cellStyle name="Заголовок 3 14" xfId="1480"/>
    <cellStyle name="Заголовок 3 15" xfId="1481"/>
    <cellStyle name="Заголовок 3 16" xfId="1482"/>
    <cellStyle name="Заголовок 3 17" xfId="1483"/>
    <cellStyle name="Заголовок 3 18" xfId="1484"/>
    <cellStyle name="Заголовок 3 19" xfId="1485"/>
    <cellStyle name="Заголовок 3 2" xfId="1486"/>
    <cellStyle name="Заголовок 3 2 2" xfId="1487"/>
    <cellStyle name="Заголовок 3 2 3" xfId="1488"/>
    <cellStyle name="Заголовок 3 2 4" xfId="1489"/>
    <cellStyle name="Заголовок 3 2 5" xfId="1490"/>
    <cellStyle name="Заголовок 3 2 6" xfId="1491"/>
    <cellStyle name="Заголовок 3 20" xfId="1492"/>
    <cellStyle name="Заголовок 3 21" xfId="1493"/>
    <cellStyle name="Заголовок 3 22" xfId="1494"/>
    <cellStyle name="Заголовок 3 23" xfId="1495"/>
    <cellStyle name="Заголовок 3 24" xfId="1496"/>
    <cellStyle name="Заголовок 3 3" xfId="1497"/>
    <cellStyle name="Заголовок 3 3 2" xfId="1498"/>
    <cellStyle name="Заголовок 3 3 3" xfId="1499"/>
    <cellStyle name="Заголовок 3 3 4" xfId="1500"/>
    <cellStyle name="Заголовок 3 3 5" xfId="1501"/>
    <cellStyle name="Заголовок 3 3 6" xfId="1502"/>
    <cellStyle name="Заголовок 3 4" xfId="1503"/>
    <cellStyle name="Заголовок 3 5" xfId="1504"/>
    <cellStyle name="Заголовок 3 6" xfId="1505"/>
    <cellStyle name="Заголовок 3 7" xfId="1506"/>
    <cellStyle name="Заголовок 3 8" xfId="1507"/>
    <cellStyle name="Заголовок 3 9" xfId="1508"/>
    <cellStyle name="Заголовок 4 10" xfId="1509"/>
    <cellStyle name="Заголовок 4 11" xfId="1510"/>
    <cellStyle name="Заголовок 4 12" xfId="1511"/>
    <cellStyle name="Заголовок 4 13" xfId="1512"/>
    <cellStyle name="Заголовок 4 14" xfId="1513"/>
    <cellStyle name="Заголовок 4 15" xfId="1514"/>
    <cellStyle name="Заголовок 4 16" xfId="1515"/>
    <cellStyle name="Заголовок 4 17" xfId="1516"/>
    <cellStyle name="Заголовок 4 18" xfId="1517"/>
    <cellStyle name="Заголовок 4 19" xfId="1518"/>
    <cellStyle name="Заголовок 4 2" xfId="1519"/>
    <cellStyle name="Заголовок 4 2 2" xfId="1520"/>
    <cellStyle name="Заголовок 4 2 3" xfId="1521"/>
    <cellStyle name="Заголовок 4 2 4" xfId="1522"/>
    <cellStyle name="Заголовок 4 2 5" xfId="1523"/>
    <cellStyle name="Заголовок 4 2 6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3" xfId="1530"/>
    <cellStyle name="Заголовок 4 3 2" xfId="1531"/>
    <cellStyle name="Заголовок 4 3 3" xfId="1532"/>
    <cellStyle name="Заголовок 4 3 4" xfId="1533"/>
    <cellStyle name="Заголовок 4 3 5" xfId="1534"/>
    <cellStyle name="Заголовок 4 3 6" xfId="1535"/>
    <cellStyle name="Заголовок 4 4" xfId="1536"/>
    <cellStyle name="Заголовок 4 5" xfId="1537"/>
    <cellStyle name="Заголовок 4 6" xfId="1538"/>
    <cellStyle name="Заголовок 4 7" xfId="1539"/>
    <cellStyle name="Заголовок 4 8" xfId="1540"/>
    <cellStyle name="Заголовок 4 9" xfId="1541"/>
    <cellStyle name="Итог 10" xfId="1542"/>
    <cellStyle name="Итог 11" xfId="1543"/>
    <cellStyle name="Итог 12" xfId="1544"/>
    <cellStyle name="Итог 13" xfId="1545"/>
    <cellStyle name="Итог 14" xfId="1546"/>
    <cellStyle name="Итог 15" xfId="1547"/>
    <cellStyle name="Итог 16" xfId="1548"/>
    <cellStyle name="Итог 17" xfId="1549"/>
    <cellStyle name="Итог 18" xfId="1550"/>
    <cellStyle name="Итог 19" xfId="1551"/>
    <cellStyle name="Итог 2" xfId="1552"/>
    <cellStyle name="Итог 2 2" xfId="1553"/>
    <cellStyle name="Итог 2 3" xfId="1554"/>
    <cellStyle name="Итог 2 4" xfId="1555"/>
    <cellStyle name="Итог 2 5" xfId="1556"/>
    <cellStyle name="Итог 2 6" xfId="1557"/>
    <cellStyle name="Итог 20" xfId="1558"/>
    <cellStyle name="Итог 21" xfId="1559"/>
    <cellStyle name="Итог 22" xfId="1560"/>
    <cellStyle name="Итог 23" xfId="1561"/>
    <cellStyle name="Итог 24" xfId="1562"/>
    <cellStyle name="Итог 3" xfId="1563"/>
    <cellStyle name="Итог 3 2" xfId="1564"/>
    <cellStyle name="Итог 3 3" xfId="1565"/>
    <cellStyle name="Итог 3 4" xfId="1566"/>
    <cellStyle name="Итог 3 5" xfId="1567"/>
    <cellStyle name="Итог 3 6" xfId="1568"/>
    <cellStyle name="Итог 4" xfId="1569"/>
    <cellStyle name="Итог 5" xfId="1570"/>
    <cellStyle name="Итог 6" xfId="1571"/>
    <cellStyle name="Итог 7" xfId="1572"/>
    <cellStyle name="Итог 8" xfId="1573"/>
    <cellStyle name="Итог 9" xfId="1574"/>
    <cellStyle name="Контрольная ячейка 10" xfId="1575"/>
    <cellStyle name="Контрольная ячейка 11" xfId="1576"/>
    <cellStyle name="Контрольная ячейка 12" xfId="1577"/>
    <cellStyle name="Контрольная ячейка 13" xfId="1578"/>
    <cellStyle name="Контрольная ячейка 14" xfId="1579"/>
    <cellStyle name="Контрольная ячейка 15" xfId="1580"/>
    <cellStyle name="Контрольная ячейка 16" xfId="1581"/>
    <cellStyle name="Контрольная ячейка 17" xfId="1582"/>
    <cellStyle name="Контрольная ячейка 18" xfId="1583"/>
    <cellStyle name="Контрольная ячейка 19" xfId="1584"/>
    <cellStyle name="Контрольная ячейка 2" xfId="1585"/>
    <cellStyle name="Контрольная ячейка 2 2" xfId="1586"/>
    <cellStyle name="Контрольная ячейка 2 3" xfId="1587"/>
    <cellStyle name="Контрольная ячейка 2 4" xfId="1588"/>
    <cellStyle name="Контрольная ячейка 2 5" xfId="1589"/>
    <cellStyle name="Контрольная ячейка 2 6" xfId="1590"/>
    <cellStyle name="Контрольная ячейка 20" xfId="1591"/>
    <cellStyle name="Контрольная ячейка 21" xfId="1592"/>
    <cellStyle name="Контрольная ячейка 22" xfId="1593"/>
    <cellStyle name="Контрольная ячейка 23" xfId="1594"/>
    <cellStyle name="Контрольная ячейка 24" xfId="1595"/>
    <cellStyle name="Контрольная ячейка 3" xfId="1596"/>
    <cellStyle name="Контрольная ячейка 3 2" xfId="1597"/>
    <cellStyle name="Контрольная ячейка 3 3" xfId="1598"/>
    <cellStyle name="Контрольная ячейка 3 4" xfId="1599"/>
    <cellStyle name="Контрольная ячейка 3 5" xfId="1600"/>
    <cellStyle name="Контрольная ячейка 3 6" xfId="1601"/>
    <cellStyle name="Контрольная ячейка 4" xfId="1602"/>
    <cellStyle name="Контрольная ячейка 5" xfId="1603"/>
    <cellStyle name="Контрольная ячейка 6" xfId="1604"/>
    <cellStyle name="Контрольная ячейка 7" xfId="1605"/>
    <cellStyle name="Контрольная ячейка 8" xfId="1606"/>
    <cellStyle name="Контрольная ячейка 9" xfId="1607"/>
    <cellStyle name="Название 10" xfId="1608"/>
    <cellStyle name="Название 11" xfId="1609"/>
    <cellStyle name="Название 12" xfId="1610"/>
    <cellStyle name="Название 13" xfId="1611"/>
    <cellStyle name="Название 14" xfId="1612"/>
    <cellStyle name="Название 15" xfId="1613"/>
    <cellStyle name="Название 16" xfId="1614"/>
    <cellStyle name="Название 17" xfId="1615"/>
    <cellStyle name="Название 18" xfId="1616"/>
    <cellStyle name="Название 19" xfId="1617"/>
    <cellStyle name="Название 2" xfId="1618"/>
    <cellStyle name="Название 2 2" xfId="1619"/>
    <cellStyle name="Название 2 3" xfId="1620"/>
    <cellStyle name="Название 2 4" xfId="1621"/>
    <cellStyle name="Название 2 5" xfId="1622"/>
    <cellStyle name="Название 2 6" xfId="1623"/>
    <cellStyle name="Название 20" xfId="1624"/>
    <cellStyle name="Название 21" xfId="1625"/>
    <cellStyle name="Название 22" xfId="1626"/>
    <cellStyle name="Название 23" xfId="1627"/>
    <cellStyle name="Название 24" xfId="1628"/>
    <cellStyle name="Название 3" xfId="1629"/>
    <cellStyle name="Название 3 2" xfId="1630"/>
    <cellStyle name="Название 3 3" xfId="1631"/>
    <cellStyle name="Название 3 4" xfId="1632"/>
    <cellStyle name="Название 3 5" xfId="1633"/>
    <cellStyle name="Название 3 6" xfId="1634"/>
    <cellStyle name="Название 4" xfId="1635"/>
    <cellStyle name="Название 5" xfId="1636"/>
    <cellStyle name="Название 6" xfId="1637"/>
    <cellStyle name="Название 7" xfId="1638"/>
    <cellStyle name="Название 8" xfId="1639"/>
    <cellStyle name="Название 9" xfId="1640"/>
    <cellStyle name="Нейтральный 10" xfId="1641"/>
    <cellStyle name="Нейтральный 11" xfId="1642"/>
    <cellStyle name="Нейтральный 12" xfId="1643"/>
    <cellStyle name="Нейтральный 13" xfId="1644"/>
    <cellStyle name="Нейтральный 14" xfId="1645"/>
    <cellStyle name="Нейтральный 15" xfId="1646"/>
    <cellStyle name="Нейтральный 16" xfId="1647"/>
    <cellStyle name="Нейтральный 17" xfId="1648"/>
    <cellStyle name="Нейтральный 18" xfId="1649"/>
    <cellStyle name="Нейтральный 19" xfId="1650"/>
    <cellStyle name="Нейтральный 2" xfId="1651"/>
    <cellStyle name="Нейтральный 2 2" xfId="1652"/>
    <cellStyle name="Нейтральный 2 3" xfId="1653"/>
    <cellStyle name="Нейтральный 2 4" xfId="1654"/>
    <cellStyle name="Нейтральный 2 5" xfId="1655"/>
    <cellStyle name="Нейтральный 2 6" xfId="1656"/>
    <cellStyle name="Нейтральный 20" xfId="1657"/>
    <cellStyle name="Нейтральный 21" xfId="1658"/>
    <cellStyle name="Нейтральный 22" xfId="1659"/>
    <cellStyle name="Нейтральный 23" xfId="1660"/>
    <cellStyle name="Нейтральный 24" xfId="1661"/>
    <cellStyle name="Нейтральный 3" xfId="1662"/>
    <cellStyle name="Нейтральный 3 2" xfId="1663"/>
    <cellStyle name="Нейтральный 3 3" xfId="1664"/>
    <cellStyle name="Нейтральный 3 4" xfId="1665"/>
    <cellStyle name="Нейтральный 3 5" xfId="1666"/>
    <cellStyle name="Нейтральный 3 6" xfId="1667"/>
    <cellStyle name="Нейтральный 4" xfId="1668"/>
    <cellStyle name="Нейтральный 5" xfId="1669"/>
    <cellStyle name="Нейтральный 6" xfId="1670"/>
    <cellStyle name="Нейтральный 7" xfId="1671"/>
    <cellStyle name="Нейтральный 8" xfId="1672"/>
    <cellStyle name="Нейтральный 9" xfId="1673"/>
    <cellStyle name="Обычный" xfId="0" builtinId="0"/>
    <cellStyle name="Обычный 10" xfId="126"/>
    <cellStyle name="Обычный 10 2" xfId="128"/>
    <cellStyle name="Обычный 10 3" xfId="151"/>
    <cellStyle name="Обычный 11" xfId="127"/>
    <cellStyle name="Обычный 11 2" xfId="183"/>
    <cellStyle name="Обычный 11 2 2" xfId="243"/>
    <cellStyle name="Обычный 11 2 2 2" xfId="357"/>
    <cellStyle name="Обычный 11 2 3" xfId="295"/>
    <cellStyle name="Обычный 11 2 3 2" xfId="404"/>
    <cellStyle name="Обычный 11 2 4" xfId="214"/>
    <cellStyle name="Обычный 11 2 5" xfId="328"/>
    <cellStyle name="Обычный 11 3" xfId="166"/>
    <cellStyle name="Обычный 11 3 2" xfId="229"/>
    <cellStyle name="Обычный 11 3 3" xfId="343"/>
    <cellStyle name="Обычный 11 4" xfId="262"/>
    <cellStyle name="Обычный 11 4 2" xfId="372"/>
    <cellStyle name="Обычный 11 5" xfId="279"/>
    <cellStyle name="Обычный 11 5 2" xfId="388"/>
    <cellStyle name="Обычный 11 6" xfId="200"/>
    <cellStyle name="Обычный 11 7" xfId="314"/>
    <cellStyle name="Обычный 11 8" xfId="1674"/>
    <cellStyle name="Обычный 12" xfId="129"/>
    <cellStyle name="Обычный 12 2" xfId="184"/>
    <cellStyle name="Обычный 12 2 2" xfId="244"/>
    <cellStyle name="Обычный 12 2 2 2" xfId="358"/>
    <cellStyle name="Обычный 12 2 3" xfId="296"/>
    <cellStyle name="Обычный 12 2 3 2" xfId="405"/>
    <cellStyle name="Обычный 12 2 4" xfId="215"/>
    <cellStyle name="Обычный 12 2 5" xfId="329"/>
    <cellStyle name="Обычный 12 3" xfId="167"/>
    <cellStyle name="Обычный 12 3 2" xfId="230"/>
    <cellStyle name="Обычный 12 3 3" xfId="344"/>
    <cellStyle name="Обычный 12 4" xfId="263"/>
    <cellStyle name="Обычный 12 4 2" xfId="373"/>
    <cellStyle name="Обычный 12 5" xfId="280"/>
    <cellStyle name="Обычный 12 5 2" xfId="389"/>
    <cellStyle name="Обычный 12 6" xfId="201"/>
    <cellStyle name="Обычный 12 7" xfId="315"/>
    <cellStyle name="Обычный 12 8" xfId="1675"/>
    <cellStyle name="Обычный 13" xfId="134"/>
    <cellStyle name="Обычный 13 2" xfId="185"/>
    <cellStyle name="Обычный 13 2 2" xfId="245"/>
    <cellStyle name="Обычный 13 2 2 2" xfId="359"/>
    <cellStyle name="Обычный 13 2 3" xfId="297"/>
    <cellStyle name="Обычный 13 2 3 2" xfId="406"/>
    <cellStyle name="Обычный 13 2 4" xfId="216"/>
    <cellStyle name="Обычный 13 2 5" xfId="330"/>
    <cellStyle name="Обычный 13 3" xfId="168"/>
    <cellStyle name="Обычный 13 3 2" xfId="231"/>
    <cellStyle name="Обычный 13 3 3" xfId="345"/>
    <cellStyle name="Обычный 13 4" xfId="264"/>
    <cellStyle name="Обычный 13 4 2" xfId="374"/>
    <cellStyle name="Обычный 13 5" xfId="281"/>
    <cellStyle name="Обычный 13 5 2" xfId="390"/>
    <cellStyle name="Обычный 13 6" xfId="202"/>
    <cellStyle name="Обычный 13 7" xfId="316"/>
    <cellStyle name="Обычный 13 8" xfId="1676"/>
    <cellStyle name="Обычный 14" xfId="146"/>
    <cellStyle name="Обычный 14 2" xfId="186"/>
    <cellStyle name="Обычный 14 2 2" xfId="246"/>
    <cellStyle name="Обычный 14 2 2 2" xfId="360"/>
    <cellStyle name="Обычный 14 2 3" xfId="298"/>
    <cellStyle name="Обычный 14 2 3 2" xfId="407"/>
    <cellStyle name="Обычный 14 2 4" xfId="217"/>
    <cellStyle name="Обычный 14 2 5" xfId="331"/>
    <cellStyle name="Обычный 14 3" xfId="169"/>
    <cellStyle name="Обычный 14 3 2" xfId="232"/>
    <cellStyle name="Обычный 14 3 3" xfId="346"/>
    <cellStyle name="Обычный 14 4" xfId="265"/>
    <cellStyle name="Обычный 14 4 2" xfId="375"/>
    <cellStyle name="Обычный 14 5" xfId="282"/>
    <cellStyle name="Обычный 14 5 2" xfId="391"/>
    <cellStyle name="Обычный 14 6" xfId="203"/>
    <cellStyle name="Обычный 14 7" xfId="317"/>
    <cellStyle name="Обычный 14 8" xfId="1677"/>
    <cellStyle name="Обычный 15" xfId="147"/>
    <cellStyle name="Обычный 15 2" xfId="187"/>
    <cellStyle name="Обычный 15 2 2" xfId="247"/>
    <cellStyle name="Обычный 15 2 2 2" xfId="361"/>
    <cellStyle name="Обычный 15 2 3" xfId="299"/>
    <cellStyle name="Обычный 15 2 3 2" xfId="408"/>
    <cellStyle name="Обычный 15 2 4" xfId="218"/>
    <cellStyle name="Обычный 15 2 5" xfId="332"/>
    <cellStyle name="Обычный 15 3" xfId="170"/>
    <cellStyle name="Обычный 15 3 2" xfId="233"/>
    <cellStyle name="Обычный 15 3 3" xfId="347"/>
    <cellStyle name="Обычный 15 4" xfId="266"/>
    <cellStyle name="Обычный 15 4 2" xfId="376"/>
    <cellStyle name="Обычный 15 5" xfId="283"/>
    <cellStyle name="Обычный 15 5 2" xfId="392"/>
    <cellStyle name="Обычный 15 6" xfId="204"/>
    <cellStyle name="Обычный 15 7" xfId="318"/>
    <cellStyle name="Обычный 15 8" xfId="1678"/>
    <cellStyle name="Обычный 16" xfId="171"/>
    <cellStyle name="Обычный 16 2" xfId="188"/>
    <cellStyle name="Обычный 16 2 2" xfId="248"/>
    <cellStyle name="Обычный 16 2 2 2" xfId="362"/>
    <cellStyle name="Обычный 16 2 3" xfId="300"/>
    <cellStyle name="Обычный 16 2 3 2" xfId="409"/>
    <cellStyle name="Обычный 16 2 4" xfId="219"/>
    <cellStyle name="Обычный 16 2 5" xfId="333"/>
    <cellStyle name="Обычный 16 3" xfId="234"/>
    <cellStyle name="Обычный 16 3 2" xfId="348"/>
    <cellStyle name="Обычный 16 4" xfId="267"/>
    <cellStyle name="Обычный 16 4 2" xfId="377"/>
    <cellStyle name="Обычный 16 5" xfId="284"/>
    <cellStyle name="Обычный 16 5 2" xfId="393"/>
    <cellStyle name="Обычный 16 6" xfId="205"/>
    <cellStyle name="Обычный 16 7" xfId="319"/>
    <cellStyle name="Обычный 16 8" xfId="1679"/>
    <cellStyle name="Обычный 17" xfId="172"/>
    <cellStyle name="Обычный 17 2" xfId="189"/>
    <cellStyle name="Обычный 17 2 2" xfId="249"/>
    <cellStyle name="Обычный 17 2 2 2" xfId="363"/>
    <cellStyle name="Обычный 17 2 3" xfId="301"/>
    <cellStyle name="Обычный 17 2 3 2" xfId="410"/>
    <cellStyle name="Обычный 17 2 4" xfId="220"/>
    <cellStyle name="Обычный 17 2 5" xfId="334"/>
    <cellStyle name="Обычный 17 3" xfId="235"/>
    <cellStyle name="Обычный 17 3 2" xfId="349"/>
    <cellStyle name="Обычный 17 4" xfId="268"/>
    <cellStyle name="Обычный 17 4 2" xfId="378"/>
    <cellStyle name="Обычный 17 5" xfId="285"/>
    <cellStyle name="Обычный 17 5 2" xfId="394"/>
    <cellStyle name="Обычный 17 6" xfId="206"/>
    <cellStyle name="Обычный 17 7" xfId="320"/>
    <cellStyle name="Обычный 17 8" xfId="1680"/>
    <cellStyle name="Обычный 18" xfId="132"/>
    <cellStyle name="Обычный 18 2" xfId="190"/>
    <cellStyle name="Обычный 18 2 2" xfId="250"/>
    <cellStyle name="Обычный 18 2 2 2" xfId="364"/>
    <cellStyle name="Обычный 18 2 3" xfId="302"/>
    <cellStyle name="Обычный 18 2 3 2" xfId="411"/>
    <cellStyle name="Обычный 18 2 4" xfId="221"/>
    <cellStyle name="Обычный 18 2 5" xfId="335"/>
    <cellStyle name="Обычный 18 3" xfId="173"/>
    <cellStyle name="Обычный 18 3 2" xfId="236"/>
    <cellStyle name="Обычный 18 3 3" xfId="350"/>
    <cellStyle name="Обычный 18 4" xfId="269"/>
    <cellStyle name="Обычный 18 4 2" xfId="379"/>
    <cellStyle name="Обычный 18 5" xfId="286"/>
    <cellStyle name="Обычный 18 5 2" xfId="395"/>
    <cellStyle name="Обычный 18 6" xfId="207"/>
    <cellStyle name="Обычный 18 7" xfId="321"/>
    <cellStyle name="Обычный 18 8" xfId="1681"/>
    <cellStyle name="Обычный 19" xfId="174"/>
    <cellStyle name="Обычный 19 2" xfId="191"/>
    <cellStyle name="Обычный 19 2 2" xfId="251"/>
    <cellStyle name="Обычный 19 2 2 2" xfId="365"/>
    <cellStyle name="Обычный 19 2 3" xfId="303"/>
    <cellStyle name="Обычный 19 2 3 2" xfId="412"/>
    <cellStyle name="Обычный 19 2 4" xfId="222"/>
    <cellStyle name="Обычный 19 2 5" xfId="336"/>
    <cellStyle name="Обычный 19 3" xfId="237"/>
    <cellStyle name="Обычный 19 3 2" xfId="351"/>
    <cellStyle name="Обычный 19 4" xfId="270"/>
    <cellStyle name="Обычный 19 4 2" xfId="380"/>
    <cellStyle name="Обычный 19 5" xfId="287"/>
    <cellStyle name="Обычный 19 5 2" xfId="396"/>
    <cellStyle name="Обычный 19 6" xfId="208"/>
    <cellStyle name="Обычный 19 7" xfId="322"/>
    <cellStyle name="Обычный 19 8" xfId="1682"/>
    <cellStyle name="Обычный 2" xfId="1"/>
    <cellStyle name="Обычный 2 10" xfId="254"/>
    <cellStyle name="Обычный 2 11" xfId="1683"/>
    <cellStyle name="Обычный 2 12" xfId="1684"/>
    <cellStyle name="Обычный 2 13" xfId="1685"/>
    <cellStyle name="Обычный 2 14" xfId="1686"/>
    <cellStyle name="Обычный 2 15" xfId="1687"/>
    <cellStyle name="Обычный 2 16" xfId="1688"/>
    <cellStyle name="Обычный 2 17" xfId="1689"/>
    <cellStyle name="Обычный 2 18" xfId="1690"/>
    <cellStyle name="Обычный 2 2" xfId="14"/>
    <cellStyle name="Обычный 2 2 2" xfId="111"/>
    <cellStyle name="Обычный 2 2 2 2" xfId="1923"/>
    <cellStyle name="Обычный 2 3" xfId="61"/>
    <cellStyle name="Обычный 2 3 2" xfId="81"/>
    <cellStyle name="Обычный 2 4" xfId="62"/>
    <cellStyle name="Обычный 2 5" xfId="13"/>
    <cellStyle name="Обычный 2 6" xfId="1691"/>
    <cellStyle name="Обычный 2 7" xfId="1692"/>
    <cellStyle name="Обычный 2 8" xfId="1693"/>
    <cellStyle name="Обычный 2 9" xfId="1694"/>
    <cellStyle name="Обычный 20" xfId="193"/>
    <cellStyle name="Обычный 20 2" xfId="253"/>
    <cellStyle name="Обычный 20 2 2" xfId="367"/>
    <cellStyle name="Обычный 20 3" xfId="271"/>
    <cellStyle name="Обычный 20 3 2" xfId="381"/>
    <cellStyle name="Обычный 20 4" xfId="288"/>
    <cellStyle name="Обычный 20 4 2" xfId="397"/>
    <cellStyle name="Обычный 20 5" xfId="224"/>
    <cellStyle name="Обычный 20 6" xfId="338"/>
    <cellStyle name="Обычный 20 7" xfId="1695"/>
    <cellStyle name="Обычный 21" xfId="273"/>
    <cellStyle name="Обычный 21 2" xfId="1696"/>
    <cellStyle name="Обычный 22" xfId="274"/>
    <cellStyle name="Обычный 22 2" xfId="290"/>
    <cellStyle name="Обычный 22 2 2" xfId="399"/>
    <cellStyle name="Обычный 22 3" xfId="383"/>
    <cellStyle name="Обычный 22 4" xfId="1697"/>
    <cellStyle name="Обычный 23" xfId="291"/>
    <cellStyle name="Обычный 23 2" xfId="400"/>
    <cellStyle name="Обычный 23 3" xfId="1698"/>
    <cellStyle name="Обычный 24" xfId="293"/>
    <cellStyle name="Обычный 24 2" xfId="402"/>
    <cellStyle name="Обычный 24 3" xfId="1699"/>
    <cellStyle name="Обычный 25" xfId="308"/>
    <cellStyle name="Обычный 25 2" xfId="417"/>
    <cellStyle name="Обычный 26" xfId="419"/>
    <cellStyle name="Обычный 27" xfId="1922"/>
    <cellStyle name="Обычный 28" xfId="1925"/>
    <cellStyle name="Обычный 3" xfId="63"/>
    <cellStyle name="Обычный 3 2" xfId="69"/>
    <cellStyle name="Обычный 3 2 2" xfId="114"/>
    <cellStyle name="Обычный 4" xfId="64"/>
    <cellStyle name="Обычный 4 2" xfId="65"/>
    <cellStyle name="Обычный 4 3" xfId="115"/>
    <cellStyle name="Обычный 4 3 2" xfId="192"/>
    <cellStyle name="Обычный 4 3 2 2" xfId="252"/>
    <cellStyle name="Обычный 4 3 2 2 2" xfId="366"/>
    <cellStyle name="Обычный 4 3 2 3" xfId="292"/>
    <cellStyle name="Обычный 4 3 2 3 2" xfId="401"/>
    <cellStyle name="Обычный 4 3 2 4" xfId="223"/>
    <cellStyle name="Обычный 4 3 2 5" xfId="337"/>
    <cellStyle name="Обычный 4 3 3" xfId="177"/>
    <cellStyle name="Обычный 4 3 3 2" xfId="294"/>
    <cellStyle name="Обычный 4 3 3 2 2" xfId="403"/>
    <cellStyle name="Обычный 4 3 3 3" xfId="238"/>
    <cellStyle name="Обычный 4 3 3 4" xfId="352"/>
    <cellStyle name="Обычный 4 3 4" xfId="272"/>
    <cellStyle name="Обычный 4 3 4 2" xfId="309"/>
    <cellStyle name="Обычный 4 3 4 2 2" xfId="418"/>
    <cellStyle name="Обычный 4 3 4 3" xfId="382"/>
    <cellStyle name="Обычный 4 3 5" xfId="289"/>
    <cellStyle name="Обычный 4 3 5 2" xfId="398"/>
    <cellStyle name="Обычный 4 3 6" xfId="209"/>
    <cellStyle name="Обычный 4 3 7" xfId="323"/>
    <cellStyle name="Обычный 4 4" xfId="133"/>
    <cellStyle name="Обычный 4 4 2" xfId="256"/>
    <cellStyle name="Обычный 5" xfId="66"/>
    <cellStyle name="Обычный 6" xfId="82"/>
    <cellStyle name="Обычный 6 2" xfId="117"/>
    <cellStyle name="Обычный 6 3" xfId="1700"/>
    <cellStyle name="Обычный 7" xfId="84"/>
    <cellStyle name="Обычный 7 2" xfId="118"/>
    <cellStyle name="Обычный 7 2 2" xfId="180"/>
    <cellStyle name="Обычный 7 2 2 2" xfId="240"/>
    <cellStyle name="Обычный 7 2 2 2 2" xfId="354"/>
    <cellStyle name="Обычный 7 2 2 3" xfId="304"/>
    <cellStyle name="Обычный 7 2 2 3 2" xfId="413"/>
    <cellStyle name="Обычный 7 2 2 4" xfId="211"/>
    <cellStyle name="Обычный 7 2 2 5" xfId="325"/>
    <cellStyle name="Обычный 7 2 3" xfId="156"/>
    <cellStyle name="Обычный 7 2 3 2" xfId="226"/>
    <cellStyle name="Обычный 7 2 3 3" xfId="340"/>
    <cellStyle name="Обычный 7 2 4" xfId="259"/>
    <cellStyle name="Обычный 7 2 4 2" xfId="369"/>
    <cellStyle name="Обычный 7 2 5" xfId="276"/>
    <cellStyle name="Обычный 7 2 5 2" xfId="385"/>
    <cellStyle name="Обычный 7 2 6" xfId="197"/>
    <cellStyle name="Обычный 7 2 7" xfId="311"/>
    <cellStyle name="Обычный 7 3" xfId="179"/>
    <cellStyle name="Обычный 7 3 2" xfId="239"/>
    <cellStyle name="Обычный 7 3 2 2" xfId="353"/>
    <cellStyle name="Обычный 7 3 3" xfId="305"/>
    <cellStyle name="Обычный 7 3 3 2" xfId="414"/>
    <cellStyle name="Обычный 7 3 4" xfId="210"/>
    <cellStyle name="Обычный 7 3 5" xfId="324"/>
    <cellStyle name="Обычный 7 4" xfId="148"/>
    <cellStyle name="Обычный 7 4 2" xfId="225"/>
    <cellStyle name="Обычный 7 4 3" xfId="339"/>
    <cellStyle name="Обычный 7 5" xfId="258"/>
    <cellStyle name="Обычный 7 5 2" xfId="368"/>
    <cellStyle name="Обычный 7 6" xfId="275"/>
    <cellStyle name="Обычный 7 6 2" xfId="384"/>
    <cellStyle name="Обычный 7 7" xfId="196"/>
    <cellStyle name="Обычный 7 8" xfId="310"/>
    <cellStyle name="Обычный 7 9" xfId="1701"/>
    <cellStyle name="Обычный 8" xfId="101"/>
    <cellStyle name="Обычный 8 2" xfId="181"/>
    <cellStyle name="Обычный 8 2 2" xfId="241"/>
    <cellStyle name="Обычный 8 2 2 2" xfId="355"/>
    <cellStyle name="Обычный 8 2 3" xfId="306"/>
    <cellStyle name="Обычный 8 2 3 2" xfId="415"/>
    <cellStyle name="Обычный 8 2 4" xfId="212"/>
    <cellStyle name="Обычный 8 2 5" xfId="326"/>
    <cellStyle name="Обычный 8 3" xfId="160"/>
    <cellStyle name="Обычный 8 3 2" xfId="227"/>
    <cellStyle name="Обычный 8 3 3" xfId="341"/>
    <cellStyle name="Обычный 8 4" xfId="260"/>
    <cellStyle name="Обычный 8 4 2" xfId="370"/>
    <cellStyle name="Обычный 8 5" xfId="277"/>
    <cellStyle name="Обычный 8 5 2" xfId="386"/>
    <cellStyle name="Обычный 8 6" xfId="198"/>
    <cellStyle name="Обычный 8 7" xfId="312"/>
    <cellStyle name="Обычный 8 8" xfId="1702"/>
    <cellStyle name="Обычный 9" xfId="110"/>
    <cellStyle name="Обычный 9 2" xfId="182"/>
    <cellStyle name="Обычный 9 2 2" xfId="242"/>
    <cellStyle name="Обычный 9 2 2 2" xfId="356"/>
    <cellStyle name="Обычный 9 2 3" xfId="307"/>
    <cellStyle name="Обычный 9 2 3 2" xfId="416"/>
    <cellStyle name="Обычный 9 2 4" xfId="213"/>
    <cellStyle name="Обычный 9 2 5" xfId="327"/>
    <cellStyle name="Обычный 9 3" xfId="165"/>
    <cellStyle name="Обычный 9 3 2" xfId="228"/>
    <cellStyle name="Обычный 9 3 3" xfId="342"/>
    <cellStyle name="Обычный 9 4" xfId="261"/>
    <cellStyle name="Обычный 9 4 2" xfId="371"/>
    <cellStyle name="Обычный 9 5" xfId="278"/>
    <cellStyle name="Обычный 9 5 2" xfId="387"/>
    <cellStyle name="Обычный 9 6" xfId="199"/>
    <cellStyle name="Обычный 9 7" xfId="313"/>
    <cellStyle name="Обычный 9 8" xfId="1703"/>
    <cellStyle name="Плохой 10" xfId="1704"/>
    <cellStyle name="Плохой 11" xfId="1705"/>
    <cellStyle name="Плохой 12" xfId="1706"/>
    <cellStyle name="Плохой 13" xfId="1707"/>
    <cellStyle name="Плохой 14" xfId="1708"/>
    <cellStyle name="Плохой 15" xfId="1709"/>
    <cellStyle name="Плохой 16" xfId="1710"/>
    <cellStyle name="Плохой 17" xfId="1711"/>
    <cellStyle name="Плохой 18" xfId="1712"/>
    <cellStyle name="Плохой 19" xfId="1713"/>
    <cellStyle name="Плохой 2" xfId="1714"/>
    <cellStyle name="Плохой 2 2" xfId="1715"/>
    <cellStyle name="Плохой 2 3" xfId="1716"/>
    <cellStyle name="Плохой 2 4" xfId="1717"/>
    <cellStyle name="Плохой 2 5" xfId="1718"/>
    <cellStyle name="Плохой 2 6" xfId="1719"/>
    <cellStyle name="Плохой 20" xfId="1720"/>
    <cellStyle name="Плохой 21" xfId="1721"/>
    <cellStyle name="Плохой 22" xfId="1722"/>
    <cellStyle name="Плохой 23" xfId="1723"/>
    <cellStyle name="Плохой 24" xfId="1724"/>
    <cellStyle name="Плохой 3" xfId="1725"/>
    <cellStyle name="Плохой 3 2" xfId="1726"/>
    <cellStyle name="Плохой 3 3" xfId="1727"/>
    <cellStyle name="Плохой 3 4" xfId="1728"/>
    <cellStyle name="Плохой 3 5" xfId="1729"/>
    <cellStyle name="Плохой 3 6" xfId="1730"/>
    <cellStyle name="Плохой 4" xfId="1731"/>
    <cellStyle name="Плохой 5" xfId="1732"/>
    <cellStyle name="Плохой 6" xfId="1733"/>
    <cellStyle name="Плохой 7" xfId="1734"/>
    <cellStyle name="Плохой 8" xfId="1735"/>
    <cellStyle name="Плохой 9" xfId="1736"/>
    <cellStyle name="Пояснение 10" xfId="1737"/>
    <cellStyle name="Пояснение 11" xfId="1738"/>
    <cellStyle name="Пояснение 12" xfId="1739"/>
    <cellStyle name="Пояснение 13" xfId="1740"/>
    <cellStyle name="Пояснение 14" xfId="1741"/>
    <cellStyle name="Пояснение 15" xfId="1742"/>
    <cellStyle name="Пояснение 16" xfId="1743"/>
    <cellStyle name="Пояснение 17" xfId="1744"/>
    <cellStyle name="Пояснение 18" xfId="1745"/>
    <cellStyle name="Пояснение 19" xfId="1746"/>
    <cellStyle name="Пояснение 2" xfId="1747"/>
    <cellStyle name="Пояснение 2 2" xfId="1748"/>
    <cellStyle name="Пояснение 2 3" xfId="1749"/>
    <cellStyle name="Пояснение 2 4" xfId="1750"/>
    <cellStyle name="Пояснение 2 5" xfId="1751"/>
    <cellStyle name="Пояснение 2 6" xfId="1752"/>
    <cellStyle name="Пояснение 20" xfId="1753"/>
    <cellStyle name="Пояснение 21" xfId="1754"/>
    <cellStyle name="Пояснение 22" xfId="1755"/>
    <cellStyle name="Пояснение 23" xfId="1756"/>
    <cellStyle name="Пояснение 24" xfId="1757"/>
    <cellStyle name="Пояснение 3" xfId="1758"/>
    <cellStyle name="Пояснение 3 2" xfId="1759"/>
    <cellStyle name="Пояснение 3 3" xfId="1760"/>
    <cellStyle name="Пояснение 3 4" xfId="1761"/>
    <cellStyle name="Пояснение 3 5" xfId="1762"/>
    <cellStyle name="Пояснение 3 6" xfId="1763"/>
    <cellStyle name="Пояснение 4" xfId="1764"/>
    <cellStyle name="Пояснение 5" xfId="1765"/>
    <cellStyle name="Пояснение 6" xfId="1766"/>
    <cellStyle name="Пояснение 7" xfId="1767"/>
    <cellStyle name="Пояснение 8" xfId="1768"/>
    <cellStyle name="Пояснение 9" xfId="1769"/>
    <cellStyle name="Примечание 10" xfId="1770"/>
    <cellStyle name="Примечание 11" xfId="1771"/>
    <cellStyle name="Примечание 12" xfId="1772"/>
    <cellStyle name="Примечание 13" xfId="1773"/>
    <cellStyle name="Примечание 14" xfId="1774"/>
    <cellStyle name="Примечание 15" xfId="1775"/>
    <cellStyle name="Примечание 16" xfId="1776"/>
    <cellStyle name="Примечание 17" xfId="1777"/>
    <cellStyle name="Примечание 18" xfId="1778"/>
    <cellStyle name="Примечание 19" xfId="1779"/>
    <cellStyle name="Примечание 2" xfId="1780"/>
    <cellStyle name="Примечание 2 2" xfId="1781"/>
    <cellStyle name="Примечание 2 3" xfId="1782"/>
    <cellStyle name="Примечание 2 4" xfId="1783"/>
    <cellStyle name="Примечание 2 5" xfId="1784"/>
    <cellStyle name="Примечание 2 6" xfId="1785"/>
    <cellStyle name="Примечание 20" xfId="1786"/>
    <cellStyle name="Примечание 21" xfId="1787"/>
    <cellStyle name="Примечание 22" xfId="1788"/>
    <cellStyle name="Примечание 23" xfId="1789"/>
    <cellStyle name="Примечание 24" xfId="1790"/>
    <cellStyle name="Примечание 3" xfId="1791"/>
    <cellStyle name="Примечание 3 2" xfId="1792"/>
    <cellStyle name="Примечание 3 3" xfId="1793"/>
    <cellStyle name="Примечание 3 4" xfId="1794"/>
    <cellStyle name="Примечание 3 5" xfId="1795"/>
    <cellStyle name="Примечание 3 6" xfId="1796"/>
    <cellStyle name="Примечание 4" xfId="1797"/>
    <cellStyle name="Примечание 5" xfId="1798"/>
    <cellStyle name="Примечание 6" xfId="1799"/>
    <cellStyle name="Примечание 7" xfId="1800"/>
    <cellStyle name="Примечание 8" xfId="1801"/>
    <cellStyle name="Примечание 9" xfId="1802"/>
    <cellStyle name="Процентный" xfId="1921" builtinId="5"/>
    <cellStyle name="Процентный 10" xfId="1803"/>
    <cellStyle name="Процентный 11" xfId="1804"/>
    <cellStyle name="Процентный 12" xfId="1805"/>
    <cellStyle name="Процентный 13" xfId="1806"/>
    <cellStyle name="Процентный 14" xfId="1807"/>
    <cellStyle name="Процентный 2" xfId="4"/>
    <cellStyle name="Процентный 2 2" xfId="1808"/>
    <cellStyle name="Процентный 3" xfId="67"/>
    <cellStyle name="Процентный 3 2" xfId="83"/>
    <cellStyle name="Процентный 4" xfId="1809"/>
    <cellStyle name="Процентный 5" xfId="1810"/>
    <cellStyle name="Процентный 6" xfId="1811"/>
    <cellStyle name="Процентный 7" xfId="1812"/>
    <cellStyle name="Процентный 8" xfId="1813"/>
    <cellStyle name="Процентный 9" xfId="1814"/>
    <cellStyle name="СводРасч" xfId="257"/>
    <cellStyle name="Связанная ячейка 10" xfId="1815"/>
    <cellStyle name="Связанная ячейка 11" xfId="1816"/>
    <cellStyle name="Связанная ячейка 12" xfId="1817"/>
    <cellStyle name="Связанная ячейка 13" xfId="1818"/>
    <cellStyle name="Связанная ячейка 14" xfId="1819"/>
    <cellStyle name="Связанная ячейка 15" xfId="1820"/>
    <cellStyle name="Связанная ячейка 16" xfId="1821"/>
    <cellStyle name="Связанная ячейка 17" xfId="1822"/>
    <cellStyle name="Связанная ячейка 18" xfId="1823"/>
    <cellStyle name="Связанная ячейка 19" xfId="1824"/>
    <cellStyle name="Связанная ячейка 2" xfId="1825"/>
    <cellStyle name="Связанная ячейка 2 2" xfId="1826"/>
    <cellStyle name="Связанная ячейка 2 3" xfId="1827"/>
    <cellStyle name="Связанная ячейка 2 4" xfId="1828"/>
    <cellStyle name="Связанная ячейка 2 5" xfId="1829"/>
    <cellStyle name="Связанная ячейка 2 6" xfId="1830"/>
    <cellStyle name="Связанная ячейка 20" xfId="1831"/>
    <cellStyle name="Связанная ячейка 21" xfId="1832"/>
    <cellStyle name="Связанная ячейка 22" xfId="1833"/>
    <cellStyle name="Связанная ячейка 23" xfId="1834"/>
    <cellStyle name="Связанная ячейка 24" xfId="1835"/>
    <cellStyle name="Связанная ячейка 3" xfId="1836"/>
    <cellStyle name="Связанная ячейка 3 2" xfId="1837"/>
    <cellStyle name="Связанная ячейка 3 3" xfId="1838"/>
    <cellStyle name="Связанная ячейка 3 4" xfId="1839"/>
    <cellStyle name="Связанная ячейка 3 5" xfId="1840"/>
    <cellStyle name="Связанная ячейка 3 6" xfId="1841"/>
    <cellStyle name="Связанная ячейка 4" xfId="1842"/>
    <cellStyle name="Связанная ячейка 5" xfId="1843"/>
    <cellStyle name="Связанная ячейка 6" xfId="1844"/>
    <cellStyle name="Связанная ячейка 7" xfId="1845"/>
    <cellStyle name="Связанная ячейка 8" xfId="1846"/>
    <cellStyle name="Связанная ячейка 9" xfId="1847"/>
    <cellStyle name="Стиль 1" xfId="1848"/>
    <cellStyle name="ТЕКСТ" xfId="119"/>
    <cellStyle name="ТЕКСТ 2" xfId="1849"/>
    <cellStyle name="Текст предупреждения 10" xfId="1850"/>
    <cellStyle name="Текст предупреждения 11" xfId="1851"/>
    <cellStyle name="Текст предупреждения 12" xfId="1852"/>
    <cellStyle name="Текст предупреждения 13" xfId="1853"/>
    <cellStyle name="Текст предупреждения 14" xfId="1854"/>
    <cellStyle name="Текст предупреждения 15" xfId="1855"/>
    <cellStyle name="Текст предупреждения 16" xfId="1856"/>
    <cellStyle name="Текст предупреждения 17" xfId="1857"/>
    <cellStyle name="Текст предупреждения 18" xfId="1858"/>
    <cellStyle name="Текст предупреждения 19" xfId="1859"/>
    <cellStyle name="Текст предупреждения 2" xfId="1860"/>
    <cellStyle name="Текст предупреждения 2 2" xfId="1861"/>
    <cellStyle name="Текст предупреждения 2 3" xfId="1862"/>
    <cellStyle name="Текст предупреждения 2 4" xfId="1863"/>
    <cellStyle name="Текст предупреждения 2 5" xfId="1864"/>
    <cellStyle name="Текст предупреждения 2 6" xfId="1865"/>
    <cellStyle name="Текст предупреждения 20" xfId="1866"/>
    <cellStyle name="Текст предупреждения 21" xfId="1867"/>
    <cellStyle name="Текст предупреждения 22" xfId="1868"/>
    <cellStyle name="Текст предупреждения 23" xfId="1869"/>
    <cellStyle name="Текст предупреждения 24" xfId="1870"/>
    <cellStyle name="Текст предупреждения 3" xfId="1871"/>
    <cellStyle name="Текст предупреждения 3 2" xfId="1872"/>
    <cellStyle name="Текст предупреждения 3 3" xfId="1873"/>
    <cellStyle name="Текст предупреждения 3 4" xfId="1874"/>
    <cellStyle name="Текст предупреждения 3 5" xfId="1875"/>
    <cellStyle name="Текст предупреждения 3 6" xfId="1876"/>
    <cellStyle name="Текст предупреждения 4" xfId="1877"/>
    <cellStyle name="Текст предупреждения 5" xfId="1878"/>
    <cellStyle name="Текст предупреждения 6" xfId="1879"/>
    <cellStyle name="Текст предупреждения 7" xfId="1880"/>
    <cellStyle name="Текст предупреждения 8" xfId="1881"/>
    <cellStyle name="Текст предупреждения 9" xfId="1882"/>
    <cellStyle name="Тысячи [0]_Акт" xfId="1883"/>
    <cellStyle name="Тысячи_Акт" xfId="1884"/>
    <cellStyle name="Финансовый" xfId="99" builtinId="3"/>
    <cellStyle name="Финансовый [0] 2" xfId="3"/>
    <cellStyle name="Финансовый [0] 2 2" xfId="98"/>
    <cellStyle name="Финансовый [0] 2 2 2" xfId="159"/>
    <cellStyle name="Финансовый [0] 2 2 2 2" xfId="255"/>
    <cellStyle name="Финансовый [0] 2 2 3" xfId="194"/>
    <cellStyle name="Финансовый [0] 2 2 3 2" xfId="1885"/>
    <cellStyle name="Финансовый [0] 2 3" xfId="100"/>
    <cellStyle name="Финансовый [0] 2 4" xfId="120"/>
    <cellStyle name="Финансовый [0] 3" xfId="150"/>
    <cellStyle name="Финансовый [0] 3 2" xfId="158"/>
    <cellStyle name="Финансовый [0] 3 3" xfId="176"/>
    <cellStyle name="Финансовый 2" xfId="2"/>
    <cellStyle name="Финансовый 2 2" xfId="122"/>
    <cellStyle name="Финансовый 2 2 2" xfId="178"/>
    <cellStyle name="Финансовый 2 3" xfId="121"/>
    <cellStyle name="Финансовый 2 3 2" xfId="175"/>
    <cellStyle name="Финансовый 2 3 3" xfId="1886"/>
    <cellStyle name="Финансовый 2 4" xfId="152"/>
    <cellStyle name="Финансовый 2 5" xfId="195"/>
    <cellStyle name="Финансовый 3" xfId="12"/>
    <cellStyle name="Финансовый 3 2" xfId="123"/>
    <cellStyle name="Финансовый 3 2 2" xfId="153"/>
    <cellStyle name="Финансовый 3 3" xfId="1887"/>
    <cellStyle name="Финансовый 4" xfId="15"/>
    <cellStyle name="Финансовый 4 2" xfId="124"/>
    <cellStyle name="Финансовый 4 2 2" xfId="154"/>
    <cellStyle name="Финансовый 5" xfId="68"/>
    <cellStyle name="Финансовый 5 2" xfId="125"/>
    <cellStyle name="Финансовый 5 2 2" xfId="155"/>
    <cellStyle name="Финансовый 6" xfId="149"/>
    <cellStyle name="Финансовый 6 2" xfId="157"/>
    <cellStyle name="Хороший 10" xfId="1888"/>
    <cellStyle name="Хороший 11" xfId="1889"/>
    <cellStyle name="Хороший 12" xfId="1890"/>
    <cellStyle name="Хороший 13" xfId="1891"/>
    <cellStyle name="Хороший 14" xfId="1892"/>
    <cellStyle name="Хороший 15" xfId="1893"/>
    <cellStyle name="Хороший 16" xfId="1894"/>
    <cellStyle name="Хороший 17" xfId="1895"/>
    <cellStyle name="Хороший 18" xfId="1896"/>
    <cellStyle name="Хороший 19" xfId="1897"/>
    <cellStyle name="Хороший 2" xfId="1898"/>
    <cellStyle name="Хороший 2 2" xfId="1899"/>
    <cellStyle name="Хороший 2 3" xfId="1900"/>
    <cellStyle name="Хороший 2 4" xfId="1901"/>
    <cellStyle name="Хороший 2 5" xfId="1902"/>
    <cellStyle name="Хороший 2 6" xfId="1903"/>
    <cellStyle name="Хороший 20" xfId="1904"/>
    <cellStyle name="Хороший 21" xfId="1905"/>
    <cellStyle name="Хороший 22" xfId="1906"/>
    <cellStyle name="Хороший 23" xfId="1907"/>
    <cellStyle name="Хороший 24" xfId="1908"/>
    <cellStyle name="Хороший 3" xfId="1909"/>
    <cellStyle name="Хороший 3 2" xfId="1910"/>
    <cellStyle name="Хороший 3 3" xfId="1911"/>
    <cellStyle name="Хороший 3 4" xfId="1912"/>
    <cellStyle name="Хороший 3 5" xfId="1913"/>
    <cellStyle name="Хороший 3 6" xfId="1914"/>
    <cellStyle name="Хороший 4" xfId="1915"/>
    <cellStyle name="Хороший 5" xfId="1916"/>
    <cellStyle name="Хороший 6" xfId="1917"/>
    <cellStyle name="Хороший 7" xfId="1918"/>
    <cellStyle name="Хороший 8" xfId="1919"/>
    <cellStyle name="Хороший 9" xfId="19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157653</xdr:colOff>
      <xdr:row>6</xdr:row>
      <xdr:rowOff>120264</xdr:rowOff>
    </xdr:from>
    <xdr:to>
      <xdr:col>7</xdr:col>
      <xdr:colOff>157656</xdr:colOff>
      <xdr:row>6</xdr:row>
      <xdr:rowOff>120264</xdr:rowOff>
    </xdr:to>
    <xdr:cxnSp macro="">
      <xdr:nvCxnSpPr>
        <xdr:cNvPr id="6" name="Прямая со стрелко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4597768" y="2223091"/>
          <a:ext cx="556850" cy="0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223346</xdr:colOff>
      <xdr:row>7</xdr:row>
      <xdr:rowOff>157655</xdr:rowOff>
    </xdr:from>
    <xdr:to>
      <xdr:col>8</xdr:col>
      <xdr:colOff>72259</xdr:colOff>
      <xdr:row>7</xdr:row>
      <xdr:rowOff>157656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4233371" y="2291255"/>
          <a:ext cx="791888" cy="1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236574</xdr:colOff>
      <xdr:row>9</xdr:row>
      <xdr:rowOff>121135</xdr:rowOff>
    </xdr:from>
    <xdr:to>
      <xdr:col>9</xdr:col>
      <xdr:colOff>236981</xdr:colOff>
      <xdr:row>9</xdr:row>
      <xdr:rowOff>122600</xdr:rowOff>
    </xdr:to>
    <xdr:cxnSp macro="">
      <xdr:nvCxnSpPr>
        <xdr:cNvPr id="8" name="Прямая со стрелкой 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5233536" y="3059231"/>
          <a:ext cx="557253" cy="1465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157655</xdr:colOff>
      <xdr:row>8</xdr:row>
      <xdr:rowOff>164224</xdr:rowOff>
    </xdr:from>
    <xdr:to>
      <xdr:col>9</xdr:col>
      <xdr:colOff>0</xdr:colOff>
      <xdr:row>8</xdr:row>
      <xdr:rowOff>164224</xdr:rowOff>
    </xdr:to>
    <xdr:cxnSp macro="">
      <xdr:nvCxnSpPr>
        <xdr:cNvPr id="9" name="Прямая со стрелкой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4482005" y="2612149"/>
          <a:ext cx="785320" cy="0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1</xdr:col>
      <xdr:colOff>304800</xdr:colOff>
      <xdr:row>35</xdr:row>
      <xdr:rowOff>190500</xdr:rowOff>
    </xdr:to>
    <xdr:sp macro="" textlink="">
      <xdr:nvSpPr>
        <xdr:cNvPr id="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771775" y="11068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304800</xdr:colOff>
      <xdr:row>36</xdr:row>
      <xdr:rowOff>190500</xdr:rowOff>
    </xdr:to>
    <xdr:sp macro="" textlink="">
      <xdr:nvSpPr>
        <xdr:cNvPr id="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771775" y="1141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304800</xdr:colOff>
      <xdr:row>38</xdr:row>
      <xdr:rowOff>190500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1801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304808</xdr:colOff>
      <xdr:row>35</xdr:row>
      <xdr:rowOff>0</xdr:rowOff>
    </xdr:from>
    <xdr:ext cx="1051112" cy="3955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5762073" y="10780059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4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400" b="0" i="1">
                            <a:latin typeface="Cambria Math"/>
                          </a:rPr>
                          <m:t>1</m:t>
                        </m:r>
                        <m:r>
                          <a:rPr lang="ru-RU" sz="14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400" b="0" i="1">
                            <a:latin typeface="Cambria Math"/>
                          </a:rPr>
                          <m:t>1,036</m:t>
                        </m:r>
                      </m:e>
                    </m:rad>
                  </m:oMath>
                </m:oMathPara>
              </a14:m>
              <a:endParaRPr lang="ru-RU" sz="14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5762073" y="10780059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ru-RU" sz="1400" i="0">
                  <a:latin typeface="Cambria Math"/>
                </a:rPr>
                <a:t>√(</a:t>
              </a:r>
              <a:r>
                <a:rPr lang="ru-RU" sz="1400" b="0" i="0">
                  <a:latin typeface="Cambria Math"/>
                </a:rPr>
                <a:t>12&amp;1,036)</a:t>
              </a:r>
              <a:endParaRPr lang="ru-RU" sz="1400"/>
            </a:p>
          </xdr:txBody>
        </xdr:sp>
      </mc:Fallback>
    </mc:AlternateContent>
    <xdr:clientData/>
  </xdr:oneCellAnchor>
  <xdr:oneCellAnchor>
    <xdr:from>
      <xdr:col>3</xdr:col>
      <xdr:colOff>291362</xdr:colOff>
      <xdr:row>36</xdr:row>
      <xdr:rowOff>11207</xdr:rowOff>
    </xdr:from>
    <xdr:ext cx="1051112" cy="3955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5748627" y="11138648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4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400" b="0" i="1">
                            <a:latin typeface="Cambria Math"/>
                          </a:rPr>
                          <m:t>1</m:t>
                        </m:r>
                        <m:r>
                          <a:rPr lang="ru-RU" sz="14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400" b="0" i="1">
                            <a:latin typeface="Cambria Math"/>
                          </a:rPr>
                          <m:t>1,03</m:t>
                        </m:r>
                        <m:r>
                          <a:rPr lang="en-US" sz="1400" b="0" i="1">
                            <a:latin typeface="Cambria Math"/>
                          </a:rPr>
                          <m:t>7</m:t>
                        </m:r>
                      </m:e>
                    </m:rad>
                  </m:oMath>
                </m:oMathPara>
              </a14:m>
              <a:endParaRPr lang="ru-RU" sz="14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5748627" y="11138648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ru-RU" sz="1400" i="0">
                  <a:latin typeface="Cambria Math"/>
                </a:rPr>
                <a:t>√(</a:t>
              </a:r>
              <a:r>
                <a:rPr lang="ru-RU" sz="1400" b="0" i="0">
                  <a:latin typeface="Cambria Math"/>
                </a:rPr>
                <a:t>12&amp;1,03</a:t>
              </a:r>
              <a:r>
                <a:rPr lang="en-US" sz="1400" b="0" i="0">
                  <a:latin typeface="Cambria Math"/>
                </a:rPr>
                <a:t>7</a:t>
              </a:r>
              <a:r>
                <a:rPr lang="ru-RU" sz="1400" b="0" i="0">
                  <a:latin typeface="Cambria Math"/>
                </a:rPr>
                <a:t>)</a:t>
              </a:r>
              <a:endParaRPr lang="ru-RU" sz="1400"/>
            </a:p>
          </xdr:txBody>
        </xdr:sp>
      </mc:Fallback>
    </mc:AlternateContent>
    <xdr:clientData/>
  </xdr:oneCellAnchor>
  <xdr:oneCellAnchor>
    <xdr:from>
      <xdr:col>2</xdr:col>
      <xdr:colOff>293041</xdr:colOff>
      <xdr:row>38</xdr:row>
      <xdr:rowOff>324971</xdr:rowOff>
    </xdr:from>
    <xdr:ext cx="2317933" cy="3809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4730570" y="12954000"/>
              <a:ext cx="2317933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/>
                <a:t>1*(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1,00303</a:t>
              </a:r>
              <a:r>
                <a:rPr lang="ru-RU" sz="1400">
                  <a:effectLst/>
                </a:rPr>
                <a:t>+</a:t>
              </a:r>
              <a14:m>
                <m:oMath xmlns:m="http://schemas.openxmlformats.org/officeDocument/2006/math">
                  <m:sSup>
                    <m:sSupPr>
                      <m:ctrlPr>
                        <a:rPr lang="ru-RU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1,00303</m:t>
                      </m:r>
                    </m:e>
                    <m:sup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p>
                  </m:sSup>
                  <m:r>
                    <a:rPr lang="ru-RU" sz="1400" b="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ru-RU" sz="1400">
                  <a:effectLst/>
                </a:rPr>
                <a:t>/2 =</a:t>
              </a:r>
            </a:p>
            <a:p>
              <a:endParaRPr lang="ru-RU" sz="14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4730570" y="12954000"/>
              <a:ext cx="2317933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/>
                <a:t>1*(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1,00303</a:t>
              </a:r>
              <a:r>
                <a:rPr lang="ru-RU" sz="1400">
                  <a:effectLst/>
                </a:rPr>
                <a:t>+</a:t>
              </a:r>
              <a:r>
                <a:rPr lang="ru-RU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1,00303〗^3)</a:t>
              </a:r>
              <a:r>
                <a:rPr lang="ru-RU" sz="1400">
                  <a:effectLst/>
                </a:rPr>
                <a:t>/2 =</a:t>
              </a:r>
            </a:p>
            <a:p>
              <a:endParaRPr lang="ru-RU" sz="1400"/>
            </a:p>
          </xdr:txBody>
        </xdr:sp>
      </mc:Fallback>
    </mc:AlternateContent>
    <xdr:clientData/>
  </xdr:oneCellAnchor>
  <xdr:oneCellAnchor>
    <xdr:from>
      <xdr:col>1</xdr:col>
      <xdr:colOff>0</xdr:colOff>
      <xdr:row>37</xdr:row>
      <xdr:rowOff>0</xdr:rowOff>
    </xdr:from>
    <xdr:ext cx="304800" cy="190500"/>
    <xdr:sp macro="" textlink="">
      <xdr:nvSpPr>
        <xdr:cNvPr id="9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56647" y="11665324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291357</xdr:colOff>
      <xdr:row>39</xdr:row>
      <xdr:rowOff>44824</xdr:rowOff>
    </xdr:from>
    <xdr:ext cx="2330823" cy="3809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4728886" y="13603942"/>
              <a:ext cx="2330823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ru-RU" sz="1400" b="0" i="1">
                      <a:latin typeface="Cambria Math"/>
                    </a:rPr>
                    <m:t>1∗0,35+</m:t>
                  </m:r>
                  <m:r>
                    <a:rPr lang="ru-RU" sz="1400" b="0" i="0">
                      <a:latin typeface="Cambria Math"/>
                    </a:rPr>
                    <m:t>1,00607∗0,65</m:t>
                  </m:r>
                </m:oMath>
              </a14:m>
              <a:r>
                <a:rPr lang="ru-RU" sz="1400">
                  <a:effectLst/>
                </a:rPr>
                <a:t> =</a:t>
              </a:r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4728886" y="13603942"/>
              <a:ext cx="2330823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 b="0" i="0">
                  <a:latin typeface="Cambria Math"/>
                </a:rPr>
                <a:t>1∗0,35+1,00607∗0,65</a:t>
              </a:r>
              <a:r>
                <a:rPr lang="ru-RU" sz="1400">
                  <a:effectLst/>
                </a:rPr>
                <a:t> =</a:t>
              </a:r>
            </a:p>
          </xdr:txBody>
        </xdr:sp>
      </mc:Fallback>
    </mc:AlternateContent>
    <xdr:clientData/>
  </xdr:oneCellAnchor>
  <xdr:oneCellAnchor>
    <xdr:from>
      <xdr:col>1</xdr:col>
      <xdr:colOff>0</xdr:colOff>
      <xdr:row>38</xdr:row>
      <xdr:rowOff>0</xdr:rowOff>
    </xdr:from>
    <xdr:ext cx="304800" cy="190500"/>
    <xdr:sp macro="" textlink="">
      <xdr:nvSpPr>
        <xdr:cNvPr id="12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56647" y="11519647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Данные для расчёта сметы"/>
      <sheetName val="Прилож"/>
      <sheetName val="ПДР"/>
      <sheetName val="DATA"/>
      <sheetName val="вариант"/>
      <sheetName val="Обновление"/>
      <sheetName val="Цена"/>
      <sheetName val="Product"/>
      <sheetName val="см8"/>
      <sheetName val="Summary"/>
      <sheetName val="Пример расчета"/>
      <sheetName val="свод 2"/>
      <sheetName val="Табл38-7"/>
      <sheetName val="Зап-3- СЦБ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ПОДПИСИ"/>
      <sheetName val="РАСЧЕТ"/>
      <sheetName val="Текущие_цены"/>
      <sheetName val="отчет_эл_эн__2000"/>
      <sheetName val="к_84-к_83"/>
      <sheetName val="6.3"/>
      <sheetName val="6.7"/>
      <sheetName val="6.3.1.3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Opex personnel (Term facs)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Капитальные затраты"/>
      <sheetName val="накладная"/>
      <sheetName val="Акт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/>
      <sheetData sheetId="395"/>
      <sheetData sheetId="396"/>
      <sheetData sheetId="397" refreshError="1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topLeftCell="A24" workbookViewId="0">
      <selection activeCell="H39" sqref="H39"/>
    </sheetView>
  </sheetViews>
  <sheetFormatPr defaultColWidth="9.140625" defaultRowHeight="12.75" x14ac:dyDescent="0.2"/>
  <cols>
    <col min="1" max="1" width="4.5703125" style="11" customWidth="1"/>
    <col min="2" max="2" width="33.140625" style="14" customWidth="1"/>
    <col min="3" max="3" width="10.42578125" style="14" customWidth="1"/>
    <col min="4" max="4" width="11.85546875" style="11" customWidth="1"/>
    <col min="5" max="5" width="24.5703125" style="14" customWidth="1"/>
    <col min="6" max="6" width="11.7109375" style="14" customWidth="1"/>
    <col min="7" max="11" width="8.7109375" style="14" customWidth="1"/>
    <col min="12" max="12" width="15.7109375" style="14" customWidth="1"/>
    <col min="13" max="13" width="11.5703125" style="14" bestFit="1" customWidth="1"/>
    <col min="14" max="14" width="11.140625" style="14" customWidth="1"/>
    <col min="15" max="256" width="9.140625" style="14"/>
    <col min="257" max="257" width="4.5703125" style="14" customWidth="1"/>
    <col min="258" max="258" width="33.140625" style="14" customWidth="1"/>
    <col min="259" max="259" width="10.42578125" style="14" customWidth="1"/>
    <col min="260" max="260" width="11.85546875" style="14" customWidth="1"/>
    <col min="261" max="261" width="24.5703125" style="14" customWidth="1"/>
    <col min="262" max="262" width="11.7109375" style="14" customWidth="1"/>
    <col min="263" max="267" width="8.7109375" style="14" customWidth="1"/>
    <col min="268" max="268" width="15.7109375" style="14" customWidth="1"/>
    <col min="269" max="269" width="11.5703125" style="14" bestFit="1" customWidth="1"/>
    <col min="270" max="270" width="11.140625" style="14" customWidth="1"/>
    <col min="271" max="512" width="9.140625" style="14"/>
    <col min="513" max="513" width="4.5703125" style="14" customWidth="1"/>
    <col min="514" max="514" width="33.140625" style="14" customWidth="1"/>
    <col min="515" max="515" width="10.42578125" style="14" customWidth="1"/>
    <col min="516" max="516" width="11.85546875" style="14" customWidth="1"/>
    <col min="517" max="517" width="24.5703125" style="14" customWidth="1"/>
    <col min="518" max="518" width="11.7109375" style="14" customWidth="1"/>
    <col min="519" max="523" width="8.7109375" style="14" customWidth="1"/>
    <col min="524" max="524" width="15.7109375" style="14" customWidth="1"/>
    <col min="525" max="525" width="11.5703125" style="14" bestFit="1" customWidth="1"/>
    <col min="526" max="526" width="11.140625" style="14" customWidth="1"/>
    <col min="527" max="768" width="9.140625" style="14"/>
    <col min="769" max="769" width="4.5703125" style="14" customWidth="1"/>
    <col min="770" max="770" width="33.140625" style="14" customWidth="1"/>
    <col min="771" max="771" width="10.42578125" style="14" customWidth="1"/>
    <col min="772" max="772" width="11.85546875" style="14" customWidth="1"/>
    <col min="773" max="773" width="24.5703125" style="14" customWidth="1"/>
    <col min="774" max="774" width="11.7109375" style="14" customWidth="1"/>
    <col min="775" max="779" width="8.7109375" style="14" customWidth="1"/>
    <col min="780" max="780" width="15.7109375" style="14" customWidth="1"/>
    <col min="781" max="781" width="11.5703125" style="14" bestFit="1" customWidth="1"/>
    <col min="782" max="782" width="11.140625" style="14" customWidth="1"/>
    <col min="783" max="1024" width="9.140625" style="14"/>
    <col min="1025" max="1025" width="4.5703125" style="14" customWidth="1"/>
    <col min="1026" max="1026" width="33.140625" style="14" customWidth="1"/>
    <col min="1027" max="1027" width="10.42578125" style="14" customWidth="1"/>
    <col min="1028" max="1028" width="11.85546875" style="14" customWidth="1"/>
    <col min="1029" max="1029" width="24.5703125" style="14" customWidth="1"/>
    <col min="1030" max="1030" width="11.7109375" style="14" customWidth="1"/>
    <col min="1031" max="1035" width="8.7109375" style="14" customWidth="1"/>
    <col min="1036" max="1036" width="15.7109375" style="14" customWidth="1"/>
    <col min="1037" max="1037" width="11.5703125" style="14" bestFit="1" customWidth="1"/>
    <col min="1038" max="1038" width="11.140625" style="14" customWidth="1"/>
    <col min="1039" max="1280" width="9.140625" style="14"/>
    <col min="1281" max="1281" width="4.5703125" style="14" customWidth="1"/>
    <col min="1282" max="1282" width="33.140625" style="14" customWidth="1"/>
    <col min="1283" max="1283" width="10.42578125" style="14" customWidth="1"/>
    <col min="1284" max="1284" width="11.85546875" style="14" customWidth="1"/>
    <col min="1285" max="1285" width="24.5703125" style="14" customWidth="1"/>
    <col min="1286" max="1286" width="11.7109375" style="14" customWidth="1"/>
    <col min="1287" max="1291" width="8.7109375" style="14" customWidth="1"/>
    <col min="1292" max="1292" width="15.7109375" style="14" customWidth="1"/>
    <col min="1293" max="1293" width="11.5703125" style="14" bestFit="1" customWidth="1"/>
    <col min="1294" max="1294" width="11.140625" style="14" customWidth="1"/>
    <col min="1295" max="1536" width="9.140625" style="14"/>
    <col min="1537" max="1537" width="4.5703125" style="14" customWidth="1"/>
    <col min="1538" max="1538" width="33.140625" style="14" customWidth="1"/>
    <col min="1539" max="1539" width="10.42578125" style="14" customWidth="1"/>
    <col min="1540" max="1540" width="11.85546875" style="14" customWidth="1"/>
    <col min="1541" max="1541" width="24.5703125" style="14" customWidth="1"/>
    <col min="1542" max="1542" width="11.7109375" style="14" customWidth="1"/>
    <col min="1543" max="1547" width="8.7109375" style="14" customWidth="1"/>
    <col min="1548" max="1548" width="15.7109375" style="14" customWidth="1"/>
    <col min="1549" max="1549" width="11.5703125" style="14" bestFit="1" customWidth="1"/>
    <col min="1550" max="1550" width="11.140625" style="14" customWidth="1"/>
    <col min="1551" max="1792" width="9.140625" style="14"/>
    <col min="1793" max="1793" width="4.5703125" style="14" customWidth="1"/>
    <col min="1794" max="1794" width="33.140625" style="14" customWidth="1"/>
    <col min="1795" max="1795" width="10.42578125" style="14" customWidth="1"/>
    <col min="1796" max="1796" width="11.85546875" style="14" customWidth="1"/>
    <col min="1797" max="1797" width="24.5703125" style="14" customWidth="1"/>
    <col min="1798" max="1798" width="11.7109375" style="14" customWidth="1"/>
    <col min="1799" max="1803" width="8.7109375" style="14" customWidth="1"/>
    <col min="1804" max="1804" width="15.7109375" style="14" customWidth="1"/>
    <col min="1805" max="1805" width="11.5703125" style="14" bestFit="1" customWidth="1"/>
    <col min="1806" max="1806" width="11.140625" style="14" customWidth="1"/>
    <col min="1807" max="2048" width="9.140625" style="14"/>
    <col min="2049" max="2049" width="4.5703125" style="14" customWidth="1"/>
    <col min="2050" max="2050" width="33.140625" style="14" customWidth="1"/>
    <col min="2051" max="2051" width="10.42578125" style="14" customWidth="1"/>
    <col min="2052" max="2052" width="11.85546875" style="14" customWidth="1"/>
    <col min="2053" max="2053" width="24.5703125" style="14" customWidth="1"/>
    <col min="2054" max="2054" width="11.7109375" style="14" customWidth="1"/>
    <col min="2055" max="2059" width="8.7109375" style="14" customWidth="1"/>
    <col min="2060" max="2060" width="15.7109375" style="14" customWidth="1"/>
    <col min="2061" max="2061" width="11.5703125" style="14" bestFit="1" customWidth="1"/>
    <col min="2062" max="2062" width="11.140625" style="14" customWidth="1"/>
    <col min="2063" max="2304" width="9.140625" style="14"/>
    <col min="2305" max="2305" width="4.5703125" style="14" customWidth="1"/>
    <col min="2306" max="2306" width="33.140625" style="14" customWidth="1"/>
    <col min="2307" max="2307" width="10.42578125" style="14" customWidth="1"/>
    <col min="2308" max="2308" width="11.85546875" style="14" customWidth="1"/>
    <col min="2309" max="2309" width="24.5703125" style="14" customWidth="1"/>
    <col min="2310" max="2310" width="11.7109375" style="14" customWidth="1"/>
    <col min="2311" max="2315" width="8.7109375" style="14" customWidth="1"/>
    <col min="2316" max="2316" width="15.7109375" style="14" customWidth="1"/>
    <col min="2317" max="2317" width="11.5703125" style="14" bestFit="1" customWidth="1"/>
    <col min="2318" max="2318" width="11.140625" style="14" customWidth="1"/>
    <col min="2319" max="2560" width="9.140625" style="14"/>
    <col min="2561" max="2561" width="4.5703125" style="14" customWidth="1"/>
    <col min="2562" max="2562" width="33.140625" style="14" customWidth="1"/>
    <col min="2563" max="2563" width="10.42578125" style="14" customWidth="1"/>
    <col min="2564" max="2564" width="11.85546875" style="14" customWidth="1"/>
    <col min="2565" max="2565" width="24.5703125" style="14" customWidth="1"/>
    <col min="2566" max="2566" width="11.7109375" style="14" customWidth="1"/>
    <col min="2567" max="2571" width="8.7109375" style="14" customWidth="1"/>
    <col min="2572" max="2572" width="15.7109375" style="14" customWidth="1"/>
    <col min="2573" max="2573" width="11.5703125" style="14" bestFit="1" customWidth="1"/>
    <col min="2574" max="2574" width="11.140625" style="14" customWidth="1"/>
    <col min="2575" max="2816" width="9.140625" style="14"/>
    <col min="2817" max="2817" width="4.5703125" style="14" customWidth="1"/>
    <col min="2818" max="2818" width="33.140625" style="14" customWidth="1"/>
    <col min="2819" max="2819" width="10.42578125" style="14" customWidth="1"/>
    <col min="2820" max="2820" width="11.85546875" style="14" customWidth="1"/>
    <col min="2821" max="2821" width="24.5703125" style="14" customWidth="1"/>
    <col min="2822" max="2822" width="11.7109375" style="14" customWidth="1"/>
    <col min="2823" max="2827" width="8.7109375" style="14" customWidth="1"/>
    <col min="2828" max="2828" width="15.7109375" style="14" customWidth="1"/>
    <col min="2829" max="2829" width="11.5703125" style="14" bestFit="1" customWidth="1"/>
    <col min="2830" max="2830" width="11.140625" style="14" customWidth="1"/>
    <col min="2831" max="3072" width="9.140625" style="14"/>
    <col min="3073" max="3073" width="4.5703125" style="14" customWidth="1"/>
    <col min="3074" max="3074" width="33.140625" style="14" customWidth="1"/>
    <col min="3075" max="3075" width="10.42578125" style="14" customWidth="1"/>
    <col min="3076" max="3076" width="11.85546875" style="14" customWidth="1"/>
    <col min="3077" max="3077" width="24.5703125" style="14" customWidth="1"/>
    <col min="3078" max="3078" width="11.7109375" style="14" customWidth="1"/>
    <col min="3079" max="3083" width="8.7109375" style="14" customWidth="1"/>
    <col min="3084" max="3084" width="15.7109375" style="14" customWidth="1"/>
    <col min="3085" max="3085" width="11.5703125" style="14" bestFit="1" customWidth="1"/>
    <col min="3086" max="3086" width="11.140625" style="14" customWidth="1"/>
    <col min="3087" max="3328" width="9.140625" style="14"/>
    <col min="3329" max="3329" width="4.5703125" style="14" customWidth="1"/>
    <col min="3330" max="3330" width="33.140625" style="14" customWidth="1"/>
    <col min="3331" max="3331" width="10.42578125" style="14" customWidth="1"/>
    <col min="3332" max="3332" width="11.85546875" style="14" customWidth="1"/>
    <col min="3333" max="3333" width="24.5703125" style="14" customWidth="1"/>
    <col min="3334" max="3334" width="11.7109375" style="14" customWidth="1"/>
    <col min="3335" max="3339" width="8.7109375" style="14" customWidth="1"/>
    <col min="3340" max="3340" width="15.7109375" style="14" customWidth="1"/>
    <col min="3341" max="3341" width="11.5703125" style="14" bestFit="1" customWidth="1"/>
    <col min="3342" max="3342" width="11.140625" style="14" customWidth="1"/>
    <col min="3343" max="3584" width="9.140625" style="14"/>
    <col min="3585" max="3585" width="4.5703125" style="14" customWidth="1"/>
    <col min="3586" max="3586" width="33.140625" style="14" customWidth="1"/>
    <col min="3587" max="3587" width="10.42578125" style="14" customWidth="1"/>
    <col min="3588" max="3588" width="11.85546875" style="14" customWidth="1"/>
    <col min="3589" max="3589" width="24.5703125" style="14" customWidth="1"/>
    <col min="3590" max="3590" width="11.7109375" style="14" customWidth="1"/>
    <col min="3591" max="3595" width="8.7109375" style="14" customWidth="1"/>
    <col min="3596" max="3596" width="15.7109375" style="14" customWidth="1"/>
    <col min="3597" max="3597" width="11.5703125" style="14" bestFit="1" customWidth="1"/>
    <col min="3598" max="3598" width="11.140625" style="14" customWidth="1"/>
    <col min="3599" max="3840" width="9.140625" style="14"/>
    <col min="3841" max="3841" width="4.5703125" style="14" customWidth="1"/>
    <col min="3842" max="3842" width="33.140625" style="14" customWidth="1"/>
    <col min="3843" max="3843" width="10.42578125" style="14" customWidth="1"/>
    <col min="3844" max="3844" width="11.85546875" style="14" customWidth="1"/>
    <col min="3845" max="3845" width="24.5703125" style="14" customWidth="1"/>
    <col min="3846" max="3846" width="11.7109375" style="14" customWidth="1"/>
    <col min="3847" max="3851" width="8.7109375" style="14" customWidth="1"/>
    <col min="3852" max="3852" width="15.7109375" style="14" customWidth="1"/>
    <col min="3853" max="3853" width="11.5703125" style="14" bestFit="1" customWidth="1"/>
    <col min="3854" max="3854" width="11.140625" style="14" customWidth="1"/>
    <col min="3855" max="4096" width="9.140625" style="14"/>
    <col min="4097" max="4097" width="4.5703125" style="14" customWidth="1"/>
    <col min="4098" max="4098" width="33.140625" style="14" customWidth="1"/>
    <col min="4099" max="4099" width="10.42578125" style="14" customWidth="1"/>
    <col min="4100" max="4100" width="11.85546875" style="14" customWidth="1"/>
    <col min="4101" max="4101" width="24.5703125" style="14" customWidth="1"/>
    <col min="4102" max="4102" width="11.7109375" style="14" customWidth="1"/>
    <col min="4103" max="4107" width="8.7109375" style="14" customWidth="1"/>
    <col min="4108" max="4108" width="15.7109375" style="14" customWidth="1"/>
    <col min="4109" max="4109" width="11.5703125" style="14" bestFit="1" customWidth="1"/>
    <col min="4110" max="4110" width="11.140625" style="14" customWidth="1"/>
    <col min="4111" max="4352" width="9.140625" style="14"/>
    <col min="4353" max="4353" width="4.5703125" style="14" customWidth="1"/>
    <col min="4354" max="4354" width="33.140625" style="14" customWidth="1"/>
    <col min="4355" max="4355" width="10.42578125" style="14" customWidth="1"/>
    <col min="4356" max="4356" width="11.85546875" style="14" customWidth="1"/>
    <col min="4357" max="4357" width="24.5703125" style="14" customWidth="1"/>
    <col min="4358" max="4358" width="11.7109375" style="14" customWidth="1"/>
    <col min="4359" max="4363" width="8.7109375" style="14" customWidth="1"/>
    <col min="4364" max="4364" width="15.7109375" style="14" customWidth="1"/>
    <col min="4365" max="4365" width="11.5703125" style="14" bestFit="1" customWidth="1"/>
    <col min="4366" max="4366" width="11.140625" style="14" customWidth="1"/>
    <col min="4367" max="4608" width="9.140625" style="14"/>
    <col min="4609" max="4609" width="4.5703125" style="14" customWidth="1"/>
    <col min="4610" max="4610" width="33.140625" style="14" customWidth="1"/>
    <col min="4611" max="4611" width="10.42578125" style="14" customWidth="1"/>
    <col min="4612" max="4612" width="11.85546875" style="14" customWidth="1"/>
    <col min="4613" max="4613" width="24.5703125" style="14" customWidth="1"/>
    <col min="4614" max="4614" width="11.7109375" style="14" customWidth="1"/>
    <col min="4615" max="4619" width="8.7109375" style="14" customWidth="1"/>
    <col min="4620" max="4620" width="15.7109375" style="14" customWidth="1"/>
    <col min="4621" max="4621" width="11.5703125" style="14" bestFit="1" customWidth="1"/>
    <col min="4622" max="4622" width="11.140625" style="14" customWidth="1"/>
    <col min="4623" max="4864" width="9.140625" style="14"/>
    <col min="4865" max="4865" width="4.5703125" style="14" customWidth="1"/>
    <col min="4866" max="4866" width="33.140625" style="14" customWidth="1"/>
    <col min="4867" max="4867" width="10.42578125" style="14" customWidth="1"/>
    <col min="4868" max="4868" width="11.85546875" style="14" customWidth="1"/>
    <col min="4869" max="4869" width="24.5703125" style="14" customWidth="1"/>
    <col min="4870" max="4870" width="11.7109375" style="14" customWidth="1"/>
    <col min="4871" max="4875" width="8.7109375" style="14" customWidth="1"/>
    <col min="4876" max="4876" width="15.7109375" style="14" customWidth="1"/>
    <col min="4877" max="4877" width="11.5703125" style="14" bestFit="1" customWidth="1"/>
    <col min="4878" max="4878" width="11.140625" style="14" customWidth="1"/>
    <col min="4879" max="5120" width="9.140625" style="14"/>
    <col min="5121" max="5121" width="4.5703125" style="14" customWidth="1"/>
    <col min="5122" max="5122" width="33.140625" style="14" customWidth="1"/>
    <col min="5123" max="5123" width="10.42578125" style="14" customWidth="1"/>
    <col min="5124" max="5124" width="11.85546875" style="14" customWidth="1"/>
    <col min="5125" max="5125" width="24.5703125" style="14" customWidth="1"/>
    <col min="5126" max="5126" width="11.7109375" style="14" customWidth="1"/>
    <col min="5127" max="5131" width="8.7109375" style="14" customWidth="1"/>
    <col min="5132" max="5132" width="15.7109375" style="14" customWidth="1"/>
    <col min="5133" max="5133" width="11.5703125" style="14" bestFit="1" customWidth="1"/>
    <col min="5134" max="5134" width="11.140625" style="14" customWidth="1"/>
    <col min="5135" max="5376" width="9.140625" style="14"/>
    <col min="5377" max="5377" width="4.5703125" style="14" customWidth="1"/>
    <col min="5378" max="5378" width="33.140625" style="14" customWidth="1"/>
    <col min="5379" max="5379" width="10.42578125" style="14" customWidth="1"/>
    <col min="5380" max="5380" width="11.85546875" style="14" customWidth="1"/>
    <col min="5381" max="5381" width="24.5703125" style="14" customWidth="1"/>
    <col min="5382" max="5382" width="11.7109375" style="14" customWidth="1"/>
    <col min="5383" max="5387" width="8.7109375" style="14" customWidth="1"/>
    <col min="5388" max="5388" width="15.7109375" style="14" customWidth="1"/>
    <col min="5389" max="5389" width="11.5703125" style="14" bestFit="1" customWidth="1"/>
    <col min="5390" max="5390" width="11.140625" style="14" customWidth="1"/>
    <col min="5391" max="5632" width="9.140625" style="14"/>
    <col min="5633" max="5633" width="4.5703125" style="14" customWidth="1"/>
    <col min="5634" max="5634" width="33.140625" style="14" customWidth="1"/>
    <col min="5635" max="5635" width="10.42578125" style="14" customWidth="1"/>
    <col min="5636" max="5636" width="11.85546875" style="14" customWidth="1"/>
    <col min="5637" max="5637" width="24.5703125" style="14" customWidth="1"/>
    <col min="5638" max="5638" width="11.7109375" style="14" customWidth="1"/>
    <col min="5639" max="5643" width="8.7109375" style="14" customWidth="1"/>
    <col min="5644" max="5644" width="15.7109375" style="14" customWidth="1"/>
    <col min="5645" max="5645" width="11.5703125" style="14" bestFit="1" customWidth="1"/>
    <col min="5646" max="5646" width="11.140625" style="14" customWidth="1"/>
    <col min="5647" max="5888" width="9.140625" style="14"/>
    <col min="5889" max="5889" width="4.5703125" style="14" customWidth="1"/>
    <col min="5890" max="5890" width="33.140625" style="14" customWidth="1"/>
    <col min="5891" max="5891" width="10.42578125" style="14" customWidth="1"/>
    <col min="5892" max="5892" width="11.85546875" style="14" customWidth="1"/>
    <col min="5893" max="5893" width="24.5703125" style="14" customWidth="1"/>
    <col min="5894" max="5894" width="11.7109375" style="14" customWidth="1"/>
    <col min="5895" max="5899" width="8.7109375" style="14" customWidth="1"/>
    <col min="5900" max="5900" width="15.7109375" style="14" customWidth="1"/>
    <col min="5901" max="5901" width="11.5703125" style="14" bestFit="1" customWidth="1"/>
    <col min="5902" max="5902" width="11.140625" style="14" customWidth="1"/>
    <col min="5903" max="6144" width="9.140625" style="14"/>
    <col min="6145" max="6145" width="4.5703125" style="14" customWidth="1"/>
    <col min="6146" max="6146" width="33.140625" style="14" customWidth="1"/>
    <col min="6147" max="6147" width="10.42578125" style="14" customWidth="1"/>
    <col min="6148" max="6148" width="11.85546875" style="14" customWidth="1"/>
    <col min="6149" max="6149" width="24.5703125" style="14" customWidth="1"/>
    <col min="6150" max="6150" width="11.7109375" style="14" customWidth="1"/>
    <col min="6151" max="6155" width="8.7109375" style="14" customWidth="1"/>
    <col min="6156" max="6156" width="15.7109375" style="14" customWidth="1"/>
    <col min="6157" max="6157" width="11.5703125" style="14" bestFit="1" customWidth="1"/>
    <col min="6158" max="6158" width="11.140625" style="14" customWidth="1"/>
    <col min="6159" max="6400" width="9.140625" style="14"/>
    <col min="6401" max="6401" width="4.5703125" style="14" customWidth="1"/>
    <col min="6402" max="6402" width="33.140625" style="14" customWidth="1"/>
    <col min="6403" max="6403" width="10.42578125" style="14" customWidth="1"/>
    <col min="6404" max="6404" width="11.85546875" style="14" customWidth="1"/>
    <col min="6405" max="6405" width="24.5703125" style="14" customWidth="1"/>
    <col min="6406" max="6406" width="11.7109375" style="14" customWidth="1"/>
    <col min="6407" max="6411" width="8.7109375" style="14" customWidth="1"/>
    <col min="6412" max="6412" width="15.7109375" style="14" customWidth="1"/>
    <col min="6413" max="6413" width="11.5703125" style="14" bestFit="1" customWidth="1"/>
    <col min="6414" max="6414" width="11.140625" style="14" customWidth="1"/>
    <col min="6415" max="6656" width="9.140625" style="14"/>
    <col min="6657" max="6657" width="4.5703125" style="14" customWidth="1"/>
    <col min="6658" max="6658" width="33.140625" style="14" customWidth="1"/>
    <col min="6659" max="6659" width="10.42578125" style="14" customWidth="1"/>
    <col min="6660" max="6660" width="11.85546875" style="14" customWidth="1"/>
    <col min="6661" max="6661" width="24.5703125" style="14" customWidth="1"/>
    <col min="6662" max="6662" width="11.7109375" style="14" customWidth="1"/>
    <col min="6663" max="6667" width="8.7109375" style="14" customWidth="1"/>
    <col min="6668" max="6668" width="15.7109375" style="14" customWidth="1"/>
    <col min="6669" max="6669" width="11.5703125" style="14" bestFit="1" customWidth="1"/>
    <col min="6670" max="6670" width="11.140625" style="14" customWidth="1"/>
    <col min="6671" max="6912" width="9.140625" style="14"/>
    <col min="6913" max="6913" width="4.5703125" style="14" customWidth="1"/>
    <col min="6914" max="6914" width="33.140625" style="14" customWidth="1"/>
    <col min="6915" max="6915" width="10.42578125" style="14" customWidth="1"/>
    <col min="6916" max="6916" width="11.85546875" style="14" customWidth="1"/>
    <col min="6917" max="6917" width="24.5703125" style="14" customWidth="1"/>
    <col min="6918" max="6918" width="11.7109375" style="14" customWidth="1"/>
    <col min="6919" max="6923" width="8.7109375" style="14" customWidth="1"/>
    <col min="6924" max="6924" width="15.7109375" style="14" customWidth="1"/>
    <col min="6925" max="6925" width="11.5703125" style="14" bestFit="1" customWidth="1"/>
    <col min="6926" max="6926" width="11.140625" style="14" customWidth="1"/>
    <col min="6927" max="7168" width="9.140625" style="14"/>
    <col min="7169" max="7169" width="4.5703125" style="14" customWidth="1"/>
    <col min="7170" max="7170" width="33.140625" style="14" customWidth="1"/>
    <col min="7171" max="7171" width="10.42578125" style="14" customWidth="1"/>
    <col min="7172" max="7172" width="11.85546875" style="14" customWidth="1"/>
    <col min="7173" max="7173" width="24.5703125" style="14" customWidth="1"/>
    <col min="7174" max="7174" width="11.7109375" style="14" customWidth="1"/>
    <col min="7175" max="7179" width="8.7109375" style="14" customWidth="1"/>
    <col min="7180" max="7180" width="15.7109375" style="14" customWidth="1"/>
    <col min="7181" max="7181" width="11.5703125" style="14" bestFit="1" customWidth="1"/>
    <col min="7182" max="7182" width="11.140625" style="14" customWidth="1"/>
    <col min="7183" max="7424" width="9.140625" style="14"/>
    <col min="7425" max="7425" width="4.5703125" style="14" customWidth="1"/>
    <col min="7426" max="7426" width="33.140625" style="14" customWidth="1"/>
    <col min="7427" max="7427" width="10.42578125" style="14" customWidth="1"/>
    <col min="7428" max="7428" width="11.85546875" style="14" customWidth="1"/>
    <col min="7429" max="7429" width="24.5703125" style="14" customWidth="1"/>
    <col min="7430" max="7430" width="11.7109375" style="14" customWidth="1"/>
    <col min="7431" max="7435" width="8.7109375" style="14" customWidth="1"/>
    <col min="7436" max="7436" width="15.7109375" style="14" customWidth="1"/>
    <col min="7437" max="7437" width="11.5703125" style="14" bestFit="1" customWidth="1"/>
    <col min="7438" max="7438" width="11.140625" style="14" customWidth="1"/>
    <col min="7439" max="7680" width="9.140625" style="14"/>
    <col min="7681" max="7681" width="4.5703125" style="14" customWidth="1"/>
    <col min="7682" max="7682" width="33.140625" style="14" customWidth="1"/>
    <col min="7683" max="7683" width="10.42578125" style="14" customWidth="1"/>
    <col min="7684" max="7684" width="11.85546875" style="14" customWidth="1"/>
    <col min="7685" max="7685" width="24.5703125" style="14" customWidth="1"/>
    <col min="7686" max="7686" width="11.7109375" style="14" customWidth="1"/>
    <col min="7687" max="7691" width="8.7109375" style="14" customWidth="1"/>
    <col min="7692" max="7692" width="15.7109375" style="14" customWidth="1"/>
    <col min="7693" max="7693" width="11.5703125" style="14" bestFit="1" customWidth="1"/>
    <col min="7694" max="7694" width="11.140625" style="14" customWidth="1"/>
    <col min="7695" max="7936" width="9.140625" style="14"/>
    <col min="7937" max="7937" width="4.5703125" style="14" customWidth="1"/>
    <col min="7938" max="7938" width="33.140625" style="14" customWidth="1"/>
    <col min="7939" max="7939" width="10.42578125" style="14" customWidth="1"/>
    <col min="7940" max="7940" width="11.85546875" style="14" customWidth="1"/>
    <col min="7941" max="7941" width="24.5703125" style="14" customWidth="1"/>
    <col min="7942" max="7942" width="11.7109375" style="14" customWidth="1"/>
    <col min="7943" max="7947" width="8.7109375" style="14" customWidth="1"/>
    <col min="7948" max="7948" width="15.7109375" style="14" customWidth="1"/>
    <col min="7949" max="7949" width="11.5703125" style="14" bestFit="1" customWidth="1"/>
    <col min="7950" max="7950" width="11.140625" style="14" customWidth="1"/>
    <col min="7951" max="8192" width="9.140625" style="14"/>
    <col min="8193" max="8193" width="4.5703125" style="14" customWidth="1"/>
    <col min="8194" max="8194" width="33.140625" style="14" customWidth="1"/>
    <col min="8195" max="8195" width="10.42578125" style="14" customWidth="1"/>
    <col min="8196" max="8196" width="11.85546875" style="14" customWidth="1"/>
    <col min="8197" max="8197" width="24.5703125" style="14" customWidth="1"/>
    <col min="8198" max="8198" width="11.7109375" style="14" customWidth="1"/>
    <col min="8199" max="8203" width="8.7109375" style="14" customWidth="1"/>
    <col min="8204" max="8204" width="15.7109375" style="14" customWidth="1"/>
    <col min="8205" max="8205" width="11.5703125" style="14" bestFit="1" customWidth="1"/>
    <col min="8206" max="8206" width="11.140625" style="14" customWidth="1"/>
    <col min="8207" max="8448" width="9.140625" style="14"/>
    <col min="8449" max="8449" width="4.5703125" style="14" customWidth="1"/>
    <col min="8450" max="8450" width="33.140625" style="14" customWidth="1"/>
    <col min="8451" max="8451" width="10.42578125" style="14" customWidth="1"/>
    <col min="8452" max="8452" width="11.85546875" style="14" customWidth="1"/>
    <col min="8453" max="8453" width="24.5703125" style="14" customWidth="1"/>
    <col min="8454" max="8454" width="11.7109375" style="14" customWidth="1"/>
    <col min="8455" max="8459" width="8.7109375" style="14" customWidth="1"/>
    <col min="8460" max="8460" width="15.7109375" style="14" customWidth="1"/>
    <col min="8461" max="8461" width="11.5703125" style="14" bestFit="1" customWidth="1"/>
    <col min="8462" max="8462" width="11.140625" style="14" customWidth="1"/>
    <col min="8463" max="8704" width="9.140625" style="14"/>
    <col min="8705" max="8705" width="4.5703125" style="14" customWidth="1"/>
    <col min="8706" max="8706" width="33.140625" style="14" customWidth="1"/>
    <col min="8707" max="8707" width="10.42578125" style="14" customWidth="1"/>
    <col min="8708" max="8708" width="11.85546875" style="14" customWidth="1"/>
    <col min="8709" max="8709" width="24.5703125" style="14" customWidth="1"/>
    <col min="8710" max="8710" width="11.7109375" style="14" customWidth="1"/>
    <col min="8711" max="8715" width="8.7109375" style="14" customWidth="1"/>
    <col min="8716" max="8716" width="15.7109375" style="14" customWidth="1"/>
    <col min="8717" max="8717" width="11.5703125" style="14" bestFit="1" customWidth="1"/>
    <col min="8718" max="8718" width="11.140625" style="14" customWidth="1"/>
    <col min="8719" max="8960" width="9.140625" style="14"/>
    <col min="8961" max="8961" width="4.5703125" style="14" customWidth="1"/>
    <col min="8962" max="8962" width="33.140625" style="14" customWidth="1"/>
    <col min="8963" max="8963" width="10.42578125" style="14" customWidth="1"/>
    <col min="8964" max="8964" width="11.85546875" style="14" customWidth="1"/>
    <col min="8965" max="8965" width="24.5703125" style="14" customWidth="1"/>
    <col min="8966" max="8966" width="11.7109375" style="14" customWidth="1"/>
    <col min="8967" max="8971" width="8.7109375" style="14" customWidth="1"/>
    <col min="8972" max="8972" width="15.7109375" style="14" customWidth="1"/>
    <col min="8973" max="8973" width="11.5703125" style="14" bestFit="1" customWidth="1"/>
    <col min="8974" max="8974" width="11.140625" style="14" customWidth="1"/>
    <col min="8975" max="9216" width="9.140625" style="14"/>
    <col min="9217" max="9217" width="4.5703125" style="14" customWidth="1"/>
    <col min="9218" max="9218" width="33.140625" style="14" customWidth="1"/>
    <col min="9219" max="9219" width="10.42578125" style="14" customWidth="1"/>
    <col min="9220" max="9220" width="11.85546875" style="14" customWidth="1"/>
    <col min="9221" max="9221" width="24.5703125" style="14" customWidth="1"/>
    <col min="9222" max="9222" width="11.7109375" style="14" customWidth="1"/>
    <col min="9223" max="9227" width="8.7109375" style="14" customWidth="1"/>
    <col min="9228" max="9228" width="15.7109375" style="14" customWidth="1"/>
    <col min="9229" max="9229" width="11.5703125" style="14" bestFit="1" customWidth="1"/>
    <col min="9230" max="9230" width="11.140625" style="14" customWidth="1"/>
    <col min="9231" max="9472" width="9.140625" style="14"/>
    <col min="9473" max="9473" width="4.5703125" style="14" customWidth="1"/>
    <col min="9474" max="9474" width="33.140625" style="14" customWidth="1"/>
    <col min="9475" max="9475" width="10.42578125" style="14" customWidth="1"/>
    <col min="9476" max="9476" width="11.85546875" style="14" customWidth="1"/>
    <col min="9477" max="9477" width="24.5703125" style="14" customWidth="1"/>
    <col min="9478" max="9478" width="11.7109375" style="14" customWidth="1"/>
    <col min="9479" max="9483" width="8.7109375" style="14" customWidth="1"/>
    <col min="9484" max="9484" width="15.7109375" style="14" customWidth="1"/>
    <col min="9485" max="9485" width="11.5703125" style="14" bestFit="1" customWidth="1"/>
    <col min="9486" max="9486" width="11.140625" style="14" customWidth="1"/>
    <col min="9487" max="9728" width="9.140625" style="14"/>
    <col min="9729" max="9729" width="4.5703125" style="14" customWidth="1"/>
    <col min="9730" max="9730" width="33.140625" style="14" customWidth="1"/>
    <col min="9731" max="9731" width="10.42578125" style="14" customWidth="1"/>
    <col min="9732" max="9732" width="11.85546875" style="14" customWidth="1"/>
    <col min="9733" max="9733" width="24.5703125" style="14" customWidth="1"/>
    <col min="9734" max="9734" width="11.7109375" style="14" customWidth="1"/>
    <col min="9735" max="9739" width="8.7109375" style="14" customWidth="1"/>
    <col min="9740" max="9740" width="15.7109375" style="14" customWidth="1"/>
    <col min="9741" max="9741" width="11.5703125" style="14" bestFit="1" customWidth="1"/>
    <col min="9742" max="9742" width="11.140625" style="14" customWidth="1"/>
    <col min="9743" max="9984" width="9.140625" style="14"/>
    <col min="9985" max="9985" width="4.5703125" style="14" customWidth="1"/>
    <col min="9986" max="9986" width="33.140625" style="14" customWidth="1"/>
    <col min="9987" max="9987" width="10.42578125" style="14" customWidth="1"/>
    <col min="9988" max="9988" width="11.85546875" style="14" customWidth="1"/>
    <col min="9989" max="9989" width="24.5703125" style="14" customWidth="1"/>
    <col min="9990" max="9990" width="11.7109375" style="14" customWidth="1"/>
    <col min="9991" max="9995" width="8.7109375" style="14" customWidth="1"/>
    <col min="9996" max="9996" width="15.7109375" style="14" customWidth="1"/>
    <col min="9997" max="9997" width="11.5703125" style="14" bestFit="1" customWidth="1"/>
    <col min="9998" max="9998" width="11.140625" style="14" customWidth="1"/>
    <col min="9999" max="10240" width="9.140625" style="14"/>
    <col min="10241" max="10241" width="4.5703125" style="14" customWidth="1"/>
    <col min="10242" max="10242" width="33.140625" style="14" customWidth="1"/>
    <col min="10243" max="10243" width="10.42578125" style="14" customWidth="1"/>
    <col min="10244" max="10244" width="11.85546875" style="14" customWidth="1"/>
    <col min="10245" max="10245" width="24.5703125" style="14" customWidth="1"/>
    <col min="10246" max="10246" width="11.7109375" style="14" customWidth="1"/>
    <col min="10247" max="10251" width="8.7109375" style="14" customWidth="1"/>
    <col min="10252" max="10252" width="15.7109375" style="14" customWidth="1"/>
    <col min="10253" max="10253" width="11.5703125" style="14" bestFit="1" customWidth="1"/>
    <col min="10254" max="10254" width="11.140625" style="14" customWidth="1"/>
    <col min="10255" max="10496" width="9.140625" style="14"/>
    <col min="10497" max="10497" width="4.5703125" style="14" customWidth="1"/>
    <col min="10498" max="10498" width="33.140625" style="14" customWidth="1"/>
    <col min="10499" max="10499" width="10.42578125" style="14" customWidth="1"/>
    <col min="10500" max="10500" width="11.85546875" style="14" customWidth="1"/>
    <col min="10501" max="10501" width="24.5703125" style="14" customWidth="1"/>
    <col min="10502" max="10502" width="11.7109375" style="14" customWidth="1"/>
    <col min="10503" max="10507" width="8.7109375" style="14" customWidth="1"/>
    <col min="10508" max="10508" width="15.7109375" style="14" customWidth="1"/>
    <col min="10509" max="10509" width="11.5703125" style="14" bestFit="1" customWidth="1"/>
    <col min="10510" max="10510" width="11.140625" style="14" customWidth="1"/>
    <col min="10511" max="10752" width="9.140625" style="14"/>
    <col min="10753" max="10753" width="4.5703125" style="14" customWidth="1"/>
    <col min="10754" max="10754" width="33.140625" style="14" customWidth="1"/>
    <col min="10755" max="10755" width="10.42578125" style="14" customWidth="1"/>
    <col min="10756" max="10756" width="11.85546875" style="14" customWidth="1"/>
    <col min="10757" max="10757" width="24.5703125" style="14" customWidth="1"/>
    <col min="10758" max="10758" width="11.7109375" style="14" customWidth="1"/>
    <col min="10759" max="10763" width="8.7109375" style="14" customWidth="1"/>
    <col min="10764" max="10764" width="15.7109375" style="14" customWidth="1"/>
    <col min="10765" max="10765" width="11.5703125" style="14" bestFit="1" customWidth="1"/>
    <col min="10766" max="10766" width="11.140625" style="14" customWidth="1"/>
    <col min="10767" max="11008" width="9.140625" style="14"/>
    <col min="11009" max="11009" width="4.5703125" style="14" customWidth="1"/>
    <col min="11010" max="11010" width="33.140625" style="14" customWidth="1"/>
    <col min="11011" max="11011" width="10.42578125" style="14" customWidth="1"/>
    <col min="11012" max="11012" width="11.85546875" style="14" customWidth="1"/>
    <col min="11013" max="11013" width="24.5703125" style="14" customWidth="1"/>
    <col min="11014" max="11014" width="11.7109375" style="14" customWidth="1"/>
    <col min="11015" max="11019" width="8.7109375" style="14" customWidth="1"/>
    <col min="11020" max="11020" width="15.7109375" style="14" customWidth="1"/>
    <col min="11021" max="11021" width="11.5703125" style="14" bestFit="1" customWidth="1"/>
    <col min="11022" max="11022" width="11.140625" style="14" customWidth="1"/>
    <col min="11023" max="11264" width="9.140625" style="14"/>
    <col min="11265" max="11265" width="4.5703125" style="14" customWidth="1"/>
    <col min="11266" max="11266" width="33.140625" style="14" customWidth="1"/>
    <col min="11267" max="11267" width="10.42578125" style="14" customWidth="1"/>
    <col min="11268" max="11268" width="11.85546875" style="14" customWidth="1"/>
    <col min="11269" max="11269" width="24.5703125" style="14" customWidth="1"/>
    <col min="11270" max="11270" width="11.7109375" style="14" customWidth="1"/>
    <col min="11271" max="11275" width="8.7109375" style="14" customWidth="1"/>
    <col min="11276" max="11276" width="15.7109375" style="14" customWidth="1"/>
    <col min="11277" max="11277" width="11.5703125" style="14" bestFit="1" customWidth="1"/>
    <col min="11278" max="11278" width="11.140625" style="14" customWidth="1"/>
    <col min="11279" max="11520" width="9.140625" style="14"/>
    <col min="11521" max="11521" width="4.5703125" style="14" customWidth="1"/>
    <col min="11522" max="11522" width="33.140625" style="14" customWidth="1"/>
    <col min="11523" max="11523" width="10.42578125" style="14" customWidth="1"/>
    <col min="11524" max="11524" width="11.85546875" style="14" customWidth="1"/>
    <col min="11525" max="11525" width="24.5703125" style="14" customWidth="1"/>
    <col min="11526" max="11526" width="11.7109375" style="14" customWidth="1"/>
    <col min="11527" max="11531" width="8.7109375" style="14" customWidth="1"/>
    <col min="11532" max="11532" width="15.7109375" style="14" customWidth="1"/>
    <col min="11533" max="11533" width="11.5703125" style="14" bestFit="1" customWidth="1"/>
    <col min="11534" max="11534" width="11.140625" style="14" customWidth="1"/>
    <col min="11535" max="11776" width="9.140625" style="14"/>
    <col min="11777" max="11777" width="4.5703125" style="14" customWidth="1"/>
    <col min="11778" max="11778" width="33.140625" style="14" customWidth="1"/>
    <col min="11779" max="11779" width="10.42578125" style="14" customWidth="1"/>
    <col min="11780" max="11780" width="11.85546875" style="14" customWidth="1"/>
    <col min="11781" max="11781" width="24.5703125" style="14" customWidth="1"/>
    <col min="11782" max="11782" width="11.7109375" style="14" customWidth="1"/>
    <col min="11783" max="11787" width="8.7109375" style="14" customWidth="1"/>
    <col min="11788" max="11788" width="15.7109375" style="14" customWidth="1"/>
    <col min="11789" max="11789" width="11.5703125" style="14" bestFit="1" customWidth="1"/>
    <col min="11790" max="11790" width="11.140625" style="14" customWidth="1"/>
    <col min="11791" max="12032" width="9.140625" style="14"/>
    <col min="12033" max="12033" width="4.5703125" style="14" customWidth="1"/>
    <col min="12034" max="12034" width="33.140625" style="14" customWidth="1"/>
    <col min="12035" max="12035" width="10.42578125" style="14" customWidth="1"/>
    <col min="12036" max="12036" width="11.85546875" style="14" customWidth="1"/>
    <col min="12037" max="12037" width="24.5703125" style="14" customWidth="1"/>
    <col min="12038" max="12038" width="11.7109375" style="14" customWidth="1"/>
    <col min="12039" max="12043" width="8.7109375" style="14" customWidth="1"/>
    <col min="12044" max="12044" width="15.7109375" style="14" customWidth="1"/>
    <col min="12045" max="12045" width="11.5703125" style="14" bestFit="1" customWidth="1"/>
    <col min="12046" max="12046" width="11.140625" style="14" customWidth="1"/>
    <col min="12047" max="12288" width="9.140625" style="14"/>
    <col min="12289" max="12289" width="4.5703125" style="14" customWidth="1"/>
    <col min="12290" max="12290" width="33.140625" style="14" customWidth="1"/>
    <col min="12291" max="12291" width="10.42578125" style="14" customWidth="1"/>
    <col min="12292" max="12292" width="11.85546875" style="14" customWidth="1"/>
    <col min="12293" max="12293" width="24.5703125" style="14" customWidth="1"/>
    <col min="12294" max="12294" width="11.7109375" style="14" customWidth="1"/>
    <col min="12295" max="12299" width="8.7109375" style="14" customWidth="1"/>
    <col min="12300" max="12300" width="15.7109375" style="14" customWidth="1"/>
    <col min="12301" max="12301" width="11.5703125" style="14" bestFit="1" customWidth="1"/>
    <col min="12302" max="12302" width="11.140625" style="14" customWidth="1"/>
    <col min="12303" max="12544" width="9.140625" style="14"/>
    <col min="12545" max="12545" width="4.5703125" style="14" customWidth="1"/>
    <col min="12546" max="12546" width="33.140625" style="14" customWidth="1"/>
    <col min="12547" max="12547" width="10.42578125" style="14" customWidth="1"/>
    <col min="12548" max="12548" width="11.85546875" style="14" customWidth="1"/>
    <col min="12549" max="12549" width="24.5703125" style="14" customWidth="1"/>
    <col min="12550" max="12550" width="11.7109375" style="14" customWidth="1"/>
    <col min="12551" max="12555" width="8.7109375" style="14" customWidth="1"/>
    <col min="12556" max="12556" width="15.7109375" style="14" customWidth="1"/>
    <col min="12557" max="12557" width="11.5703125" style="14" bestFit="1" customWidth="1"/>
    <col min="12558" max="12558" width="11.140625" style="14" customWidth="1"/>
    <col min="12559" max="12800" width="9.140625" style="14"/>
    <col min="12801" max="12801" width="4.5703125" style="14" customWidth="1"/>
    <col min="12802" max="12802" width="33.140625" style="14" customWidth="1"/>
    <col min="12803" max="12803" width="10.42578125" style="14" customWidth="1"/>
    <col min="12804" max="12804" width="11.85546875" style="14" customWidth="1"/>
    <col min="12805" max="12805" width="24.5703125" style="14" customWidth="1"/>
    <col min="12806" max="12806" width="11.7109375" style="14" customWidth="1"/>
    <col min="12807" max="12811" width="8.7109375" style="14" customWidth="1"/>
    <col min="12812" max="12812" width="15.7109375" style="14" customWidth="1"/>
    <col min="12813" max="12813" width="11.5703125" style="14" bestFit="1" customWidth="1"/>
    <col min="12814" max="12814" width="11.140625" style="14" customWidth="1"/>
    <col min="12815" max="13056" width="9.140625" style="14"/>
    <col min="13057" max="13057" width="4.5703125" style="14" customWidth="1"/>
    <col min="13058" max="13058" width="33.140625" style="14" customWidth="1"/>
    <col min="13059" max="13059" width="10.42578125" style="14" customWidth="1"/>
    <col min="13060" max="13060" width="11.85546875" style="14" customWidth="1"/>
    <col min="13061" max="13061" width="24.5703125" style="14" customWidth="1"/>
    <col min="13062" max="13062" width="11.7109375" style="14" customWidth="1"/>
    <col min="13063" max="13067" width="8.7109375" style="14" customWidth="1"/>
    <col min="13068" max="13068" width="15.7109375" style="14" customWidth="1"/>
    <col min="13069" max="13069" width="11.5703125" style="14" bestFit="1" customWidth="1"/>
    <col min="13070" max="13070" width="11.140625" style="14" customWidth="1"/>
    <col min="13071" max="13312" width="9.140625" style="14"/>
    <col min="13313" max="13313" width="4.5703125" style="14" customWidth="1"/>
    <col min="13314" max="13314" width="33.140625" style="14" customWidth="1"/>
    <col min="13315" max="13315" width="10.42578125" style="14" customWidth="1"/>
    <col min="13316" max="13316" width="11.85546875" style="14" customWidth="1"/>
    <col min="13317" max="13317" width="24.5703125" style="14" customWidth="1"/>
    <col min="13318" max="13318" width="11.7109375" style="14" customWidth="1"/>
    <col min="13319" max="13323" width="8.7109375" style="14" customWidth="1"/>
    <col min="13324" max="13324" width="15.7109375" style="14" customWidth="1"/>
    <col min="13325" max="13325" width="11.5703125" style="14" bestFit="1" customWidth="1"/>
    <col min="13326" max="13326" width="11.140625" style="14" customWidth="1"/>
    <col min="13327" max="13568" width="9.140625" style="14"/>
    <col min="13569" max="13569" width="4.5703125" style="14" customWidth="1"/>
    <col min="13570" max="13570" width="33.140625" style="14" customWidth="1"/>
    <col min="13571" max="13571" width="10.42578125" style="14" customWidth="1"/>
    <col min="13572" max="13572" width="11.85546875" style="14" customWidth="1"/>
    <col min="13573" max="13573" width="24.5703125" style="14" customWidth="1"/>
    <col min="13574" max="13574" width="11.7109375" style="14" customWidth="1"/>
    <col min="13575" max="13579" width="8.7109375" style="14" customWidth="1"/>
    <col min="13580" max="13580" width="15.7109375" style="14" customWidth="1"/>
    <col min="13581" max="13581" width="11.5703125" style="14" bestFit="1" customWidth="1"/>
    <col min="13582" max="13582" width="11.140625" style="14" customWidth="1"/>
    <col min="13583" max="13824" width="9.140625" style="14"/>
    <col min="13825" max="13825" width="4.5703125" style="14" customWidth="1"/>
    <col min="13826" max="13826" width="33.140625" style="14" customWidth="1"/>
    <col min="13827" max="13827" width="10.42578125" style="14" customWidth="1"/>
    <col min="13828" max="13828" width="11.85546875" style="14" customWidth="1"/>
    <col min="13829" max="13829" width="24.5703125" style="14" customWidth="1"/>
    <col min="13830" max="13830" width="11.7109375" style="14" customWidth="1"/>
    <col min="13831" max="13835" width="8.7109375" style="14" customWidth="1"/>
    <col min="13836" max="13836" width="15.7109375" style="14" customWidth="1"/>
    <col min="13837" max="13837" width="11.5703125" style="14" bestFit="1" customWidth="1"/>
    <col min="13838" max="13838" width="11.140625" style="14" customWidth="1"/>
    <col min="13839" max="14080" width="9.140625" style="14"/>
    <col min="14081" max="14081" width="4.5703125" style="14" customWidth="1"/>
    <col min="14082" max="14082" width="33.140625" style="14" customWidth="1"/>
    <col min="14083" max="14083" width="10.42578125" style="14" customWidth="1"/>
    <col min="14084" max="14084" width="11.85546875" style="14" customWidth="1"/>
    <col min="14085" max="14085" width="24.5703125" style="14" customWidth="1"/>
    <col min="14086" max="14086" width="11.7109375" style="14" customWidth="1"/>
    <col min="14087" max="14091" width="8.7109375" style="14" customWidth="1"/>
    <col min="14092" max="14092" width="15.7109375" style="14" customWidth="1"/>
    <col min="14093" max="14093" width="11.5703125" style="14" bestFit="1" customWidth="1"/>
    <col min="14094" max="14094" width="11.140625" style="14" customWidth="1"/>
    <col min="14095" max="14336" width="9.140625" style="14"/>
    <col min="14337" max="14337" width="4.5703125" style="14" customWidth="1"/>
    <col min="14338" max="14338" width="33.140625" style="14" customWidth="1"/>
    <col min="14339" max="14339" width="10.42578125" style="14" customWidth="1"/>
    <col min="14340" max="14340" width="11.85546875" style="14" customWidth="1"/>
    <col min="14341" max="14341" width="24.5703125" style="14" customWidth="1"/>
    <col min="14342" max="14342" width="11.7109375" style="14" customWidth="1"/>
    <col min="14343" max="14347" width="8.7109375" style="14" customWidth="1"/>
    <col min="14348" max="14348" width="15.7109375" style="14" customWidth="1"/>
    <col min="14349" max="14349" width="11.5703125" style="14" bestFit="1" customWidth="1"/>
    <col min="14350" max="14350" width="11.140625" style="14" customWidth="1"/>
    <col min="14351" max="14592" width="9.140625" style="14"/>
    <col min="14593" max="14593" width="4.5703125" style="14" customWidth="1"/>
    <col min="14594" max="14594" width="33.140625" style="14" customWidth="1"/>
    <col min="14595" max="14595" width="10.42578125" style="14" customWidth="1"/>
    <col min="14596" max="14596" width="11.85546875" style="14" customWidth="1"/>
    <col min="14597" max="14597" width="24.5703125" style="14" customWidth="1"/>
    <col min="14598" max="14598" width="11.7109375" style="14" customWidth="1"/>
    <col min="14599" max="14603" width="8.7109375" style="14" customWidth="1"/>
    <col min="14604" max="14604" width="15.7109375" style="14" customWidth="1"/>
    <col min="14605" max="14605" width="11.5703125" style="14" bestFit="1" customWidth="1"/>
    <col min="14606" max="14606" width="11.140625" style="14" customWidth="1"/>
    <col min="14607" max="14848" width="9.140625" style="14"/>
    <col min="14849" max="14849" width="4.5703125" style="14" customWidth="1"/>
    <col min="14850" max="14850" width="33.140625" style="14" customWidth="1"/>
    <col min="14851" max="14851" width="10.42578125" style="14" customWidth="1"/>
    <col min="14852" max="14852" width="11.85546875" style="14" customWidth="1"/>
    <col min="14853" max="14853" width="24.5703125" style="14" customWidth="1"/>
    <col min="14854" max="14854" width="11.7109375" style="14" customWidth="1"/>
    <col min="14855" max="14859" width="8.7109375" style="14" customWidth="1"/>
    <col min="14860" max="14860" width="15.7109375" style="14" customWidth="1"/>
    <col min="14861" max="14861" width="11.5703125" style="14" bestFit="1" customWidth="1"/>
    <col min="14862" max="14862" width="11.140625" style="14" customWidth="1"/>
    <col min="14863" max="15104" width="9.140625" style="14"/>
    <col min="15105" max="15105" width="4.5703125" style="14" customWidth="1"/>
    <col min="15106" max="15106" width="33.140625" style="14" customWidth="1"/>
    <col min="15107" max="15107" width="10.42578125" style="14" customWidth="1"/>
    <col min="15108" max="15108" width="11.85546875" style="14" customWidth="1"/>
    <col min="15109" max="15109" width="24.5703125" style="14" customWidth="1"/>
    <col min="15110" max="15110" width="11.7109375" style="14" customWidth="1"/>
    <col min="15111" max="15115" width="8.7109375" style="14" customWidth="1"/>
    <col min="15116" max="15116" width="15.7109375" style="14" customWidth="1"/>
    <col min="15117" max="15117" width="11.5703125" style="14" bestFit="1" customWidth="1"/>
    <col min="15118" max="15118" width="11.140625" style="14" customWidth="1"/>
    <col min="15119" max="15360" width="9.140625" style="14"/>
    <col min="15361" max="15361" width="4.5703125" style="14" customWidth="1"/>
    <col min="15362" max="15362" width="33.140625" style="14" customWidth="1"/>
    <col min="15363" max="15363" width="10.42578125" style="14" customWidth="1"/>
    <col min="15364" max="15364" width="11.85546875" style="14" customWidth="1"/>
    <col min="15365" max="15365" width="24.5703125" style="14" customWidth="1"/>
    <col min="15366" max="15366" width="11.7109375" style="14" customWidth="1"/>
    <col min="15367" max="15371" width="8.7109375" style="14" customWidth="1"/>
    <col min="15372" max="15372" width="15.7109375" style="14" customWidth="1"/>
    <col min="15373" max="15373" width="11.5703125" style="14" bestFit="1" customWidth="1"/>
    <col min="15374" max="15374" width="11.140625" style="14" customWidth="1"/>
    <col min="15375" max="15616" width="9.140625" style="14"/>
    <col min="15617" max="15617" width="4.5703125" style="14" customWidth="1"/>
    <col min="15618" max="15618" width="33.140625" style="14" customWidth="1"/>
    <col min="15619" max="15619" width="10.42578125" style="14" customWidth="1"/>
    <col min="15620" max="15620" width="11.85546875" style="14" customWidth="1"/>
    <col min="15621" max="15621" width="24.5703125" style="14" customWidth="1"/>
    <col min="15622" max="15622" width="11.7109375" style="14" customWidth="1"/>
    <col min="15623" max="15627" width="8.7109375" style="14" customWidth="1"/>
    <col min="15628" max="15628" width="15.7109375" style="14" customWidth="1"/>
    <col min="15629" max="15629" width="11.5703125" style="14" bestFit="1" customWidth="1"/>
    <col min="15630" max="15630" width="11.140625" style="14" customWidth="1"/>
    <col min="15631" max="15872" width="9.140625" style="14"/>
    <col min="15873" max="15873" width="4.5703125" style="14" customWidth="1"/>
    <col min="15874" max="15874" width="33.140625" style="14" customWidth="1"/>
    <col min="15875" max="15875" width="10.42578125" style="14" customWidth="1"/>
    <col min="15876" max="15876" width="11.85546875" style="14" customWidth="1"/>
    <col min="15877" max="15877" width="24.5703125" style="14" customWidth="1"/>
    <col min="15878" max="15878" width="11.7109375" style="14" customWidth="1"/>
    <col min="15879" max="15883" width="8.7109375" style="14" customWidth="1"/>
    <col min="15884" max="15884" width="15.7109375" style="14" customWidth="1"/>
    <col min="15885" max="15885" width="11.5703125" style="14" bestFit="1" customWidth="1"/>
    <col min="15886" max="15886" width="11.140625" style="14" customWidth="1"/>
    <col min="15887" max="16128" width="9.140625" style="14"/>
    <col min="16129" max="16129" width="4.5703125" style="14" customWidth="1"/>
    <col min="16130" max="16130" width="33.140625" style="14" customWidth="1"/>
    <col min="16131" max="16131" width="10.42578125" style="14" customWidth="1"/>
    <col min="16132" max="16132" width="11.85546875" style="14" customWidth="1"/>
    <col min="16133" max="16133" width="24.5703125" style="14" customWidth="1"/>
    <col min="16134" max="16134" width="11.7109375" style="14" customWidth="1"/>
    <col min="16135" max="16139" width="8.7109375" style="14" customWidth="1"/>
    <col min="16140" max="16140" width="15.7109375" style="14" customWidth="1"/>
    <col min="16141" max="16141" width="11.5703125" style="14" bestFit="1" customWidth="1"/>
    <col min="16142" max="16142" width="11.140625" style="14" customWidth="1"/>
    <col min="16143" max="16384" width="9.140625" style="14"/>
  </cols>
  <sheetData>
    <row r="1" spans="1:13" x14ac:dyDescent="0.2">
      <c r="A1" s="16"/>
      <c r="B1" s="17"/>
      <c r="C1" s="17"/>
      <c r="D1" s="16"/>
      <c r="E1" s="18" t="s">
        <v>49</v>
      </c>
      <c r="F1" s="18"/>
      <c r="G1" s="18"/>
      <c r="H1" s="18"/>
      <c r="I1" s="18"/>
      <c r="J1" s="18"/>
      <c r="K1" s="17"/>
      <c r="L1" s="17"/>
      <c r="M1" s="8"/>
    </row>
    <row r="2" spans="1:13" x14ac:dyDescent="0.2">
      <c r="A2" s="16"/>
      <c r="B2" s="17"/>
      <c r="C2" s="17"/>
      <c r="D2" s="16"/>
      <c r="E2" s="18" t="s">
        <v>50</v>
      </c>
      <c r="F2" s="18"/>
      <c r="G2" s="18"/>
      <c r="H2" s="18"/>
      <c r="I2" s="18"/>
      <c r="J2" s="18"/>
      <c r="K2" s="17"/>
      <c r="L2" s="17"/>
      <c r="M2" s="8"/>
    </row>
    <row r="3" spans="1:13" x14ac:dyDescent="0.2">
      <c r="A3" s="19"/>
      <c r="B3" s="17"/>
      <c r="C3" s="17"/>
      <c r="D3" s="16"/>
      <c r="E3" s="17"/>
      <c r="F3" s="17"/>
      <c r="G3" s="17"/>
      <c r="H3" s="17"/>
      <c r="I3" s="17"/>
      <c r="J3" s="17"/>
      <c r="K3" s="17"/>
      <c r="L3" s="17"/>
      <c r="M3" s="8"/>
    </row>
    <row r="4" spans="1:13" ht="48.75" customHeight="1" x14ac:dyDescent="0.2">
      <c r="A4" s="382" t="s">
        <v>47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8"/>
    </row>
    <row r="5" spans="1:13" x14ac:dyDescent="0.2">
      <c r="A5" s="383" t="s">
        <v>92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17"/>
    </row>
    <row r="6" spans="1:13" s="93" customFormat="1" ht="26.25" customHeight="1" thickBot="1" x14ac:dyDescent="0.3">
      <c r="A6" s="385" t="s">
        <v>93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6"/>
      <c r="M6" s="92"/>
    </row>
    <row r="7" spans="1:13" ht="21" customHeight="1" thickTop="1" x14ac:dyDescent="0.2">
      <c r="A7" s="20" t="s">
        <v>51</v>
      </c>
      <c r="B7" s="21"/>
      <c r="C7" s="21"/>
      <c r="D7" s="22"/>
      <c r="E7" s="21"/>
      <c r="F7" s="21"/>
      <c r="G7" s="21"/>
      <c r="H7" s="21"/>
      <c r="I7" s="21"/>
      <c r="J7" s="21"/>
      <c r="K7" s="21"/>
      <c r="L7" s="23"/>
      <c r="M7" s="8"/>
    </row>
    <row r="8" spans="1:13" ht="53.25" customHeight="1" x14ac:dyDescent="0.2">
      <c r="A8" s="387" t="s">
        <v>17</v>
      </c>
      <c r="B8" s="387" t="s">
        <v>18</v>
      </c>
      <c r="C8" s="387" t="s">
        <v>19</v>
      </c>
      <c r="D8" s="387" t="s">
        <v>20</v>
      </c>
      <c r="E8" s="387" t="s">
        <v>21</v>
      </c>
      <c r="F8" s="387" t="s">
        <v>22</v>
      </c>
      <c r="G8" s="387"/>
      <c r="H8" s="387"/>
      <c r="I8" s="387"/>
      <c r="J8" s="387"/>
      <c r="K8" s="388"/>
      <c r="L8" s="387" t="s">
        <v>23</v>
      </c>
    </row>
    <row r="9" spans="1:13" ht="18" customHeight="1" x14ac:dyDescent="0.2">
      <c r="A9" s="388"/>
      <c r="B9" s="388"/>
      <c r="C9" s="388"/>
      <c r="D9" s="388"/>
      <c r="E9" s="388"/>
      <c r="F9" s="24" t="s">
        <v>24</v>
      </c>
      <c r="G9" s="24" t="s">
        <v>25</v>
      </c>
      <c r="H9" s="24" t="s">
        <v>26</v>
      </c>
      <c r="I9" s="24" t="s">
        <v>27</v>
      </c>
      <c r="J9" s="24" t="s">
        <v>28</v>
      </c>
      <c r="K9" s="24" t="s">
        <v>29</v>
      </c>
      <c r="L9" s="388"/>
    </row>
    <row r="10" spans="1:13" ht="18" customHeight="1" x14ac:dyDescent="0.2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3" ht="15.75" x14ac:dyDescent="0.25">
      <c r="A11" s="389" t="s">
        <v>30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1"/>
    </row>
    <row r="12" spans="1:13" ht="42" customHeight="1" x14ac:dyDescent="0.2">
      <c r="A12" s="26">
        <v>1</v>
      </c>
      <c r="B12" s="27" t="s">
        <v>52</v>
      </c>
      <c r="C12" s="28" t="s">
        <v>53</v>
      </c>
      <c r="D12" s="28">
        <v>0.36</v>
      </c>
      <c r="E12" s="29" t="s">
        <v>54</v>
      </c>
      <c r="F12" s="28">
        <v>184</v>
      </c>
      <c r="G12" s="28"/>
      <c r="H12" s="28"/>
      <c r="I12" s="28"/>
      <c r="J12" s="28"/>
      <c r="K12" s="28"/>
      <c r="L12" s="30">
        <f>D12*F12</f>
        <v>66.239999999999995</v>
      </c>
    </row>
    <row r="13" spans="1:13" ht="60.6" hidden="1" customHeight="1" x14ac:dyDescent="0.2">
      <c r="A13" s="26">
        <v>2</v>
      </c>
      <c r="B13" s="27" t="s">
        <v>55</v>
      </c>
      <c r="C13" s="28" t="s">
        <v>37</v>
      </c>
      <c r="D13" s="28">
        <v>0</v>
      </c>
      <c r="E13" s="29" t="s">
        <v>56</v>
      </c>
      <c r="F13" s="28">
        <v>253.5</v>
      </c>
      <c r="G13" s="28"/>
      <c r="H13" s="28"/>
      <c r="I13" s="28"/>
      <c r="J13" s="28"/>
      <c r="K13" s="28"/>
      <c r="L13" s="30">
        <f>D13*F13</f>
        <v>0</v>
      </c>
    </row>
    <row r="14" spans="1:13" ht="53.45" customHeight="1" x14ac:dyDescent="0.2">
      <c r="A14" s="26">
        <v>2</v>
      </c>
      <c r="B14" s="27" t="s">
        <v>57</v>
      </c>
      <c r="C14" s="28" t="s">
        <v>37</v>
      </c>
      <c r="D14" s="28">
        <v>36</v>
      </c>
      <c r="E14" s="29" t="s">
        <v>58</v>
      </c>
      <c r="F14" s="28">
        <v>192</v>
      </c>
      <c r="G14" s="28"/>
      <c r="H14" s="28"/>
      <c r="I14" s="28"/>
      <c r="J14" s="28"/>
      <c r="K14" s="28"/>
      <c r="L14" s="30">
        <f>D14*F14</f>
        <v>6912</v>
      </c>
    </row>
    <row r="15" spans="1:13" ht="30" customHeight="1" x14ac:dyDescent="0.2">
      <c r="A15" s="26">
        <v>3</v>
      </c>
      <c r="B15" s="27" t="s">
        <v>59</v>
      </c>
      <c r="C15" s="28" t="s">
        <v>60</v>
      </c>
      <c r="D15" s="28">
        <v>4845</v>
      </c>
      <c r="E15" s="29" t="s">
        <v>61</v>
      </c>
      <c r="F15" s="28">
        <v>22</v>
      </c>
      <c r="G15" s="28"/>
      <c r="H15" s="28"/>
      <c r="I15" s="28"/>
      <c r="J15" s="28"/>
      <c r="K15" s="28"/>
      <c r="L15" s="30">
        <f>D15*F15</f>
        <v>106590</v>
      </c>
    </row>
    <row r="16" spans="1:13" x14ac:dyDescent="0.2">
      <c r="A16" s="31"/>
      <c r="B16" s="32" t="s">
        <v>31</v>
      </c>
      <c r="C16" s="32"/>
      <c r="D16" s="33"/>
      <c r="E16" s="28"/>
      <c r="F16" s="28"/>
      <c r="G16" s="28"/>
      <c r="H16" s="28"/>
      <c r="I16" s="28"/>
      <c r="J16" s="28"/>
      <c r="K16" s="28"/>
      <c r="L16" s="34">
        <f>SUM(L12:L15)</f>
        <v>113568.24</v>
      </c>
    </row>
    <row r="17" spans="1:13" ht="82.9" customHeight="1" x14ac:dyDescent="0.2">
      <c r="A17" s="35"/>
      <c r="B17" s="3" t="s">
        <v>77</v>
      </c>
      <c r="C17" s="7"/>
      <c r="D17" s="36">
        <f>L16</f>
        <v>113568.24</v>
      </c>
      <c r="E17" s="4" t="s">
        <v>62</v>
      </c>
      <c r="F17" s="12">
        <v>0.2</v>
      </c>
      <c r="G17" s="5">
        <v>1</v>
      </c>
      <c r="H17" s="5"/>
      <c r="I17" s="4"/>
      <c r="J17" s="4"/>
      <c r="K17" s="4"/>
      <c r="L17" s="13">
        <f>D17*F17*G17</f>
        <v>22713.65</v>
      </c>
    </row>
    <row r="18" spans="1:13" ht="31.9" hidden="1" customHeight="1" x14ac:dyDescent="0.2">
      <c r="A18" s="35"/>
      <c r="B18" s="3" t="s">
        <v>63</v>
      </c>
      <c r="C18" s="7"/>
      <c r="D18" s="36">
        <f>L16</f>
        <v>113568.24</v>
      </c>
      <c r="E18" s="4" t="s">
        <v>64</v>
      </c>
      <c r="F18" s="12">
        <v>0.15</v>
      </c>
      <c r="G18" s="5">
        <v>0</v>
      </c>
      <c r="H18" s="5"/>
      <c r="I18" s="4"/>
      <c r="J18" s="4"/>
      <c r="K18" s="4"/>
      <c r="L18" s="13">
        <f>D18*F18*G18</f>
        <v>0</v>
      </c>
    </row>
    <row r="19" spans="1:13" ht="31.9" hidden="1" customHeight="1" x14ac:dyDescent="0.2">
      <c r="A19" s="35"/>
      <c r="B19" s="3" t="s">
        <v>65</v>
      </c>
      <c r="C19" s="37"/>
      <c r="D19" s="36">
        <f>L16</f>
        <v>113568.24</v>
      </c>
      <c r="E19" s="4" t="s">
        <v>66</v>
      </c>
      <c r="F19" s="12">
        <v>0.2</v>
      </c>
      <c r="G19" s="5">
        <v>0</v>
      </c>
      <c r="H19" s="38"/>
      <c r="I19" s="38"/>
      <c r="J19" s="38"/>
      <c r="K19" s="39"/>
      <c r="L19" s="13">
        <f>D19*F19*G19</f>
        <v>0</v>
      </c>
    </row>
    <row r="20" spans="1:13" ht="31.9" hidden="1" customHeight="1" x14ac:dyDescent="0.2">
      <c r="A20" s="35"/>
      <c r="B20" s="40"/>
      <c r="C20" s="41"/>
      <c r="D20" s="42"/>
      <c r="E20" s="43"/>
      <c r="F20" s="44"/>
      <c r="G20" s="45"/>
      <c r="H20" s="46"/>
      <c r="I20" s="47"/>
      <c r="J20" s="47"/>
      <c r="K20" s="47"/>
      <c r="L20" s="30"/>
    </row>
    <row r="21" spans="1:13" s="6" customFormat="1" x14ac:dyDescent="0.2">
      <c r="A21" s="48"/>
      <c r="B21" s="32" t="s">
        <v>31</v>
      </c>
      <c r="C21" s="49"/>
      <c r="D21" s="50"/>
      <c r="F21" s="51"/>
      <c r="H21" s="51"/>
      <c r="I21" s="52"/>
      <c r="J21" s="52"/>
      <c r="K21" s="52"/>
      <c r="L21" s="34">
        <f>SUM(L16:L19)</f>
        <v>136281.89000000001</v>
      </c>
    </row>
    <row r="22" spans="1:13" ht="16.5" customHeight="1" x14ac:dyDescent="0.25">
      <c r="A22" s="389" t="s">
        <v>67</v>
      </c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1"/>
      <c r="M22" s="9"/>
    </row>
    <row r="23" spans="1:13" ht="29.25" hidden="1" customHeight="1" x14ac:dyDescent="0.2">
      <c r="A23" s="26">
        <v>5</v>
      </c>
      <c r="B23" s="53" t="s">
        <v>41</v>
      </c>
      <c r="C23" s="29"/>
      <c r="D23" s="54">
        <f>L21</f>
        <v>136281.89000000001</v>
      </c>
      <c r="E23" s="55" t="s">
        <v>43</v>
      </c>
      <c r="F23" s="56">
        <v>0</v>
      </c>
      <c r="G23" s="57"/>
      <c r="H23" s="58"/>
      <c r="I23" s="58"/>
      <c r="J23" s="58"/>
      <c r="K23" s="59"/>
      <c r="L23" s="60">
        <f t="shared" ref="L23:L28" si="0">D23*F23</f>
        <v>0</v>
      </c>
      <c r="M23" s="9"/>
    </row>
    <row r="24" spans="1:13" ht="33.75" customHeight="1" x14ac:dyDescent="0.2">
      <c r="A24" s="26">
        <v>4</v>
      </c>
      <c r="B24" s="53" t="s">
        <v>68</v>
      </c>
      <c r="C24" s="29"/>
      <c r="D24" s="54">
        <f>L21</f>
        <v>136281.89000000001</v>
      </c>
      <c r="E24" s="55" t="s">
        <v>69</v>
      </c>
      <c r="F24" s="61">
        <v>0.05</v>
      </c>
      <c r="G24" s="57"/>
      <c r="H24" s="58"/>
      <c r="I24" s="58"/>
      <c r="J24" s="58"/>
      <c r="K24" s="59"/>
      <c r="L24" s="60">
        <f t="shared" si="0"/>
        <v>6814.09</v>
      </c>
    </row>
    <row r="25" spans="1:13" ht="33.75" customHeight="1" x14ac:dyDescent="0.2">
      <c r="A25" s="26">
        <v>5</v>
      </c>
      <c r="B25" s="53" t="s">
        <v>70</v>
      </c>
      <c r="C25" s="29"/>
      <c r="D25" s="54">
        <f>D24+L24</f>
        <v>143095.98000000001</v>
      </c>
      <c r="E25" s="55" t="s">
        <v>71</v>
      </c>
      <c r="F25" s="61">
        <v>0.28000000000000003</v>
      </c>
      <c r="G25" s="57"/>
      <c r="H25" s="58"/>
      <c r="I25" s="58"/>
      <c r="J25" s="58"/>
      <c r="K25" s="59"/>
      <c r="L25" s="60">
        <f t="shared" si="0"/>
        <v>40066.870000000003</v>
      </c>
    </row>
    <row r="26" spans="1:13" ht="58.15" customHeight="1" x14ac:dyDescent="0.2">
      <c r="A26" s="26">
        <v>6</v>
      </c>
      <c r="B26" s="53" t="s">
        <v>32</v>
      </c>
      <c r="C26" s="29"/>
      <c r="D26" s="54">
        <f>D24+L24</f>
        <v>143095.98000000001</v>
      </c>
      <c r="E26" s="62" t="s">
        <v>72</v>
      </c>
      <c r="F26" s="56">
        <v>0.06</v>
      </c>
      <c r="G26" s="57"/>
      <c r="H26" s="58"/>
      <c r="I26" s="58"/>
      <c r="J26" s="58"/>
      <c r="K26" s="59"/>
      <c r="L26" s="60">
        <f t="shared" si="0"/>
        <v>8585.76</v>
      </c>
    </row>
    <row r="27" spans="1:13" ht="25.5" hidden="1" x14ac:dyDescent="0.2">
      <c r="A27" s="26">
        <v>8</v>
      </c>
      <c r="B27" s="53" t="s">
        <v>40</v>
      </c>
      <c r="C27" s="29"/>
      <c r="D27" s="54">
        <f>L16+L17</f>
        <v>136281.89000000001</v>
      </c>
      <c r="E27" s="55" t="s">
        <v>73</v>
      </c>
      <c r="F27" s="56">
        <v>0</v>
      </c>
      <c r="G27" s="57"/>
      <c r="H27" s="58"/>
      <c r="I27" s="58"/>
      <c r="J27" s="58"/>
      <c r="K27" s="59"/>
      <c r="L27" s="60">
        <f t="shared" si="0"/>
        <v>0</v>
      </c>
    </row>
    <row r="28" spans="1:13" hidden="1" x14ac:dyDescent="0.2">
      <c r="A28" s="26">
        <v>10</v>
      </c>
      <c r="B28" s="53" t="s">
        <v>33</v>
      </c>
      <c r="C28" s="29"/>
      <c r="D28" s="54">
        <f>L21+L23+L24+L25+L26+L27</f>
        <v>191748.61</v>
      </c>
      <c r="E28" s="55" t="s">
        <v>74</v>
      </c>
      <c r="F28" s="56">
        <v>0</v>
      </c>
      <c r="G28" s="57"/>
      <c r="H28" s="58"/>
      <c r="I28" s="58"/>
      <c r="J28" s="58"/>
      <c r="K28" s="59"/>
      <c r="L28" s="60">
        <f t="shared" si="0"/>
        <v>0</v>
      </c>
    </row>
    <row r="29" spans="1:13" ht="15" customHeight="1" x14ac:dyDescent="0.2">
      <c r="A29" s="31"/>
      <c r="B29" s="63" t="s">
        <v>42</v>
      </c>
      <c r="C29" s="26"/>
      <c r="D29" s="64"/>
      <c r="E29" s="65"/>
      <c r="F29" s="66"/>
      <c r="G29" s="67"/>
      <c r="H29" s="68"/>
      <c r="I29" s="68"/>
      <c r="J29" s="68"/>
      <c r="K29" s="69"/>
      <c r="L29" s="70">
        <f>SUM(L23:L28)</f>
        <v>55466.720000000001</v>
      </c>
      <c r="M29" s="10"/>
    </row>
    <row r="30" spans="1:13" hidden="1" x14ac:dyDescent="0.2">
      <c r="A30" s="71"/>
      <c r="B30" s="72" t="s">
        <v>45</v>
      </c>
      <c r="C30" s="29"/>
      <c r="D30" s="73"/>
      <c r="E30" s="74"/>
      <c r="F30" s="74"/>
      <c r="G30" s="58"/>
      <c r="H30" s="58"/>
      <c r="I30" s="58"/>
      <c r="J30" s="58"/>
      <c r="K30" s="59"/>
      <c r="L30" s="70">
        <f>L21+L29</f>
        <v>191748.61</v>
      </c>
      <c r="M30" s="75"/>
    </row>
    <row r="31" spans="1:13" ht="28.9" customHeight="1" x14ac:dyDescent="0.2">
      <c r="A31" s="71"/>
      <c r="B31" s="76" t="s">
        <v>38</v>
      </c>
      <c r="C31" s="76"/>
      <c r="D31" s="24"/>
      <c r="E31" s="77"/>
      <c r="F31" s="77"/>
      <c r="G31" s="77"/>
      <c r="H31" s="77"/>
      <c r="I31" s="77"/>
      <c r="J31" s="77"/>
      <c r="K31" s="78"/>
      <c r="L31" s="70">
        <f>L30</f>
        <v>191748.61</v>
      </c>
    </row>
    <row r="32" spans="1:13" ht="13.15" customHeight="1" x14ac:dyDescent="0.2">
      <c r="A32" s="79"/>
      <c r="B32" s="392" t="s">
        <v>75</v>
      </c>
      <c r="C32" s="393"/>
      <c r="D32" s="393"/>
      <c r="E32" s="393"/>
      <c r="F32" s="393"/>
      <c r="G32" s="393"/>
      <c r="H32" s="393"/>
      <c r="I32" s="393"/>
      <c r="J32" s="394"/>
      <c r="K32" s="80">
        <v>3.9</v>
      </c>
      <c r="L32" s="81">
        <f>L31*K32</f>
        <v>747819.58</v>
      </c>
    </row>
    <row r="33" spans="1:12" hidden="1" x14ac:dyDescent="0.2">
      <c r="A33" s="79"/>
      <c r="B33" s="392" t="s">
        <v>44</v>
      </c>
      <c r="C33" s="393"/>
      <c r="D33" s="393"/>
      <c r="E33" s="393"/>
      <c r="F33" s="393"/>
      <c r="G33" s="393"/>
      <c r="H33" s="393"/>
      <c r="I33" s="393"/>
      <c r="J33" s="394"/>
      <c r="K33" s="80">
        <v>1</v>
      </c>
      <c r="L33" s="81">
        <f>L32*K33</f>
        <v>747819.58</v>
      </c>
    </row>
    <row r="34" spans="1:12" x14ac:dyDescent="0.2">
      <c r="A34" s="79"/>
      <c r="B34" s="41" t="s">
        <v>34</v>
      </c>
      <c r="C34" s="41"/>
      <c r="D34" s="41"/>
      <c r="E34" s="41"/>
      <c r="F34" s="41"/>
      <c r="G34" s="82"/>
      <c r="H34" s="82"/>
      <c r="I34" s="82"/>
      <c r="J34" s="82"/>
      <c r="K34" s="83"/>
      <c r="L34" s="70">
        <f>L33*0.18</f>
        <v>134607.51999999999</v>
      </c>
    </row>
    <row r="35" spans="1:12" x14ac:dyDescent="0.2">
      <c r="A35" s="79"/>
      <c r="B35" s="379" t="s">
        <v>76</v>
      </c>
      <c r="C35" s="380"/>
      <c r="D35" s="380"/>
      <c r="E35" s="380"/>
      <c r="F35" s="380"/>
      <c r="G35" s="380"/>
      <c r="H35" s="380"/>
      <c r="I35" s="380"/>
      <c r="J35" s="380"/>
      <c r="K35" s="381"/>
      <c r="L35" s="70">
        <v>0</v>
      </c>
    </row>
    <row r="36" spans="1:12" x14ac:dyDescent="0.2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/>
    </row>
    <row r="37" spans="1:12" x14ac:dyDescent="0.2">
      <c r="B37" s="87" t="s">
        <v>39</v>
      </c>
      <c r="C37" s="87"/>
      <c r="E37" s="88"/>
      <c r="F37" s="88"/>
      <c r="G37" s="88"/>
      <c r="H37" s="88"/>
      <c r="I37" s="88"/>
      <c r="J37" s="88"/>
      <c r="K37" s="88"/>
      <c r="L37" s="88"/>
    </row>
    <row r="38" spans="1:12" x14ac:dyDescent="0.2">
      <c r="D38" s="14"/>
    </row>
  </sheetData>
  <mergeCells count="15">
    <mergeCell ref="B35:K35"/>
    <mergeCell ref="A4:L4"/>
    <mergeCell ref="A5:K5"/>
    <mergeCell ref="A6:L6"/>
    <mergeCell ref="A8:A9"/>
    <mergeCell ref="B8:B9"/>
    <mergeCell ref="C8:C9"/>
    <mergeCell ref="D8:D9"/>
    <mergeCell ref="E8:E9"/>
    <mergeCell ref="F8:K8"/>
    <mergeCell ref="L8:L9"/>
    <mergeCell ref="A11:L11"/>
    <mergeCell ref="A22:L22"/>
    <mergeCell ref="B32:J32"/>
    <mergeCell ref="B33:J33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view="pageBreakPreview" topLeftCell="A48" zoomScale="85" zoomScaleNormal="85" zoomScaleSheetLayoutView="85" workbookViewId="0">
      <selection activeCell="C83" sqref="C83:D83"/>
    </sheetView>
  </sheetViews>
  <sheetFormatPr defaultColWidth="8.85546875" defaultRowHeight="12.75" x14ac:dyDescent="0.2"/>
  <cols>
    <col min="1" max="1" width="6.140625" style="212" customWidth="1"/>
    <col min="2" max="2" width="26" style="351" customWidth="1"/>
    <col min="3" max="3" width="20.140625" style="212" customWidth="1"/>
    <col min="4" max="4" width="23.7109375" style="212" customWidth="1"/>
    <col min="5" max="5" width="12" style="212" customWidth="1"/>
    <col min="6" max="6" width="7" style="212" customWidth="1"/>
    <col min="7" max="7" width="2.42578125" style="212" customWidth="1"/>
    <col min="8" max="8" width="8.7109375" style="212" customWidth="1"/>
    <col min="9" max="10" width="11.28515625" style="212" customWidth="1"/>
    <col min="11" max="11" width="13.85546875" style="212" customWidth="1"/>
    <col min="12" max="12" width="17.85546875" style="212" customWidth="1"/>
    <col min="13" max="13" width="11.7109375" style="212" bestFit="1" customWidth="1"/>
    <col min="14" max="14" width="8.85546875" style="212"/>
    <col min="15" max="15" width="54.85546875" style="212" customWidth="1"/>
    <col min="16" max="16384" width="8.85546875" style="212"/>
  </cols>
  <sheetData>
    <row r="1" spans="1:15" ht="17.649999999999999" customHeight="1" x14ac:dyDescent="0.2">
      <c r="A1" s="566"/>
      <c r="B1" s="567"/>
      <c r="C1" s="567"/>
      <c r="D1" s="567"/>
      <c r="E1" s="567"/>
      <c r="H1" s="568" t="s">
        <v>94</v>
      </c>
      <c r="I1" s="567"/>
      <c r="J1" s="567"/>
    </row>
    <row r="2" spans="1:15" ht="19.149999999999999" customHeight="1" x14ac:dyDescent="0.2">
      <c r="A2" s="569" t="s">
        <v>120</v>
      </c>
      <c r="B2" s="567"/>
      <c r="C2" s="567"/>
      <c r="D2" s="567"/>
      <c r="E2" s="567"/>
      <c r="F2" s="567"/>
      <c r="G2" s="567"/>
      <c r="H2" s="567"/>
      <c r="I2" s="567"/>
      <c r="J2" s="567"/>
    </row>
    <row r="3" spans="1:15" ht="22.9" customHeight="1" x14ac:dyDescent="0.2">
      <c r="A3" s="570" t="s">
        <v>6</v>
      </c>
      <c r="B3" s="567"/>
      <c r="C3" s="567"/>
      <c r="D3" s="567"/>
      <c r="E3" s="567"/>
      <c r="F3" s="567"/>
      <c r="G3" s="567"/>
      <c r="H3" s="567"/>
      <c r="I3" s="567"/>
      <c r="J3" s="567"/>
    </row>
    <row r="4" spans="1:15" ht="30.75" customHeight="1" x14ac:dyDescent="0.2">
      <c r="A4" s="571" t="s">
        <v>79</v>
      </c>
      <c r="B4" s="567"/>
      <c r="C4" s="572" t="s">
        <v>462</v>
      </c>
      <c r="D4" s="573"/>
      <c r="E4" s="573"/>
      <c r="F4" s="573"/>
      <c r="G4" s="573"/>
      <c r="H4" s="573"/>
      <c r="I4" s="573"/>
      <c r="J4" s="573"/>
    </row>
    <row r="5" spans="1:15" ht="17.649999999999999" customHeight="1" x14ac:dyDescent="0.2">
      <c r="A5" s="571" t="s">
        <v>80</v>
      </c>
      <c r="B5" s="567"/>
      <c r="C5" s="574" t="s">
        <v>81</v>
      </c>
      <c r="D5" s="567"/>
      <c r="E5" s="567"/>
      <c r="F5" s="567"/>
      <c r="G5" s="567"/>
      <c r="H5" s="567"/>
      <c r="I5" s="567"/>
      <c r="J5" s="567"/>
    </row>
    <row r="6" spans="1:15" ht="29.65" customHeight="1" x14ac:dyDescent="0.2">
      <c r="A6" s="571" t="s">
        <v>95</v>
      </c>
      <c r="B6" s="567"/>
      <c r="C6" s="574"/>
      <c r="D6" s="567"/>
      <c r="E6" s="567"/>
      <c r="F6" s="567"/>
      <c r="G6" s="567"/>
      <c r="H6" s="567"/>
      <c r="I6" s="567"/>
      <c r="J6" s="567"/>
    </row>
    <row r="7" spans="1:15" ht="29.65" customHeight="1" x14ac:dyDescent="0.2">
      <c r="A7" s="571" t="s">
        <v>83</v>
      </c>
      <c r="B7" s="567"/>
      <c r="C7" s="574" t="s">
        <v>78</v>
      </c>
      <c r="D7" s="567"/>
      <c r="E7" s="567"/>
      <c r="F7" s="567"/>
      <c r="G7" s="567"/>
      <c r="H7" s="567"/>
      <c r="I7" s="567"/>
      <c r="J7" s="567"/>
    </row>
    <row r="8" spans="1:15" ht="29.65" customHeight="1" x14ac:dyDescent="0.2">
      <c r="A8" s="571" t="s">
        <v>84</v>
      </c>
      <c r="B8" s="567"/>
      <c r="C8" s="574" t="s">
        <v>97</v>
      </c>
      <c r="D8" s="567"/>
      <c r="E8" s="567"/>
      <c r="F8" s="567"/>
      <c r="G8" s="567"/>
      <c r="H8" s="567"/>
      <c r="I8" s="567"/>
      <c r="J8" s="567"/>
    </row>
    <row r="9" spans="1:15" ht="81.400000000000006" customHeight="1" x14ac:dyDescent="0.2">
      <c r="A9" s="142" t="s">
        <v>2</v>
      </c>
      <c r="B9" s="142" t="s">
        <v>35</v>
      </c>
      <c r="C9" s="563" t="s">
        <v>85</v>
      </c>
      <c r="D9" s="584"/>
      <c r="E9" s="142" t="s">
        <v>36</v>
      </c>
      <c r="F9" s="563" t="s">
        <v>86</v>
      </c>
      <c r="G9" s="564"/>
      <c r="H9" s="564"/>
      <c r="I9" s="565"/>
      <c r="J9" s="142" t="s">
        <v>87</v>
      </c>
    </row>
    <row r="10" spans="1:15" s="370" customFormat="1" ht="53.25" customHeight="1" x14ac:dyDescent="0.2">
      <c r="A10" s="489">
        <v>1</v>
      </c>
      <c r="B10" s="490" t="s">
        <v>445</v>
      </c>
      <c r="C10" s="491" t="s">
        <v>446</v>
      </c>
      <c r="D10" s="492"/>
      <c r="E10" s="489" t="s">
        <v>132</v>
      </c>
      <c r="F10" s="489" t="s">
        <v>448</v>
      </c>
      <c r="G10" s="489"/>
      <c r="H10" s="489"/>
      <c r="I10" s="489"/>
      <c r="J10" s="493">
        <f>(363+2.31*150)*0.8
*(0.8*1.3+0.2)*0.4*1000</f>
        <v>281530</v>
      </c>
      <c r="K10" s="213"/>
      <c r="L10" s="213"/>
      <c r="M10" s="214"/>
      <c r="N10" s="213"/>
      <c r="O10" s="215">
        <f>(7+0.122*(0.4*750+0.6*730))*(0.796*1.2+0.204)*0.3*1000</f>
        <v>33745.24</v>
      </c>
    </row>
    <row r="11" spans="1:15" s="370" customFormat="1" ht="29.25" customHeight="1" x14ac:dyDescent="0.2">
      <c r="A11" s="489"/>
      <c r="B11" s="490"/>
      <c r="C11" s="494" t="s">
        <v>444</v>
      </c>
      <c r="D11" s="495"/>
      <c r="E11" s="489"/>
      <c r="F11" s="489"/>
      <c r="G11" s="489"/>
      <c r="H11" s="489"/>
      <c r="I11" s="489"/>
      <c r="J11" s="493"/>
      <c r="K11" s="213"/>
      <c r="L11" s="213"/>
      <c r="M11" s="213"/>
      <c r="N11" s="213"/>
      <c r="O11" s="213">
        <f>9.7+26.3+11+8.9+9+0.7+5+5+4</f>
        <v>79.599999999999994</v>
      </c>
    </row>
    <row r="12" spans="1:15" s="370" customFormat="1" ht="59.25" customHeight="1" x14ac:dyDescent="0.2">
      <c r="A12" s="489"/>
      <c r="B12" s="490"/>
      <c r="C12" s="496" t="s">
        <v>447</v>
      </c>
      <c r="D12" s="497"/>
      <c r="E12" s="489"/>
      <c r="F12" s="489"/>
      <c r="G12" s="489"/>
      <c r="H12" s="489"/>
      <c r="I12" s="489"/>
      <c r="J12" s="493"/>
      <c r="K12" s="213"/>
      <c r="L12" s="213"/>
      <c r="M12" s="213"/>
      <c r="N12" s="213"/>
      <c r="O12" s="213">
        <f>(228.23+1.756*(0.4*5+0.6*3))*0.4*1000</f>
        <v>93961.12</v>
      </c>
    </row>
    <row r="13" spans="1:15" s="370" customFormat="1" x14ac:dyDescent="0.2">
      <c r="A13" s="489"/>
      <c r="B13" s="490"/>
      <c r="C13" s="498" t="s">
        <v>119</v>
      </c>
      <c r="D13" s="499"/>
      <c r="E13" s="489"/>
      <c r="F13" s="489"/>
      <c r="G13" s="489"/>
      <c r="H13" s="489"/>
      <c r="I13" s="489"/>
      <c r="J13" s="493"/>
      <c r="K13" s="213"/>
      <c r="L13" s="213"/>
      <c r="M13" s="213"/>
      <c r="N13" s="213"/>
      <c r="O13" s="213"/>
    </row>
    <row r="14" spans="1:15" ht="69" customHeight="1" x14ac:dyDescent="0.2">
      <c r="A14" s="504">
        <v>2</v>
      </c>
      <c r="B14" s="501" t="s">
        <v>466</v>
      </c>
      <c r="C14" s="508" t="s">
        <v>356</v>
      </c>
      <c r="D14" s="509"/>
      <c r="E14" s="504" t="s">
        <v>358</v>
      </c>
      <c r="F14" s="504" t="s">
        <v>359</v>
      </c>
      <c r="G14" s="504"/>
      <c r="H14" s="504"/>
      <c r="I14" s="504"/>
      <c r="J14" s="505">
        <f>960*(0.52*1.3+0.48)*0.7
*0.4*1000</f>
        <v>310733</v>
      </c>
      <c r="K14" s="213"/>
      <c r="L14" s="213"/>
      <c r="M14" s="214"/>
      <c r="N14" s="213"/>
      <c r="O14" s="215">
        <f>(7+0.122*(0.4*750+0.6*730))*(0.796*1.2+0.204)*0.3*1000</f>
        <v>33745.24</v>
      </c>
    </row>
    <row r="15" spans="1:15" ht="30" customHeight="1" x14ac:dyDescent="0.2">
      <c r="A15" s="504"/>
      <c r="B15" s="501"/>
      <c r="C15" s="494" t="s">
        <v>444</v>
      </c>
      <c r="D15" s="495"/>
      <c r="E15" s="504"/>
      <c r="F15" s="504"/>
      <c r="G15" s="504"/>
      <c r="H15" s="504"/>
      <c r="I15" s="504"/>
      <c r="J15" s="505"/>
      <c r="K15" s="213"/>
      <c r="L15" s="213"/>
      <c r="M15" s="213"/>
      <c r="N15" s="213"/>
      <c r="O15" s="213">
        <f>9.7+26.3+11+8.9+9+0.7+5+5+4</f>
        <v>79.599999999999994</v>
      </c>
    </row>
    <row r="16" spans="1:15" ht="73.5" customHeight="1" x14ac:dyDescent="0.2">
      <c r="A16" s="504"/>
      <c r="B16" s="501"/>
      <c r="C16" s="512" t="s">
        <v>357</v>
      </c>
      <c r="D16" s="513"/>
      <c r="E16" s="504"/>
      <c r="F16" s="504"/>
      <c r="G16" s="504"/>
      <c r="H16" s="504"/>
      <c r="I16" s="504"/>
      <c r="J16" s="505"/>
      <c r="K16" s="213"/>
      <c r="L16" s="352">
        <f>(582.01+0.111*3000)*(0.66*1.3+0.34)*0.4*1000</f>
        <v>438472.79</v>
      </c>
      <c r="M16" s="352">
        <f>122.62*1.02*1.15*0.5*(0.66*1.3+0.34)*0.4*1000</f>
        <v>34462.449999999997</v>
      </c>
      <c r="N16" s="213"/>
      <c r="O16" s="213">
        <f>(228.23+1.756*(0.4*5+0.6*3))*0.4*1000</f>
        <v>93961.12</v>
      </c>
    </row>
    <row r="17" spans="1:15" x14ac:dyDescent="0.2">
      <c r="A17" s="504"/>
      <c r="B17" s="501"/>
      <c r="C17" s="506" t="s">
        <v>119</v>
      </c>
      <c r="D17" s="507"/>
      <c r="E17" s="504"/>
      <c r="F17" s="504"/>
      <c r="G17" s="504"/>
      <c r="H17" s="504"/>
      <c r="I17" s="504"/>
      <c r="J17" s="505"/>
      <c r="K17" s="213"/>
      <c r="L17" s="352">
        <f>(530.71+0.158*100)*0.5*(0.66*1.3+0.34)*0.4*1000</f>
        <v>130943.8</v>
      </c>
      <c r="M17" s="352">
        <f>158.09*1.02*1.15*(0.66*1.3+0.34)*0.4*1000</f>
        <v>88862.64</v>
      </c>
      <c r="N17" s="213"/>
      <c r="O17" s="213"/>
    </row>
    <row r="18" spans="1:15" s="335" customFormat="1" ht="55.5" customHeight="1" x14ac:dyDescent="0.2">
      <c r="A18" s="504">
        <v>3</v>
      </c>
      <c r="B18" s="501" t="s">
        <v>467</v>
      </c>
      <c r="C18" s="508" t="s">
        <v>360</v>
      </c>
      <c r="D18" s="509"/>
      <c r="E18" s="504" t="s">
        <v>358</v>
      </c>
      <c r="F18" s="504" t="s">
        <v>361</v>
      </c>
      <c r="G18" s="504"/>
      <c r="H18" s="504"/>
      <c r="I18" s="504"/>
      <c r="J18" s="505">
        <f>(18.92+5.06*(0.4*1+0.6*0.5))*0.7*0.4*1000</f>
        <v>6289</v>
      </c>
      <c r="K18" s="213"/>
      <c r="L18" s="213"/>
      <c r="M18" s="214"/>
      <c r="N18" s="213"/>
      <c r="O18" s="215">
        <f>(7+0.122*(0.4*750+0.6*730))*(0.796*1.2+0.204)*0.3*1000</f>
        <v>33745.24</v>
      </c>
    </row>
    <row r="19" spans="1:15" s="335" customFormat="1" x14ac:dyDescent="0.2">
      <c r="A19" s="504"/>
      <c r="B19" s="501"/>
      <c r="C19" s="506" t="s">
        <v>119</v>
      </c>
      <c r="D19" s="507"/>
      <c r="E19" s="504"/>
      <c r="F19" s="504"/>
      <c r="G19" s="504"/>
      <c r="H19" s="504"/>
      <c r="I19" s="504"/>
      <c r="J19" s="505"/>
      <c r="K19" s="213"/>
      <c r="L19" s="352"/>
      <c r="M19" s="352"/>
      <c r="N19" s="213"/>
      <c r="O19" s="213"/>
    </row>
    <row r="20" spans="1:15" s="331" customFormat="1" ht="53.25" customHeight="1" x14ac:dyDescent="0.2">
      <c r="A20" s="489">
        <v>4</v>
      </c>
      <c r="B20" s="490" t="s">
        <v>477</v>
      </c>
      <c r="C20" s="491" t="s">
        <v>367</v>
      </c>
      <c r="D20" s="492"/>
      <c r="E20" s="489" t="s">
        <v>166</v>
      </c>
      <c r="F20" s="489" t="s">
        <v>476</v>
      </c>
      <c r="G20" s="489"/>
      <c r="H20" s="489"/>
      <c r="I20" s="489"/>
      <c r="J20" s="493">
        <f>(89.55+0.08*12)*0.35
*(0.31*1.3+0.34)*0.4*1000*(1+0.2*50)</f>
        <v>103563</v>
      </c>
      <c r="K20" s="213"/>
      <c r="L20" s="213"/>
      <c r="M20" s="214"/>
      <c r="N20" s="213"/>
      <c r="O20" s="215">
        <f>(7+0.122*(0.4*750+0.6*730))*(0.796*1.2+0.204)*0.3*1000</f>
        <v>33745.24</v>
      </c>
    </row>
    <row r="21" spans="1:15" s="331" customFormat="1" ht="29.25" customHeight="1" x14ac:dyDescent="0.2">
      <c r="A21" s="489"/>
      <c r="B21" s="490"/>
      <c r="C21" s="494" t="s">
        <v>444</v>
      </c>
      <c r="D21" s="495"/>
      <c r="E21" s="489"/>
      <c r="F21" s="489"/>
      <c r="G21" s="489"/>
      <c r="H21" s="489"/>
      <c r="I21" s="489"/>
      <c r="J21" s="493"/>
      <c r="K21" s="213"/>
      <c r="L21" s="213"/>
      <c r="M21" s="213"/>
      <c r="N21" s="213"/>
      <c r="O21" s="213">
        <f>9.7+26.3+11+8.9+9+0.7+5+5+4</f>
        <v>79.599999999999994</v>
      </c>
    </row>
    <row r="22" spans="1:15" s="331" customFormat="1" ht="131.25" customHeight="1" x14ac:dyDescent="0.2">
      <c r="A22" s="489"/>
      <c r="B22" s="490"/>
      <c r="C22" s="496" t="s">
        <v>468</v>
      </c>
      <c r="D22" s="497"/>
      <c r="E22" s="489"/>
      <c r="F22" s="489"/>
      <c r="G22" s="489"/>
      <c r="H22" s="489"/>
      <c r="I22" s="489"/>
      <c r="J22" s="493"/>
      <c r="K22" s="213"/>
      <c r="L22" s="213">
        <f>(89.55+0.08*12)*0.35
*(0.31*1.3+0.34)*0.4*1000*(1+0.2*52)</f>
        <v>107329.29227999999</v>
      </c>
      <c r="M22" s="213">
        <f>L22*4.42*1.2</f>
        <v>569274.56625311996</v>
      </c>
      <c r="N22" s="213"/>
      <c r="O22" s="213">
        <f>(228.23+1.756*(0.4*5+0.6*3))*0.4*1000</f>
        <v>93961.12</v>
      </c>
    </row>
    <row r="23" spans="1:15" s="331" customFormat="1" x14ac:dyDescent="0.2">
      <c r="A23" s="489"/>
      <c r="B23" s="490"/>
      <c r="C23" s="498" t="s">
        <v>119</v>
      </c>
      <c r="D23" s="499"/>
      <c r="E23" s="489"/>
      <c r="F23" s="489"/>
      <c r="G23" s="489"/>
      <c r="H23" s="489"/>
      <c r="I23" s="489"/>
      <c r="J23" s="493"/>
      <c r="K23" s="213"/>
      <c r="L23" s="213"/>
      <c r="M23" s="213"/>
      <c r="N23" s="213"/>
      <c r="O23" s="213"/>
    </row>
    <row r="24" spans="1:15" s="378" customFormat="1" ht="43.5" customHeight="1" x14ac:dyDescent="0.2">
      <c r="A24" s="489">
        <v>5</v>
      </c>
      <c r="B24" s="490" t="s">
        <v>485</v>
      </c>
      <c r="C24" s="491" t="s">
        <v>478</v>
      </c>
      <c r="D24" s="492"/>
      <c r="E24" s="489" t="s">
        <v>480</v>
      </c>
      <c r="F24" s="489" t="s">
        <v>481</v>
      </c>
      <c r="G24" s="489"/>
      <c r="H24" s="489"/>
      <c r="I24" s="489"/>
      <c r="J24" s="493">
        <f>(110)*(0.57*1.3+0.35)*0.35
*0.4*1000</f>
        <v>16801</v>
      </c>
      <c r="K24" s="213"/>
      <c r="L24" s="213"/>
      <c r="M24" s="214"/>
      <c r="N24" s="213"/>
      <c r="O24" s="215">
        <f>(7+0.122*(0.4*750+0.6*730))*(0.796*1.2+0.204)*0.3*1000</f>
        <v>33745.24</v>
      </c>
    </row>
    <row r="25" spans="1:15" s="378" customFormat="1" ht="29.25" customHeight="1" x14ac:dyDescent="0.2">
      <c r="A25" s="489"/>
      <c r="B25" s="490"/>
      <c r="C25" s="494" t="s">
        <v>444</v>
      </c>
      <c r="D25" s="495"/>
      <c r="E25" s="489"/>
      <c r="F25" s="489"/>
      <c r="G25" s="489"/>
      <c r="H25" s="489"/>
      <c r="I25" s="489"/>
      <c r="J25" s="493"/>
      <c r="K25" s="213"/>
      <c r="L25" s="213"/>
      <c r="M25" s="213"/>
      <c r="N25" s="213"/>
      <c r="O25" s="213">
        <f>9.7+26.3+11+8.9+9+0.7+5+5+4</f>
        <v>79.599999999999994</v>
      </c>
    </row>
    <row r="26" spans="1:15" s="378" customFormat="1" ht="115.5" customHeight="1" x14ac:dyDescent="0.2">
      <c r="A26" s="489"/>
      <c r="B26" s="490"/>
      <c r="C26" s="496" t="s">
        <v>479</v>
      </c>
      <c r="D26" s="497"/>
      <c r="E26" s="489"/>
      <c r="F26" s="489"/>
      <c r="G26" s="489"/>
      <c r="H26" s="489"/>
      <c r="I26" s="489"/>
      <c r="J26" s="493"/>
      <c r="K26" s="213"/>
      <c r="L26" s="213"/>
      <c r="M26" s="213"/>
      <c r="N26" s="213"/>
      <c r="O26" s="213">
        <f>(228.23+1.756*(0.4*5+0.6*3))*0.4*1000</f>
        <v>93961.12</v>
      </c>
    </row>
    <row r="27" spans="1:15" s="378" customFormat="1" x14ac:dyDescent="0.2">
      <c r="A27" s="489"/>
      <c r="B27" s="490"/>
      <c r="C27" s="498" t="s">
        <v>119</v>
      </c>
      <c r="D27" s="499"/>
      <c r="E27" s="489"/>
      <c r="F27" s="489"/>
      <c r="G27" s="489"/>
      <c r="H27" s="489"/>
      <c r="I27" s="489"/>
      <c r="J27" s="493"/>
      <c r="K27" s="213"/>
      <c r="L27" s="213"/>
      <c r="M27" s="213"/>
      <c r="N27" s="213"/>
      <c r="O27" s="213"/>
    </row>
    <row r="28" spans="1:15" s="378" customFormat="1" ht="57.75" customHeight="1" x14ac:dyDescent="0.2">
      <c r="A28" s="489">
        <v>6</v>
      </c>
      <c r="B28" s="490" t="s">
        <v>484</v>
      </c>
      <c r="C28" s="491" t="s">
        <v>482</v>
      </c>
      <c r="D28" s="492"/>
      <c r="E28" s="489" t="s">
        <v>166</v>
      </c>
      <c r="F28" s="489" t="s">
        <v>483</v>
      </c>
      <c r="G28" s="489"/>
      <c r="H28" s="489"/>
      <c r="I28" s="489"/>
      <c r="J28" s="493">
        <f>(108)*(0.57*1.3+0.35)*0.35
*0.4*1000</f>
        <v>16496</v>
      </c>
      <c r="K28" s="213"/>
      <c r="L28" s="213"/>
      <c r="M28" s="214"/>
      <c r="N28" s="213"/>
      <c r="O28" s="215">
        <f>(7+0.122*(0.4*750+0.6*730))*(0.796*1.2+0.204)*0.3*1000</f>
        <v>33745.24</v>
      </c>
    </row>
    <row r="29" spans="1:15" s="378" customFormat="1" ht="29.25" customHeight="1" x14ac:dyDescent="0.2">
      <c r="A29" s="489"/>
      <c r="B29" s="490"/>
      <c r="C29" s="494" t="s">
        <v>444</v>
      </c>
      <c r="D29" s="495"/>
      <c r="E29" s="489"/>
      <c r="F29" s="489"/>
      <c r="G29" s="489"/>
      <c r="H29" s="489"/>
      <c r="I29" s="489"/>
      <c r="J29" s="493"/>
      <c r="K29" s="213"/>
      <c r="L29" s="213"/>
      <c r="M29" s="213"/>
      <c r="N29" s="213"/>
      <c r="O29" s="213">
        <f>9.7+26.3+11+8.9+9+0.7+5+5+4</f>
        <v>79.599999999999994</v>
      </c>
    </row>
    <row r="30" spans="1:15" s="378" customFormat="1" ht="115.5" customHeight="1" x14ac:dyDescent="0.2">
      <c r="A30" s="489"/>
      <c r="B30" s="490"/>
      <c r="C30" s="496" t="s">
        <v>479</v>
      </c>
      <c r="D30" s="497"/>
      <c r="E30" s="489"/>
      <c r="F30" s="489"/>
      <c r="G30" s="489"/>
      <c r="H30" s="489"/>
      <c r="I30" s="489"/>
      <c r="J30" s="493"/>
      <c r="K30" s="213"/>
      <c r="L30" s="213"/>
      <c r="M30" s="213"/>
      <c r="N30" s="213"/>
      <c r="O30" s="213">
        <f>(228.23+1.756*(0.4*5+0.6*3))*0.4*1000</f>
        <v>93961.12</v>
      </c>
    </row>
    <row r="31" spans="1:15" s="378" customFormat="1" x14ac:dyDescent="0.2">
      <c r="A31" s="489"/>
      <c r="B31" s="490"/>
      <c r="C31" s="498" t="s">
        <v>119</v>
      </c>
      <c r="D31" s="499"/>
      <c r="E31" s="489"/>
      <c r="F31" s="489"/>
      <c r="G31" s="489"/>
      <c r="H31" s="489"/>
      <c r="I31" s="489"/>
      <c r="J31" s="493"/>
      <c r="K31" s="213"/>
      <c r="L31" s="213"/>
      <c r="M31" s="213"/>
      <c r="N31" s="213"/>
      <c r="O31" s="213"/>
    </row>
    <row r="32" spans="1:15" s="331" customFormat="1" ht="66.75" customHeight="1" x14ac:dyDescent="0.2">
      <c r="A32" s="504">
        <v>7</v>
      </c>
      <c r="B32" s="501" t="s">
        <v>362</v>
      </c>
      <c r="C32" s="508" t="s">
        <v>363</v>
      </c>
      <c r="D32" s="509"/>
      <c r="E32" s="504" t="s">
        <v>365</v>
      </c>
      <c r="F32" s="504" t="s">
        <v>366</v>
      </c>
      <c r="G32" s="504"/>
      <c r="H32" s="504"/>
      <c r="I32" s="504"/>
      <c r="J32" s="505">
        <f>73.32*(0.66*1.3+0.34)*0.4*1000</f>
        <v>35135</v>
      </c>
      <c r="K32" s="213"/>
      <c r="L32" s="213"/>
      <c r="M32" s="214"/>
      <c r="N32" s="213"/>
      <c r="O32" s="215">
        <f>(7+0.122*(0.4*750+0.6*730))*(0.796*1.2+0.204)*0.3*1000</f>
        <v>33745.24</v>
      </c>
    </row>
    <row r="33" spans="1:15" s="331" customFormat="1" ht="29.25" customHeight="1" x14ac:dyDescent="0.2">
      <c r="A33" s="504"/>
      <c r="B33" s="501"/>
      <c r="C33" s="494" t="s">
        <v>444</v>
      </c>
      <c r="D33" s="495"/>
      <c r="E33" s="504"/>
      <c r="F33" s="504"/>
      <c r="G33" s="504"/>
      <c r="H33" s="504"/>
      <c r="I33" s="504"/>
      <c r="J33" s="505"/>
      <c r="K33" s="213"/>
      <c r="L33" s="213"/>
      <c r="M33" s="213"/>
      <c r="N33" s="213"/>
      <c r="O33" s="213">
        <f>9.7+26.3+11+8.9+9+0.7+5+5+4</f>
        <v>79.599999999999994</v>
      </c>
    </row>
    <row r="34" spans="1:15" s="331" customFormat="1" ht="39" customHeight="1" x14ac:dyDescent="0.2">
      <c r="A34" s="504"/>
      <c r="B34" s="501"/>
      <c r="C34" s="512" t="s">
        <v>364</v>
      </c>
      <c r="D34" s="513"/>
      <c r="E34" s="504"/>
      <c r="F34" s="504"/>
      <c r="G34" s="504"/>
      <c r="H34" s="504"/>
      <c r="I34" s="504"/>
      <c r="J34" s="505"/>
      <c r="K34" s="213"/>
      <c r="L34" s="213"/>
      <c r="M34" s="213"/>
      <c r="N34" s="213"/>
      <c r="O34" s="213">
        <f>(228.23+1.756*(0.4*5+0.6*3))*0.4*1000</f>
        <v>93961.12</v>
      </c>
    </row>
    <row r="35" spans="1:15" s="331" customFormat="1" x14ac:dyDescent="0.2">
      <c r="A35" s="504"/>
      <c r="B35" s="501"/>
      <c r="C35" s="506" t="s">
        <v>119</v>
      </c>
      <c r="D35" s="507"/>
      <c r="E35" s="504"/>
      <c r="F35" s="504"/>
      <c r="G35" s="504"/>
      <c r="H35" s="504"/>
      <c r="I35" s="504"/>
      <c r="J35" s="505"/>
      <c r="K35" s="213"/>
      <c r="L35" s="213"/>
      <c r="M35" s="213"/>
      <c r="N35" s="213"/>
      <c r="O35" s="213"/>
    </row>
    <row r="36" spans="1:15" ht="30" customHeight="1" x14ac:dyDescent="0.2">
      <c r="A36" s="532">
        <v>8</v>
      </c>
      <c r="B36" s="534" t="s">
        <v>469</v>
      </c>
      <c r="C36" s="502" t="s">
        <v>180</v>
      </c>
      <c r="D36" s="503"/>
      <c r="E36" s="534" t="s">
        <v>132</v>
      </c>
      <c r="F36" s="541" t="s">
        <v>470</v>
      </c>
      <c r="G36" s="542"/>
      <c r="H36" s="542"/>
      <c r="I36" s="542"/>
      <c r="J36" s="510">
        <f>(12+0.136*250)*1.1*1.15*1000*(0.76*1.3+0.24)*0.5</f>
        <v>35729</v>
      </c>
      <c r="K36" s="213"/>
      <c r="L36" s="213"/>
      <c r="M36" s="213"/>
      <c r="N36" s="213"/>
      <c r="O36" s="213"/>
    </row>
    <row r="37" spans="1:15" ht="19.149999999999999" customHeight="1" x14ac:dyDescent="0.2">
      <c r="A37" s="533"/>
      <c r="B37" s="535"/>
      <c r="C37" s="512" t="s">
        <v>181</v>
      </c>
      <c r="D37" s="513"/>
      <c r="E37" s="535"/>
      <c r="F37" s="543"/>
      <c r="G37" s="544"/>
      <c r="H37" s="544"/>
      <c r="I37" s="544"/>
      <c r="J37" s="511"/>
      <c r="K37" s="213"/>
      <c r="L37" s="213"/>
      <c r="M37" s="213"/>
      <c r="N37" s="213"/>
      <c r="O37" s="213"/>
    </row>
    <row r="38" spans="1:15" ht="36" customHeight="1" x14ac:dyDescent="0.2">
      <c r="A38" s="533"/>
      <c r="B38" s="535"/>
      <c r="C38" s="494" t="s">
        <v>444</v>
      </c>
      <c r="D38" s="495"/>
      <c r="E38" s="535"/>
      <c r="F38" s="543"/>
      <c r="G38" s="544"/>
      <c r="H38" s="544"/>
      <c r="I38" s="544"/>
      <c r="J38" s="511"/>
      <c r="K38" s="213"/>
      <c r="L38" s="213"/>
      <c r="M38" s="213"/>
      <c r="N38" s="213"/>
      <c r="O38" s="213"/>
    </row>
    <row r="39" spans="1:15" ht="41.45" customHeight="1" x14ac:dyDescent="0.2">
      <c r="A39" s="533"/>
      <c r="B39" s="535"/>
      <c r="C39" s="512" t="s">
        <v>133</v>
      </c>
      <c r="D39" s="513"/>
      <c r="E39" s="535"/>
      <c r="F39" s="543"/>
      <c r="G39" s="544"/>
      <c r="H39" s="544"/>
      <c r="I39" s="544"/>
      <c r="J39" s="511"/>
      <c r="K39" s="213"/>
      <c r="L39" s="213"/>
      <c r="M39" s="213"/>
      <c r="N39" s="213"/>
      <c r="O39" s="213"/>
    </row>
    <row r="40" spans="1:15" ht="19.149999999999999" customHeight="1" x14ac:dyDescent="0.2">
      <c r="A40" s="533"/>
      <c r="B40" s="535"/>
      <c r="C40" s="512" t="s">
        <v>134</v>
      </c>
      <c r="D40" s="513"/>
      <c r="E40" s="535"/>
      <c r="F40" s="543"/>
      <c r="G40" s="544"/>
      <c r="H40" s="544"/>
      <c r="I40" s="544"/>
      <c r="J40" s="511"/>
      <c r="K40" s="213"/>
      <c r="L40" s="213"/>
      <c r="M40" s="213"/>
      <c r="N40" s="213"/>
      <c r="O40" s="213"/>
    </row>
    <row r="41" spans="1:15" ht="19.149999999999999" customHeight="1" x14ac:dyDescent="0.2">
      <c r="A41" s="533"/>
      <c r="B41" s="535"/>
      <c r="C41" s="514" t="s">
        <v>135</v>
      </c>
      <c r="D41" s="515"/>
      <c r="E41" s="535"/>
      <c r="F41" s="543"/>
      <c r="G41" s="544"/>
      <c r="H41" s="544"/>
      <c r="I41" s="544"/>
      <c r="J41" s="511"/>
      <c r="K41" s="213"/>
      <c r="L41" s="213"/>
      <c r="M41" s="213"/>
      <c r="N41" s="213"/>
      <c r="O41" s="213"/>
    </row>
    <row r="42" spans="1:15" ht="30" customHeight="1" x14ac:dyDescent="0.2">
      <c r="A42" s="532">
        <v>9</v>
      </c>
      <c r="B42" s="534" t="s">
        <v>308</v>
      </c>
      <c r="C42" s="502" t="s">
        <v>189</v>
      </c>
      <c r="D42" s="503"/>
      <c r="E42" s="534" t="s">
        <v>309</v>
      </c>
      <c r="F42" s="541" t="s">
        <v>325</v>
      </c>
      <c r="G42" s="542"/>
      <c r="H42" s="542"/>
      <c r="I42" s="542"/>
      <c r="J42" s="510">
        <f>30000*(1+0.2*2)*(0.76*1.3+0.24)*0.5</f>
        <v>25788</v>
      </c>
      <c r="K42" s="213"/>
      <c r="L42" s="213"/>
      <c r="M42" s="213"/>
      <c r="N42" s="213"/>
      <c r="O42" s="213"/>
    </row>
    <row r="43" spans="1:15" ht="25.5" customHeight="1" x14ac:dyDescent="0.2">
      <c r="A43" s="533"/>
      <c r="B43" s="535"/>
      <c r="C43" s="512" t="s">
        <v>310</v>
      </c>
      <c r="D43" s="513"/>
      <c r="E43" s="535"/>
      <c r="F43" s="543"/>
      <c r="G43" s="544"/>
      <c r="H43" s="544"/>
      <c r="I43" s="544"/>
      <c r="J43" s="511"/>
      <c r="K43" s="213"/>
      <c r="L43" s="213"/>
      <c r="M43" s="213"/>
      <c r="N43" s="213"/>
      <c r="O43" s="213"/>
    </row>
    <row r="44" spans="1:15" ht="36" customHeight="1" x14ac:dyDescent="0.2">
      <c r="A44" s="533"/>
      <c r="B44" s="535"/>
      <c r="C44" s="494" t="s">
        <v>444</v>
      </c>
      <c r="D44" s="495"/>
      <c r="E44" s="535"/>
      <c r="F44" s="543"/>
      <c r="G44" s="544"/>
      <c r="H44" s="544"/>
      <c r="I44" s="544"/>
      <c r="J44" s="511"/>
      <c r="K44" s="213"/>
      <c r="L44" s="213"/>
      <c r="M44" s="213"/>
      <c r="N44" s="213"/>
      <c r="O44" s="213"/>
    </row>
    <row r="45" spans="1:15" ht="41.45" customHeight="1" x14ac:dyDescent="0.2">
      <c r="A45" s="533"/>
      <c r="B45" s="535"/>
      <c r="C45" s="512" t="s">
        <v>133</v>
      </c>
      <c r="D45" s="513"/>
      <c r="E45" s="535"/>
      <c r="F45" s="543"/>
      <c r="G45" s="544"/>
      <c r="H45" s="544"/>
      <c r="I45" s="544"/>
      <c r="J45" s="511"/>
      <c r="K45" s="213"/>
      <c r="L45" s="213"/>
      <c r="M45" s="213"/>
      <c r="N45" s="213"/>
      <c r="O45" s="213"/>
    </row>
    <row r="46" spans="1:15" ht="19.149999999999999" customHeight="1" x14ac:dyDescent="0.2">
      <c r="A46" s="533"/>
      <c r="B46" s="535"/>
      <c r="C46" s="514" t="s">
        <v>135</v>
      </c>
      <c r="D46" s="515"/>
      <c r="E46" s="535"/>
      <c r="F46" s="543"/>
      <c r="G46" s="544"/>
      <c r="H46" s="544"/>
      <c r="I46" s="544"/>
      <c r="J46" s="511"/>
      <c r="K46" s="213"/>
      <c r="L46" s="213"/>
      <c r="M46" s="213"/>
      <c r="N46" s="213"/>
      <c r="O46" s="213"/>
    </row>
    <row r="47" spans="1:15" s="335" customFormat="1" ht="27.6" customHeight="1" x14ac:dyDescent="0.2">
      <c r="A47" s="500">
        <v>10</v>
      </c>
      <c r="B47" s="501" t="s">
        <v>449</v>
      </c>
      <c r="C47" s="502" t="s">
        <v>368</v>
      </c>
      <c r="D47" s="503"/>
      <c r="E47" s="585" t="s">
        <v>132</v>
      </c>
      <c r="F47" s="541" t="s">
        <v>450</v>
      </c>
      <c r="G47" s="542"/>
      <c r="H47" s="542"/>
      <c r="I47" s="575"/>
      <c r="J47" s="510">
        <f>(55.04+0.213*900)*1.1
*(0.76*1.3+0.24)*0.5*1000</f>
        <v>166648</v>
      </c>
      <c r="K47" s="213" t="s">
        <v>175</v>
      </c>
      <c r="L47" s="213"/>
      <c r="M47" s="213"/>
      <c r="N47" s="213"/>
      <c r="O47" s="213"/>
    </row>
    <row r="48" spans="1:15" s="335" customFormat="1" ht="30.6" customHeight="1" x14ac:dyDescent="0.2">
      <c r="A48" s="500"/>
      <c r="B48" s="501"/>
      <c r="C48" s="494" t="s">
        <v>444</v>
      </c>
      <c r="D48" s="495"/>
      <c r="E48" s="585"/>
      <c r="F48" s="543"/>
      <c r="G48" s="544"/>
      <c r="H48" s="544"/>
      <c r="I48" s="576"/>
      <c r="J48" s="511"/>
      <c r="K48" s="213"/>
      <c r="L48" s="213"/>
      <c r="M48" s="213"/>
      <c r="N48" s="213"/>
      <c r="O48" s="213"/>
    </row>
    <row r="49" spans="1:15" s="335" customFormat="1" ht="42" customHeight="1" x14ac:dyDescent="0.2">
      <c r="A49" s="500"/>
      <c r="B49" s="501"/>
      <c r="C49" s="512" t="s">
        <v>133</v>
      </c>
      <c r="D49" s="513"/>
      <c r="E49" s="585"/>
      <c r="F49" s="543"/>
      <c r="G49" s="544"/>
      <c r="H49" s="544"/>
      <c r="I49" s="576"/>
      <c r="J49" s="511"/>
      <c r="K49" s="359"/>
      <c r="L49" s="213"/>
      <c r="M49" s="213"/>
      <c r="N49" s="213"/>
      <c r="O49" s="213"/>
    </row>
    <row r="50" spans="1:15" s="335" customFormat="1" ht="21.6" customHeight="1" x14ac:dyDescent="0.2">
      <c r="A50" s="500"/>
      <c r="B50" s="501"/>
      <c r="C50" s="512" t="s">
        <v>134</v>
      </c>
      <c r="D50" s="513"/>
      <c r="E50" s="585"/>
      <c r="F50" s="543"/>
      <c r="G50" s="544"/>
      <c r="H50" s="544"/>
      <c r="I50" s="576"/>
      <c r="J50" s="511"/>
      <c r="K50" s="213"/>
      <c r="L50" s="213"/>
      <c r="M50" s="213"/>
      <c r="N50" s="213"/>
      <c r="O50" s="213"/>
    </row>
    <row r="51" spans="1:15" s="335" customFormat="1" ht="30" customHeight="1" x14ac:dyDescent="0.2">
      <c r="A51" s="500"/>
      <c r="B51" s="501"/>
      <c r="C51" s="506" t="s">
        <v>135</v>
      </c>
      <c r="D51" s="507"/>
      <c r="E51" s="585"/>
      <c r="F51" s="546"/>
      <c r="G51" s="577"/>
      <c r="H51" s="577"/>
      <c r="I51" s="578"/>
      <c r="J51" s="516"/>
      <c r="K51" s="213"/>
      <c r="L51" s="213"/>
      <c r="M51" s="213"/>
      <c r="N51" s="213"/>
      <c r="O51" s="213"/>
    </row>
    <row r="52" spans="1:15" s="348" customFormat="1" ht="45.75" customHeight="1" x14ac:dyDescent="0.2">
      <c r="A52" s="500">
        <v>11</v>
      </c>
      <c r="B52" s="501" t="s">
        <v>379</v>
      </c>
      <c r="C52" s="559" t="s">
        <v>380</v>
      </c>
      <c r="D52" s="503"/>
      <c r="E52" s="585" t="s">
        <v>383</v>
      </c>
      <c r="F52" s="600" t="s">
        <v>384</v>
      </c>
      <c r="G52" s="542"/>
      <c r="H52" s="542"/>
      <c r="I52" s="575"/>
      <c r="J52" s="510">
        <f>(11.85+0.41*(0.4*24+0.6*45))
*(0.68*1.3+0.32)*0.6*1000</f>
        <v>19401</v>
      </c>
      <c r="K52" s="213"/>
      <c r="L52" s="213"/>
      <c r="M52" s="213"/>
      <c r="N52" s="213"/>
      <c r="O52" s="213"/>
    </row>
    <row r="53" spans="1:15" s="348" customFormat="1" ht="30.6" customHeight="1" x14ac:dyDescent="0.2">
      <c r="A53" s="500"/>
      <c r="B53" s="501"/>
      <c r="C53" s="494" t="s">
        <v>444</v>
      </c>
      <c r="D53" s="495"/>
      <c r="E53" s="585"/>
      <c r="F53" s="543"/>
      <c r="G53" s="544"/>
      <c r="H53" s="544"/>
      <c r="I53" s="576"/>
      <c r="J53" s="511"/>
      <c r="K53" s="213"/>
      <c r="L53" s="213"/>
      <c r="M53" s="213"/>
      <c r="N53" s="213"/>
      <c r="O53" s="213"/>
    </row>
    <row r="54" spans="1:15" s="348" customFormat="1" ht="55.5" customHeight="1" x14ac:dyDescent="0.2">
      <c r="A54" s="500"/>
      <c r="B54" s="501"/>
      <c r="C54" s="512" t="s">
        <v>381</v>
      </c>
      <c r="D54" s="513"/>
      <c r="E54" s="585"/>
      <c r="F54" s="543"/>
      <c r="G54" s="544"/>
      <c r="H54" s="544"/>
      <c r="I54" s="576"/>
      <c r="J54" s="511"/>
      <c r="K54" s="213"/>
      <c r="L54" s="213"/>
      <c r="M54" s="213"/>
      <c r="N54" s="213"/>
      <c r="O54" s="213"/>
    </row>
    <row r="55" spans="1:15" s="348" customFormat="1" x14ac:dyDescent="0.2">
      <c r="A55" s="500"/>
      <c r="B55" s="501"/>
      <c r="C55" s="506" t="s">
        <v>382</v>
      </c>
      <c r="D55" s="507"/>
      <c r="E55" s="585"/>
      <c r="F55" s="546"/>
      <c r="G55" s="577"/>
      <c r="H55" s="577"/>
      <c r="I55" s="578"/>
      <c r="J55" s="516"/>
      <c r="K55" s="213"/>
      <c r="L55" s="213"/>
      <c r="M55" s="213"/>
      <c r="N55" s="213"/>
      <c r="O55" s="213"/>
    </row>
    <row r="56" spans="1:15" ht="37.15" customHeight="1" x14ac:dyDescent="0.2">
      <c r="A56" s="532">
        <v>12</v>
      </c>
      <c r="B56" s="541" t="s">
        <v>326</v>
      </c>
      <c r="C56" s="502" t="s">
        <v>195</v>
      </c>
      <c r="D56" s="503"/>
      <c r="E56" s="579" t="s">
        <v>100</v>
      </c>
      <c r="F56" s="541" t="s">
        <v>327</v>
      </c>
      <c r="G56" s="542"/>
      <c r="H56" s="542"/>
      <c r="I56" s="575"/>
      <c r="J56" s="510">
        <f>(7.763+0.042*500)*1000*(0.76*1.3+0.24)*0.4</f>
        <v>14128</v>
      </c>
      <c r="K56" s="213"/>
      <c r="L56" s="213"/>
      <c r="M56" s="213"/>
      <c r="N56" s="213"/>
      <c r="O56" s="213"/>
    </row>
    <row r="57" spans="1:15" ht="37.5" customHeight="1" x14ac:dyDescent="0.2">
      <c r="A57" s="533"/>
      <c r="B57" s="543"/>
      <c r="C57" s="494" t="s">
        <v>444</v>
      </c>
      <c r="D57" s="495"/>
      <c r="E57" s="580"/>
      <c r="F57" s="543"/>
      <c r="G57" s="544"/>
      <c r="H57" s="544"/>
      <c r="I57" s="576"/>
      <c r="J57" s="511"/>
      <c r="K57" s="213"/>
      <c r="L57" s="213"/>
      <c r="M57" s="213"/>
      <c r="N57" s="213"/>
      <c r="O57" s="213"/>
    </row>
    <row r="58" spans="1:15" ht="52.15" customHeight="1" x14ac:dyDescent="0.2">
      <c r="A58" s="533"/>
      <c r="B58" s="543"/>
      <c r="C58" s="512" t="s">
        <v>314</v>
      </c>
      <c r="D58" s="513"/>
      <c r="E58" s="580"/>
      <c r="F58" s="543"/>
      <c r="G58" s="544"/>
      <c r="H58" s="544"/>
      <c r="I58" s="576"/>
      <c r="J58" s="511"/>
      <c r="K58" s="213"/>
      <c r="L58" s="213"/>
      <c r="M58" s="213"/>
      <c r="N58" s="213"/>
      <c r="O58" s="213"/>
    </row>
    <row r="59" spans="1:15" ht="33.6" customHeight="1" x14ac:dyDescent="0.2">
      <c r="A59" s="545"/>
      <c r="B59" s="546"/>
      <c r="C59" s="582" t="s">
        <v>165</v>
      </c>
      <c r="D59" s="583"/>
      <c r="E59" s="581"/>
      <c r="F59" s="546"/>
      <c r="G59" s="577"/>
      <c r="H59" s="577"/>
      <c r="I59" s="578"/>
      <c r="J59" s="516"/>
      <c r="K59" s="213"/>
      <c r="L59" s="213"/>
      <c r="M59" s="213"/>
      <c r="N59" s="213"/>
      <c r="O59" s="213"/>
    </row>
    <row r="60" spans="1:15" s="348" customFormat="1" ht="25.5" customHeight="1" x14ac:dyDescent="0.2">
      <c r="A60" s="532">
        <v>13</v>
      </c>
      <c r="B60" s="547" t="s">
        <v>471</v>
      </c>
      <c r="C60" s="502" t="s">
        <v>369</v>
      </c>
      <c r="D60" s="503"/>
      <c r="E60" s="547" t="s">
        <v>100</v>
      </c>
      <c r="F60" s="550" t="s">
        <v>472</v>
      </c>
      <c r="G60" s="551"/>
      <c r="H60" s="551"/>
      <c r="I60" s="552"/>
      <c r="J60" s="586">
        <f>(25.97+0.063*600)*1000
*(0.68*1.3+0.32)*0.4</f>
        <v>30712</v>
      </c>
      <c r="K60" s="213"/>
      <c r="L60" s="213"/>
      <c r="M60" s="213"/>
      <c r="N60" s="213"/>
      <c r="O60" s="213"/>
    </row>
    <row r="61" spans="1:15" s="348" customFormat="1" ht="25.5" customHeight="1" x14ac:dyDescent="0.2">
      <c r="A61" s="533"/>
      <c r="B61" s="548"/>
      <c r="C61" s="494" t="s">
        <v>444</v>
      </c>
      <c r="D61" s="495"/>
      <c r="E61" s="548"/>
      <c r="F61" s="553"/>
      <c r="G61" s="554"/>
      <c r="H61" s="554"/>
      <c r="I61" s="555"/>
      <c r="J61" s="586"/>
      <c r="K61" s="213"/>
      <c r="L61" s="213"/>
      <c r="M61" s="213"/>
      <c r="N61" s="213"/>
      <c r="O61" s="213"/>
    </row>
    <row r="62" spans="1:15" s="348" customFormat="1" ht="58.5" customHeight="1" x14ac:dyDescent="0.2">
      <c r="A62" s="533"/>
      <c r="B62" s="548"/>
      <c r="C62" s="512" t="s">
        <v>131</v>
      </c>
      <c r="D62" s="513"/>
      <c r="E62" s="548"/>
      <c r="F62" s="553"/>
      <c r="G62" s="554"/>
      <c r="H62" s="554"/>
      <c r="I62" s="555"/>
      <c r="J62" s="586"/>
      <c r="K62" s="213"/>
      <c r="L62" s="213"/>
      <c r="M62" s="213"/>
      <c r="N62" s="213"/>
      <c r="O62" s="213"/>
    </row>
    <row r="63" spans="1:15" s="348" customFormat="1" ht="25.5" customHeight="1" x14ac:dyDescent="0.2">
      <c r="A63" s="545"/>
      <c r="B63" s="549"/>
      <c r="C63" s="506" t="s">
        <v>119</v>
      </c>
      <c r="D63" s="507"/>
      <c r="E63" s="549"/>
      <c r="F63" s="556"/>
      <c r="G63" s="557"/>
      <c r="H63" s="557"/>
      <c r="I63" s="558"/>
      <c r="J63" s="586"/>
      <c r="K63" s="213"/>
      <c r="L63" s="213"/>
      <c r="M63" s="213"/>
      <c r="N63" s="213"/>
      <c r="O63" s="213"/>
    </row>
    <row r="64" spans="1:15" ht="46.5" customHeight="1" x14ac:dyDescent="0.2">
      <c r="A64" s="591">
        <v>14</v>
      </c>
      <c r="B64" s="547" t="s">
        <v>370</v>
      </c>
      <c r="C64" s="526" t="s">
        <v>371</v>
      </c>
      <c r="D64" s="527"/>
      <c r="E64" s="560" t="s">
        <v>373</v>
      </c>
      <c r="F64" s="517" t="s">
        <v>374</v>
      </c>
      <c r="G64" s="518"/>
      <c r="H64" s="518"/>
      <c r="I64" s="519"/>
      <c r="J64" s="597">
        <f>(1.39+0.102*4)*1000* (0.36*1.3+0.64) * 0.48</f>
        <v>956</v>
      </c>
      <c r="K64" s="213"/>
      <c r="L64" s="590"/>
      <c r="M64" s="590"/>
      <c r="N64" s="590"/>
      <c r="O64" s="590"/>
    </row>
    <row r="65" spans="1:15" ht="34.5" customHeight="1" x14ac:dyDescent="0.2">
      <c r="A65" s="592"/>
      <c r="B65" s="548"/>
      <c r="C65" s="494" t="s">
        <v>444</v>
      </c>
      <c r="D65" s="495"/>
      <c r="E65" s="561"/>
      <c r="F65" s="520"/>
      <c r="G65" s="521"/>
      <c r="H65" s="521"/>
      <c r="I65" s="522"/>
      <c r="J65" s="598"/>
      <c r="K65" s="213"/>
      <c r="L65" s="590"/>
      <c r="M65" s="590"/>
      <c r="N65" s="590"/>
      <c r="O65" s="590"/>
    </row>
    <row r="66" spans="1:15" ht="46.9" customHeight="1" x14ac:dyDescent="0.2">
      <c r="A66" s="592"/>
      <c r="B66" s="548"/>
      <c r="C66" s="528" t="s">
        <v>174</v>
      </c>
      <c r="D66" s="529"/>
      <c r="E66" s="561"/>
      <c r="F66" s="520"/>
      <c r="G66" s="521"/>
      <c r="H66" s="521"/>
      <c r="I66" s="522"/>
      <c r="J66" s="598"/>
      <c r="K66" s="213"/>
      <c r="L66" s="590"/>
      <c r="M66" s="590"/>
      <c r="N66" s="590"/>
      <c r="O66" s="590"/>
    </row>
    <row r="67" spans="1:15" ht="33" customHeight="1" x14ac:dyDescent="0.2">
      <c r="A67" s="593"/>
      <c r="B67" s="549"/>
      <c r="C67" s="530" t="s">
        <v>372</v>
      </c>
      <c r="D67" s="531"/>
      <c r="E67" s="562"/>
      <c r="F67" s="523"/>
      <c r="G67" s="524"/>
      <c r="H67" s="524"/>
      <c r="I67" s="525"/>
      <c r="J67" s="599"/>
      <c r="K67" s="213"/>
      <c r="L67" s="590"/>
      <c r="M67" s="590"/>
      <c r="N67" s="590"/>
      <c r="O67" s="590"/>
    </row>
    <row r="68" spans="1:15" ht="37.5" customHeight="1" x14ac:dyDescent="0.2">
      <c r="A68" s="594">
        <v>15</v>
      </c>
      <c r="B68" s="560" t="s">
        <v>375</v>
      </c>
      <c r="C68" s="526" t="s">
        <v>376</v>
      </c>
      <c r="D68" s="527"/>
      <c r="E68" s="560" t="s">
        <v>313</v>
      </c>
      <c r="F68" s="517" t="s">
        <v>377</v>
      </c>
      <c r="G68" s="518"/>
      <c r="H68" s="518"/>
      <c r="I68" s="519"/>
      <c r="J68" s="587">
        <f>(36.61+4.57*7)*1.1*(0.36*1.3+0.64)*0.5*1000</f>
        <v>41805</v>
      </c>
      <c r="K68" s="213"/>
      <c r="L68" s="213"/>
      <c r="M68" s="213"/>
      <c r="N68" s="213"/>
      <c r="O68" s="213" t="s">
        <v>301</v>
      </c>
    </row>
    <row r="69" spans="1:15" ht="45.75" customHeight="1" x14ac:dyDescent="0.2">
      <c r="A69" s="595"/>
      <c r="B69" s="561"/>
      <c r="C69" s="528" t="s">
        <v>177</v>
      </c>
      <c r="D69" s="529"/>
      <c r="E69" s="561"/>
      <c r="F69" s="520"/>
      <c r="G69" s="521"/>
      <c r="H69" s="521"/>
      <c r="I69" s="522"/>
      <c r="J69" s="588"/>
      <c r="K69" s="213"/>
      <c r="L69" s="213"/>
      <c r="M69" s="213"/>
      <c r="N69" s="213"/>
      <c r="O69" s="213"/>
    </row>
    <row r="70" spans="1:15" ht="28.5" customHeight="1" x14ac:dyDescent="0.2">
      <c r="A70" s="595"/>
      <c r="B70" s="561"/>
      <c r="C70" s="494" t="s">
        <v>444</v>
      </c>
      <c r="D70" s="495"/>
      <c r="E70" s="561"/>
      <c r="F70" s="520"/>
      <c r="G70" s="521"/>
      <c r="H70" s="521"/>
      <c r="I70" s="522"/>
      <c r="J70" s="588"/>
      <c r="K70" s="213"/>
      <c r="L70" s="213"/>
      <c r="M70" s="213"/>
      <c r="N70" s="213"/>
      <c r="O70" s="213"/>
    </row>
    <row r="71" spans="1:15" ht="40.15" customHeight="1" x14ac:dyDescent="0.2">
      <c r="A71" s="595"/>
      <c r="B71" s="561"/>
      <c r="C71" s="528" t="s">
        <v>174</v>
      </c>
      <c r="D71" s="529"/>
      <c r="E71" s="561"/>
      <c r="F71" s="520"/>
      <c r="G71" s="521"/>
      <c r="H71" s="521"/>
      <c r="I71" s="522"/>
      <c r="J71" s="588"/>
      <c r="K71" s="213"/>
      <c r="L71" s="213"/>
      <c r="M71" s="213"/>
      <c r="N71" s="213"/>
      <c r="O71" s="213"/>
    </row>
    <row r="72" spans="1:15" ht="19.149999999999999" customHeight="1" x14ac:dyDescent="0.2">
      <c r="A72" s="596"/>
      <c r="B72" s="562"/>
      <c r="C72" s="530" t="s">
        <v>178</v>
      </c>
      <c r="D72" s="531"/>
      <c r="E72" s="562"/>
      <c r="F72" s="523"/>
      <c r="G72" s="524"/>
      <c r="H72" s="524"/>
      <c r="I72" s="525"/>
      <c r="J72" s="589"/>
      <c r="K72" s="213"/>
      <c r="L72" s="213"/>
      <c r="M72" s="213"/>
      <c r="N72" s="213"/>
      <c r="O72" s="213"/>
    </row>
    <row r="73" spans="1:15" ht="28.5" customHeight="1" x14ac:dyDescent="0.2">
      <c r="A73" s="594">
        <v>16</v>
      </c>
      <c r="B73" s="560" t="s">
        <v>311</v>
      </c>
      <c r="C73" s="526" t="s">
        <v>378</v>
      </c>
      <c r="D73" s="527"/>
      <c r="E73" s="560" t="s">
        <v>312</v>
      </c>
      <c r="F73" s="517" t="s">
        <v>328</v>
      </c>
      <c r="G73" s="518"/>
      <c r="H73" s="518"/>
      <c r="I73" s="519"/>
      <c r="J73" s="587">
        <f>85.45*(0.36*1.3+0.64)
*0.5*1000</f>
        <v>47339</v>
      </c>
      <c r="K73" s="213"/>
      <c r="L73" s="213"/>
      <c r="M73" s="213"/>
      <c r="N73" s="213"/>
      <c r="O73" s="213" t="s">
        <v>301</v>
      </c>
    </row>
    <row r="74" spans="1:15" ht="28.5" customHeight="1" x14ac:dyDescent="0.2">
      <c r="A74" s="595"/>
      <c r="B74" s="561"/>
      <c r="C74" s="494" t="s">
        <v>444</v>
      </c>
      <c r="D74" s="495"/>
      <c r="E74" s="561"/>
      <c r="F74" s="520"/>
      <c r="G74" s="521"/>
      <c r="H74" s="521"/>
      <c r="I74" s="522"/>
      <c r="J74" s="588"/>
      <c r="K74" s="213"/>
      <c r="L74" s="213"/>
      <c r="M74" s="213"/>
      <c r="N74" s="213"/>
      <c r="O74" s="213"/>
    </row>
    <row r="75" spans="1:15" ht="40.15" customHeight="1" x14ac:dyDescent="0.2">
      <c r="A75" s="595"/>
      <c r="B75" s="561"/>
      <c r="C75" s="528" t="s">
        <v>174</v>
      </c>
      <c r="D75" s="529"/>
      <c r="E75" s="561"/>
      <c r="F75" s="520"/>
      <c r="G75" s="521"/>
      <c r="H75" s="521"/>
      <c r="I75" s="522"/>
      <c r="J75" s="588"/>
      <c r="K75" s="213"/>
      <c r="L75" s="213"/>
      <c r="M75" s="213"/>
      <c r="N75" s="213"/>
      <c r="O75" s="213"/>
    </row>
    <row r="76" spans="1:15" ht="19.149999999999999" customHeight="1" x14ac:dyDescent="0.2">
      <c r="A76" s="596"/>
      <c r="B76" s="562"/>
      <c r="C76" s="530" t="s">
        <v>178</v>
      </c>
      <c r="D76" s="531"/>
      <c r="E76" s="562"/>
      <c r="F76" s="523"/>
      <c r="G76" s="524"/>
      <c r="H76" s="524"/>
      <c r="I76" s="525"/>
      <c r="J76" s="589"/>
      <c r="K76" s="213"/>
      <c r="L76" s="213"/>
      <c r="M76" s="213"/>
      <c r="N76" s="213"/>
      <c r="O76" s="213"/>
    </row>
    <row r="77" spans="1:15" s="348" customFormat="1" ht="69" customHeight="1" x14ac:dyDescent="0.2">
      <c r="A77" s="504">
        <v>17</v>
      </c>
      <c r="B77" s="501" t="s">
        <v>385</v>
      </c>
      <c r="C77" s="508" t="s">
        <v>356</v>
      </c>
      <c r="D77" s="509"/>
      <c r="E77" s="504" t="s">
        <v>358</v>
      </c>
      <c r="F77" s="504" t="s">
        <v>386</v>
      </c>
      <c r="G77" s="504"/>
      <c r="H77" s="504"/>
      <c r="I77" s="504"/>
      <c r="J77" s="505">
        <f>960*(0.52*1.3+0.48)*0.7
*0.4*1000*0.25</f>
        <v>77683</v>
      </c>
      <c r="K77" s="213"/>
      <c r="L77" s="213"/>
      <c r="M77" s="214"/>
      <c r="N77" s="213"/>
      <c r="O77" s="215">
        <f>(7+0.122*(0.4*750+0.6*730))*(0.796*1.2+0.204)*0.3*1000</f>
        <v>33745.24</v>
      </c>
    </row>
    <row r="78" spans="1:15" s="348" customFormat="1" ht="30" customHeight="1" x14ac:dyDescent="0.2">
      <c r="A78" s="504"/>
      <c r="B78" s="501"/>
      <c r="C78" s="494" t="s">
        <v>444</v>
      </c>
      <c r="D78" s="495"/>
      <c r="E78" s="504"/>
      <c r="F78" s="504"/>
      <c r="G78" s="504"/>
      <c r="H78" s="504"/>
      <c r="I78" s="504"/>
      <c r="J78" s="505"/>
      <c r="K78" s="213"/>
      <c r="L78" s="213"/>
      <c r="M78" s="213"/>
      <c r="N78" s="213"/>
      <c r="O78" s="213">
        <f>9.7+26.3+11+8.9+9+0.7+5+5+4</f>
        <v>79.599999999999994</v>
      </c>
    </row>
    <row r="79" spans="1:15" s="348" customFormat="1" ht="111.75" customHeight="1" x14ac:dyDescent="0.2">
      <c r="A79" s="504"/>
      <c r="B79" s="501"/>
      <c r="C79" s="512" t="s">
        <v>387</v>
      </c>
      <c r="D79" s="513"/>
      <c r="E79" s="504"/>
      <c r="F79" s="504"/>
      <c r="G79" s="504"/>
      <c r="H79" s="504"/>
      <c r="I79" s="504"/>
      <c r="J79" s="505"/>
      <c r="K79" s="213"/>
      <c r="L79" s="352"/>
      <c r="M79" s="352"/>
      <c r="N79" s="213"/>
      <c r="O79" s="213">
        <f>(228.23+1.756*(0.4*5+0.6*3))*0.4*1000</f>
        <v>93961.12</v>
      </c>
    </row>
    <row r="80" spans="1:15" s="348" customFormat="1" x14ac:dyDescent="0.2">
      <c r="A80" s="504"/>
      <c r="B80" s="501"/>
      <c r="C80" s="506" t="s">
        <v>119</v>
      </c>
      <c r="D80" s="507"/>
      <c r="E80" s="504"/>
      <c r="F80" s="504"/>
      <c r="G80" s="504"/>
      <c r="H80" s="504"/>
      <c r="I80" s="504"/>
      <c r="J80" s="505"/>
      <c r="K80" s="213"/>
      <c r="L80" s="352"/>
      <c r="M80" s="352"/>
      <c r="N80" s="213"/>
      <c r="O80" s="213"/>
    </row>
    <row r="81" spans="1:15" s="335" customFormat="1" ht="53.25" customHeight="1" x14ac:dyDescent="0.2">
      <c r="A81" s="333">
        <v>18</v>
      </c>
      <c r="B81" s="334" t="s">
        <v>350</v>
      </c>
      <c r="C81" s="508" t="s">
        <v>435</v>
      </c>
      <c r="D81" s="509"/>
      <c r="E81" s="333"/>
      <c r="F81" s="334"/>
      <c r="G81" s="353"/>
      <c r="H81" s="353"/>
      <c r="I81" s="336"/>
      <c r="J81" s="332">
        <f>(SUM(J10:J76)+L82)*4%</f>
        <v>115305</v>
      </c>
      <c r="K81" s="213"/>
      <c r="L81" s="213"/>
      <c r="M81" s="214"/>
      <c r="N81" s="213"/>
      <c r="O81" s="215">
        <f>(7+0.122*(0.4*750+0.6*730))*(0.796*1.2+0.204)*0.3*1000</f>
        <v>33745.24</v>
      </c>
    </row>
    <row r="82" spans="1:15" ht="17.25" customHeight="1" x14ac:dyDescent="0.2">
      <c r="A82" s="207"/>
      <c r="B82" s="349" t="s">
        <v>101</v>
      </c>
      <c r="C82" s="536"/>
      <c r="D82" s="537"/>
      <c r="E82" s="143"/>
      <c r="F82" s="538"/>
      <c r="G82" s="539"/>
      <c r="H82" s="539"/>
      <c r="I82" s="540"/>
      <c r="J82" s="144">
        <f>SUM(J10:J81)</f>
        <v>1346041</v>
      </c>
      <c r="L82" s="145">
        <f>SUM(J10:J76)/40*60</f>
        <v>1729580</v>
      </c>
      <c r="M82" s="212" t="s">
        <v>280</v>
      </c>
    </row>
    <row r="83" spans="1:15" ht="52.5" customHeight="1" x14ac:dyDescent="0.2">
      <c r="A83" s="208"/>
      <c r="B83" s="333" t="s">
        <v>488</v>
      </c>
      <c r="C83" s="506" t="s">
        <v>489</v>
      </c>
      <c r="D83" s="531"/>
      <c r="E83" s="143"/>
      <c r="F83" s="538"/>
      <c r="G83" s="539"/>
      <c r="H83" s="539"/>
      <c r="I83" s="540"/>
      <c r="J83" s="145">
        <f>J82*4.47</f>
        <v>6016803</v>
      </c>
      <c r="L83" s="145">
        <f>L82*4.47</f>
        <v>7731223</v>
      </c>
      <c r="M83" s="361" t="s">
        <v>280</v>
      </c>
    </row>
    <row r="85" spans="1:15" x14ac:dyDescent="0.2">
      <c r="B85" s="350"/>
      <c r="C85" s="216"/>
    </row>
    <row r="86" spans="1:15" x14ac:dyDescent="0.2">
      <c r="B86" s="350"/>
      <c r="C86" s="216"/>
    </row>
    <row r="88" spans="1:15" x14ac:dyDescent="0.2">
      <c r="B88" s="350"/>
    </row>
    <row r="90" spans="1:15" x14ac:dyDescent="0.2">
      <c r="B90" s="350"/>
    </row>
  </sheetData>
  <mergeCells count="178">
    <mergeCell ref="B77:B80"/>
    <mergeCell ref="C77:D77"/>
    <mergeCell ref="E77:E80"/>
    <mergeCell ref="F77:I80"/>
    <mergeCell ref="J77:J80"/>
    <mergeCell ref="C78:D78"/>
    <mergeCell ref="C80:D80"/>
    <mergeCell ref="A52:A55"/>
    <mergeCell ref="B52:B55"/>
    <mergeCell ref="E52:E55"/>
    <mergeCell ref="F52:I55"/>
    <mergeCell ref="J52:J55"/>
    <mergeCell ref="C55:D55"/>
    <mergeCell ref="J73:J76"/>
    <mergeCell ref="J68:J72"/>
    <mergeCell ref="F68:I72"/>
    <mergeCell ref="L64:O67"/>
    <mergeCell ref="F64:I67"/>
    <mergeCell ref="A64:A67"/>
    <mergeCell ref="B64:B67"/>
    <mergeCell ref="C67:D67"/>
    <mergeCell ref="A68:A72"/>
    <mergeCell ref="B68:B72"/>
    <mergeCell ref="E68:E72"/>
    <mergeCell ref="A73:A76"/>
    <mergeCell ref="C71:D71"/>
    <mergeCell ref="C72:D72"/>
    <mergeCell ref="C68:D68"/>
    <mergeCell ref="B73:B76"/>
    <mergeCell ref="C64:D64"/>
    <mergeCell ref="E64:E67"/>
    <mergeCell ref="C65:D65"/>
    <mergeCell ref="C66:D66"/>
    <mergeCell ref="J64:J67"/>
    <mergeCell ref="C61:D61"/>
    <mergeCell ref="C62:D62"/>
    <mergeCell ref="C63:D63"/>
    <mergeCell ref="E47:E51"/>
    <mergeCell ref="F47:I51"/>
    <mergeCell ref="J47:J51"/>
    <mergeCell ref="C48:D48"/>
    <mergeCell ref="C49:D49"/>
    <mergeCell ref="C50:D50"/>
    <mergeCell ref="C51:D51"/>
    <mergeCell ref="J60:J63"/>
    <mergeCell ref="C56:D56"/>
    <mergeCell ref="A14:A17"/>
    <mergeCell ref="A32:A35"/>
    <mergeCell ref="B32:B35"/>
    <mergeCell ref="C32:D32"/>
    <mergeCell ref="E32:E35"/>
    <mergeCell ref="F32:I35"/>
    <mergeCell ref="J32:J35"/>
    <mergeCell ref="C33:D33"/>
    <mergeCell ref="C34:D34"/>
    <mergeCell ref="C35:D35"/>
    <mergeCell ref="A20:A23"/>
    <mergeCell ref="B20:B23"/>
    <mergeCell ref="J20:J23"/>
    <mergeCell ref="C21:D21"/>
    <mergeCell ref="C22:D22"/>
    <mergeCell ref="C23:D23"/>
    <mergeCell ref="B14:B17"/>
    <mergeCell ref="F56:I59"/>
    <mergeCell ref="C60:D60"/>
    <mergeCell ref="J14:J17"/>
    <mergeCell ref="E36:E41"/>
    <mergeCell ref="C17:D17"/>
    <mergeCell ref="C15:D15"/>
    <mergeCell ref="C36:D36"/>
    <mergeCell ref="C45:D45"/>
    <mergeCell ref="C46:D46"/>
    <mergeCell ref="C57:D57"/>
    <mergeCell ref="E56:E59"/>
    <mergeCell ref="C58:D58"/>
    <mergeCell ref="C37:D37"/>
    <mergeCell ref="C38:D38"/>
    <mergeCell ref="C39:D39"/>
    <mergeCell ref="C59:D59"/>
    <mergeCell ref="A10:A13"/>
    <mergeCell ref="B10:B13"/>
    <mergeCell ref="C10:D10"/>
    <mergeCell ref="E10:E13"/>
    <mergeCell ref="F10:I13"/>
    <mergeCell ref="C11:D11"/>
    <mergeCell ref="C12:D12"/>
    <mergeCell ref="C13:D13"/>
    <mergeCell ref="A1:E1"/>
    <mergeCell ref="H1:J1"/>
    <mergeCell ref="A2:J2"/>
    <mergeCell ref="A3:J3"/>
    <mergeCell ref="A4:B4"/>
    <mergeCell ref="C4:J4"/>
    <mergeCell ref="A5:B5"/>
    <mergeCell ref="C5:J5"/>
    <mergeCell ref="A6:B6"/>
    <mergeCell ref="C6:J6"/>
    <mergeCell ref="A7:B7"/>
    <mergeCell ref="C7:J7"/>
    <mergeCell ref="A8:B8"/>
    <mergeCell ref="C8:J8"/>
    <mergeCell ref="C9:D9"/>
    <mergeCell ref="J10:J13"/>
    <mergeCell ref="F9:I9"/>
    <mergeCell ref="F14:I17"/>
    <mergeCell ref="C16:D16"/>
    <mergeCell ref="F36:I41"/>
    <mergeCell ref="C14:D14"/>
    <mergeCell ref="E14:E17"/>
    <mergeCell ref="F20:I23"/>
    <mergeCell ref="C20:D20"/>
    <mergeCell ref="E20:E23"/>
    <mergeCell ref="C83:D83"/>
    <mergeCell ref="C82:D82"/>
    <mergeCell ref="F83:I83"/>
    <mergeCell ref="F82:I82"/>
    <mergeCell ref="C69:D69"/>
    <mergeCell ref="C70:D70"/>
    <mergeCell ref="A42:A46"/>
    <mergeCell ref="B42:B46"/>
    <mergeCell ref="C42:D42"/>
    <mergeCell ref="E42:E46"/>
    <mergeCell ref="F42:I46"/>
    <mergeCell ref="C43:D43"/>
    <mergeCell ref="C44:D44"/>
    <mergeCell ref="A56:A59"/>
    <mergeCell ref="B56:B59"/>
    <mergeCell ref="A60:A63"/>
    <mergeCell ref="B60:B63"/>
    <mergeCell ref="E60:E63"/>
    <mergeCell ref="F60:I63"/>
    <mergeCell ref="C52:D52"/>
    <mergeCell ref="C53:D53"/>
    <mergeCell ref="C54:D54"/>
    <mergeCell ref="E73:E76"/>
    <mergeCell ref="A77:A80"/>
    <mergeCell ref="A47:A51"/>
    <mergeCell ref="B47:B51"/>
    <mergeCell ref="C47:D47"/>
    <mergeCell ref="F18:I19"/>
    <mergeCell ref="J18:J19"/>
    <mergeCell ref="C19:D19"/>
    <mergeCell ref="C81:D81"/>
    <mergeCell ref="J36:J41"/>
    <mergeCell ref="C40:D40"/>
    <mergeCell ref="C41:D41"/>
    <mergeCell ref="A18:A19"/>
    <mergeCell ref="B18:B19"/>
    <mergeCell ref="C18:D18"/>
    <mergeCell ref="E18:E19"/>
    <mergeCell ref="C79:D79"/>
    <mergeCell ref="J42:J46"/>
    <mergeCell ref="J56:J59"/>
    <mergeCell ref="F73:I76"/>
    <mergeCell ref="C73:D73"/>
    <mergeCell ref="C74:D74"/>
    <mergeCell ref="C75:D75"/>
    <mergeCell ref="C76:D76"/>
    <mergeCell ref="A36:A41"/>
    <mergeCell ref="B36:B41"/>
    <mergeCell ref="A24:A27"/>
    <mergeCell ref="B24:B27"/>
    <mergeCell ref="C24:D24"/>
    <mergeCell ref="E24:E27"/>
    <mergeCell ref="F24:I27"/>
    <mergeCell ref="J24:J27"/>
    <mergeCell ref="C25:D25"/>
    <mergeCell ref="C26:D26"/>
    <mergeCell ref="C27:D27"/>
    <mergeCell ref="A28:A31"/>
    <mergeCell ref="B28:B31"/>
    <mergeCell ref="C28:D28"/>
    <mergeCell ref="E28:E31"/>
    <mergeCell ref="F28:I31"/>
    <mergeCell ref="J28:J31"/>
    <mergeCell ref="C29:D29"/>
    <mergeCell ref="C30:D30"/>
    <mergeCell ref="C31:D31"/>
  </mergeCells>
  <pageMargins left="0.3611111111111111" right="0.3611111111111111" top="0.3611111111111111" bottom="0.3611111111111111" header="0.3" footer="0.3"/>
  <pageSetup paperSize="9" scale="70" fitToHeight="32767" orientation="portrait" r:id="rId1"/>
  <rowBreaks count="2" manualBreakCount="2">
    <brk id="31" max="9" man="1"/>
    <brk id="63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view="pageBreakPreview" topLeftCell="A7" zoomScale="60" zoomScaleNormal="100" workbookViewId="0">
      <selection activeCell="H21" sqref="H21"/>
    </sheetView>
  </sheetViews>
  <sheetFormatPr defaultColWidth="9.140625" defaultRowHeight="15" x14ac:dyDescent="0.25"/>
  <cols>
    <col min="1" max="1" width="5.28515625" style="90" customWidth="1"/>
    <col min="2" max="2" width="21.85546875" style="89" customWidth="1"/>
    <col min="3" max="3" width="26.140625" style="89" customWidth="1"/>
    <col min="4" max="4" width="14.85546875" style="89" customWidth="1"/>
    <col min="5" max="5" width="8.7109375" style="89" customWidth="1"/>
    <col min="6" max="6" width="11.7109375" style="89" customWidth="1"/>
    <col min="7" max="7" width="23.7109375" style="89" customWidth="1"/>
    <col min="8" max="8" width="17.5703125" style="91" customWidth="1"/>
    <col min="9" max="16384" width="9.140625" style="89"/>
  </cols>
  <sheetData>
    <row r="1" spans="1:8" ht="15.75" x14ac:dyDescent="0.25">
      <c r="A1" s="295"/>
      <c r="B1" s="296"/>
      <c r="C1" s="297"/>
      <c r="D1" s="297"/>
      <c r="E1" s="297"/>
      <c r="F1" s="296"/>
      <c r="G1" s="296"/>
      <c r="H1" s="298"/>
    </row>
    <row r="2" spans="1:8" ht="15.75" x14ac:dyDescent="0.25">
      <c r="A2" s="601" t="s">
        <v>117</v>
      </c>
      <c r="B2" s="602"/>
      <c r="C2" s="602"/>
      <c r="D2" s="602"/>
      <c r="E2" s="602"/>
      <c r="F2" s="602"/>
      <c r="G2" s="602"/>
      <c r="H2" s="602"/>
    </row>
    <row r="3" spans="1:8" ht="15.75" x14ac:dyDescent="0.25">
      <c r="A3" s="603"/>
      <c r="B3" s="602"/>
      <c r="C3" s="602"/>
      <c r="D3" s="602"/>
      <c r="E3" s="602"/>
      <c r="F3" s="602"/>
      <c r="G3" s="602"/>
      <c r="H3" s="602"/>
    </row>
    <row r="4" spans="1:8" ht="55.9" customHeight="1" x14ac:dyDescent="0.25">
      <c r="A4" s="604" t="s">
        <v>79</v>
      </c>
      <c r="B4" s="602"/>
      <c r="C4" s="605" t="str">
        <f>'ПД '!C4:J4</f>
        <v>Всесезонный туристско-рекреационный комплекс «Эльбрус», Кабардино-Балкарская Республика. 
Благоустройство центральной части Поляны Азау 1 этап</v>
      </c>
      <c r="D4" s="605"/>
      <c r="E4" s="605"/>
      <c r="F4" s="606"/>
      <c r="G4" s="606"/>
      <c r="H4" s="606"/>
    </row>
    <row r="5" spans="1:8" ht="17.25" customHeight="1" x14ac:dyDescent="0.25">
      <c r="A5" s="604" t="s">
        <v>80</v>
      </c>
      <c r="B5" s="602"/>
      <c r="C5" s="607"/>
      <c r="D5" s="607"/>
      <c r="E5" s="607"/>
      <c r="F5" s="602"/>
      <c r="G5" s="602"/>
      <c r="H5" s="602"/>
    </row>
    <row r="6" spans="1:8" ht="30" customHeight="1" x14ac:dyDescent="0.25">
      <c r="A6" s="608" t="s">
        <v>82</v>
      </c>
      <c r="B6" s="602"/>
      <c r="C6" s="607" t="s">
        <v>88</v>
      </c>
      <c r="D6" s="607"/>
      <c r="E6" s="607"/>
      <c r="F6" s="602"/>
      <c r="G6" s="602"/>
      <c r="H6" s="602"/>
    </row>
    <row r="7" spans="1:8" ht="15.75" x14ac:dyDescent="0.25">
      <c r="A7" s="604" t="s">
        <v>83</v>
      </c>
      <c r="B7" s="602"/>
      <c r="C7" s="609"/>
      <c r="D7" s="609"/>
      <c r="E7" s="609"/>
      <c r="F7" s="602"/>
      <c r="G7" s="602"/>
      <c r="H7" s="602"/>
    </row>
    <row r="8" spans="1:8" ht="15.75" x14ac:dyDescent="0.25">
      <c r="A8" s="604" t="s">
        <v>84</v>
      </c>
      <c r="B8" s="602"/>
      <c r="C8" s="609" t="s">
        <v>48</v>
      </c>
      <c r="D8" s="609"/>
      <c r="E8" s="609"/>
      <c r="F8" s="602"/>
      <c r="G8" s="602"/>
      <c r="H8" s="602"/>
    </row>
    <row r="9" spans="1:8" ht="15.75" x14ac:dyDescent="0.25">
      <c r="A9" s="295"/>
      <c r="B9" s="296"/>
      <c r="C9" s="297"/>
      <c r="D9" s="297"/>
      <c r="E9" s="297"/>
      <c r="F9" s="296"/>
      <c r="G9" s="296"/>
      <c r="H9" s="298"/>
    </row>
    <row r="10" spans="1:8" ht="109.5" customHeight="1" x14ac:dyDescent="0.25">
      <c r="A10" s="299" t="s">
        <v>2</v>
      </c>
      <c r="B10" s="299" t="s">
        <v>35</v>
      </c>
      <c r="C10" s="613" t="s">
        <v>85</v>
      </c>
      <c r="D10" s="614"/>
      <c r="E10" s="614"/>
      <c r="F10" s="299" t="s">
        <v>36</v>
      </c>
      <c r="G10" s="299" t="s">
        <v>86</v>
      </c>
      <c r="H10" s="300" t="s">
        <v>87</v>
      </c>
    </row>
    <row r="11" spans="1:8" ht="15" customHeight="1" x14ac:dyDescent="0.25">
      <c r="A11" s="615">
        <v>1</v>
      </c>
      <c r="B11" s="617" t="s">
        <v>10</v>
      </c>
      <c r="C11" s="619"/>
      <c r="D11" s="620"/>
      <c r="E11" s="621"/>
      <c r="F11" s="301"/>
      <c r="G11" s="622"/>
      <c r="H11" s="610"/>
    </row>
    <row r="12" spans="1:8" ht="31.5" x14ac:dyDescent="0.25">
      <c r="A12" s="616"/>
      <c r="B12" s="618"/>
      <c r="C12" s="302" t="s">
        <v>496</v>
      </c>
      <c r="D12" s="303">
        <f>'Cводная смета ПИР'!G18</f>
        <v>6270876</v>
      </c>
      <c r="E12" s="304" t="s">
        <v>90</v>
      </c>
      <c r="F12" s="305"/>
      <c r="G12" s="623"/>
      <c r="H12" s="611"/>
    </row>
    <row r="13" spans="1:8" ht="15.75" x14ac:dyDescent="0.25">
      <c r="A13" s="616"/>
      <c r="B13" s="618"/>
      <c r="C13" s="302" t="s">
        <v>497</v>
      </c>
      <c r="D13" s="306">
        <v>4.55</v>
      </c>
      <c r="E13" s="307"/>
      <c r="F13" s="305"/>
      <c r="G13" s="623"/>
      <c r="H13" s="611"/>
    </row>
    <row r="14" spans="1:8" ht="47.25" x14ac:dyDescent="0.25">
      <c r="A14" s="616"/>
      <c r="B14" s="618"/>
      <c r="C14" s="302" t="s">
        <v>222</v>
      </c>
      <c r="D14" s="303">
        <f>D12/D13</f>
        <v>1378215</v>
      </c>
      <c r="E14" s="304" t="s">
        <v>90</v>
      </c>
      <c r="F14" s="305"/>
      <c r="G14" s="623"/>
      <c r="H14" s="611"/>
    </row>
    <row r="15" spans="1:8" ht="15" customHeight="1" x14ac:dyDescent="0.25">
      <c r="A15" s="615">
        <v>2</v>
      </c>
      <c r="B15" s="617" t="s">
        <v>81</v>
      </c>
      <c r="C15" s="619"/>
      <c r="D15" s="620"/>
      <c r="E15" s="621"/>
      <c r="F15" s="301"/>
      <c r="G15" s="623"/>
      <c r="H15" s="611"/>
    </row>
    <row r="16" spans="1:8" ht="32.450000000000003" customHeight="1" x14ac:dyDescent="0.25">
      <c r="A16" s="616"/>
      <c r="B16" s="618"/>
      <c r="C16" s="302" t="s">
        <v>498</v>
      </c>
      <c r="D16" s="303">
        <f>'Cводная смета ПИР'!G21</f>
        <v>6016803</v>
      </c>
      <c r="E16" s="304" t="s">
        <v>90</v>
      </c>
      <c r="F16" s="305"/>
      <c r="G16" s="623"/>
      <c r="H16" s="611"/>
    </row>
    <row r="17" spans="1:15" ht="25.9" customHeight="1" x14ac:dyDescent="0.25">
      <c r="A17" s="616"/>
      <c r="B17" s="618"/>
      <c r="C17" s="302" t="s">
        <v>497</v>
      </c>
      <c r="D17" s="308">
        <v>4.47</v>
      </c>
      <c r="E17" s="307"/>
      <c r="F17" s="305"/>
      <c r="G17" s="623"/>
      <c r="H17" s="611"/>
    </row>
    <row r="18" spans="1:15" ht="47.25" x14ac:dyDescent="0.25">
      <c r="A18" s="616"/>
      <c r="B18" s="618"/>
      <c r="C18" s="302" t="s">
        <v>223</v>
      </c>
      <c r="D18" s="303">
        <f>D16/D17</f>
        <v>1346041</v>
      </c>
      <c r="E18" s="304" t="s">
        <v>90</v>
      </c>
      <c r="F18" s="305"/>
      <c r="G18" s="624"/>
      <c r="H18" s="612"/>
      <c r="O18" s="89" t="s">
        <v>96</v>
      </c>
    </row>
    <row r="19" spans="1:15" ht="39.75" customHeight="1" x14ac:dyDescent="0.25">
      <c r="A19" s="309"/>
      <c r="B19" s="310"/>
      <c r="C19" s="311" t="s">
        <v>98</v>
      </c>
      <c r="D19" s="312">
        <f>D14+D18</f>
        <v>2724256</v>
      </c>
      <c r="E19" s="313" t="s">
        <v>90</v>
      </c>
      <c r="F19" s="314"/>
      <c r="G19" s="315" t="s">
        <v>499</v>
      </c>
      <c r="H19" s="316"/>
    </row>
    <row r="20" spans="1:15" ht="72" customHeight="1" x14ac:dyDescent="0.25">
      <c r="A20" s="317"/>
      <c r="B20" s="318" t="s">
        <v>89</v>
      </c>
      <c r="C20" s="319" t="s">
        <v>91</v>
      </c>
      <c r="D20" s="320">
        <v>0.1188</v>
      </c>
      <c r="E20" s="321"/>
      <c r="F20" s="322"/>
      <c r="G20" s="323"/>
      <c r="H20" s="324">
        <f>D19*D20</f>
        <v>323642</v>
      </c>
    </row>
    <row r="21" spans="1:15" ht="36.75" customHeight="1" x14ac:dyDescent="0.25">
      <c r="A21" s="317"/>
      <c r="B21" s="325"/>
      <c r="C21" s="326" t="s">
        <v>348</v>
      </c>
      <c r="D21" s="327">
        <v>5.44</v>
      </c>
      <c r="E21" s="328"/>
      <c r="F21" s="329"/>
      <c r="G21" s="255"/>
      <c r="H21" s="330">
        <f>H20*D21</f>
        <v>1760612</v>
      </c>
    </row>
    <row r="22" spans="1:15" x14ac:dyDescent="0.25">
      <c r="A22" s="108"/>
      <c r="B22" s="109"/>
      <c r="C22" s="109"/>
      <c r="D22" s="109"/>
      <c r="E22" s="109"/>
      <c r="F22" s="109"/>
      <c r="G22" s="109"/>
      <c r="H22" s="110"/>
    </row>
    <row r="23" spans="1:15" x14ac:dyDescent="0.25">
      <c r="A23" s="108"/>
      <c r="B23" s="109"/>
      <c r="C23" s="109"/>
      <c r="D23" s="146"/>
      <c r="E23" s="109"/>
      <c r="F23" s="109"/>
      <c r="G23" s="109"/>
      <c r="H23" s="110"/>
    </row>
    <row r="24" spans="1:15" x14ac:dyDescent="0.25">
      <c r="A24" s="108"/>
      <c r="B24" s="109"/>
      <c r="C24" s="109"/>
      <c r="D24" s="109"/>
      <c r="E24" s="109"/>
      <c r="F24" s="109"/>
      <c r="G24" s="109"/>
      <c r="H24" s="110"/>
    </row>
    <row r="25" spans="1:15" x14ac:dyDescent="0.25">
      <c r="A25" s="108"/>
      <c r="B25" s="109"/>
      <c r="C25" s="109"/>
      <c r="D25" s="109"/>
      <c r="E25" s="109"/>
      <c r="F25" s="109"/>
      <c r="G25" s="109"/>
      <c r="H25" s="110"/>
    </row>
    <row r="26" spans="1:15" x14ac:dyDescent="0.25">
      <c r="A26" s="108"/>
      <c r="B26" s="109"/>
      <c r="C26" s="109"/>
      <c r="D26" s="109"/>
      <c r="E26" s="109"/>
      <c r="F26" s="109"/>
      <c r="G26" s="109"/>
      <c r="H26" s="110"/>
    </row>
    <row r="27" spans="1:15" x14ac:dyDescent="0.25">
      <c r="A27" s="108"/>
      <c r="B27" s="109"/>
      <c r="C27" s="109"/>
      <c r="D27" s="109"/>
      <c r="E27" s="109"/>
      <c r="F27" s="109"/>
      <c r="G27" s="109"/>
      <c r="H27" s="110"/>
    </row>
    <row r="28" spans="1:15" x14ac:dyDescent="0.25">
      <c r="A28" s="108"/>
      <c r="B28" s="109"/>
      <c r="C28" s="109"/>
      <c r="D28" s="109"/>
      <c r="E28" s="109"/>
      <c r="F28" s="109"/>
      <c r="G28" s="109"/>
      <c r="H28" s="110"/>
    </row>
    <row r="29" spans="1:15" x14ac:dyDescent="0.25">
      <c r="A29" s="108"/>
      <c r="B29" s="109"/>
      <c r="C29" s="109"/>
      <c r="D29" s="109"/>
      <c r="E29" s="109"/>
      <c r="F29" s="109"/>
      <c r="G29" s="109"/>
      <c r="H29" s="110"/>
    </row>
    <row r="30" spans="1:15" x14ac:dyDescent="0.25">
      <c r="A30" s="108"/>
      <c r="B30" s="109"/>
      <c r="C30" s="109"/>
      <c r="D30" s="109"/>
      <c r="E30" s="109"/>
      <c r="F30" s="109"/>
      <c r="G30" s="109"/>
      <c r="H30" s="110"/>
    </row>
    <row r="31" spans="1:15" x14ac:dyDescent="0.25">
      <c r="A31" s="108"/>
      <c r="B31" s="109"/>
      <c r="C31" s="109"/>
      <c r="D31" s="109"/>
      <c r="E31" s="109"/>
      <c r="F31" s="109"/>
      <c r="G31" s="109"/>
      <c r="H31" s="110"/>
    </row>
    <row r="32" spans="1:15" x14ac:dyDescent="0.25">
      <c r="A32" s="108"/>
      <c r="B32" s="109"/>
      <c r="C32" s="109"/>
      <c r="D32" s="109"/>
      <c r="E32" s="109"/>
      <c r="F32" s="109"/>
      <c r="G32" s="109"/>
      <c r="H32" s="110"/>
    </row>
    <row r="33" spans="1:8" x14ac:dyDescent="0.25">
      <c r="A33" s="108"/>
      <c r="B33" s="109"/>
      <c r="C33" s="109"/>
      <c r="D33" s="109"/>
      <c r="E33" s="109"/>
      <c r="F33" s="109"/>
      <c r="G33" s="109"/>
      <c r="H33" s="110"/>
    </row>
    <row r="34" spans="1:8" x14ac:dyDescent="0.25">
      <c r="A34" s="108"/>
      <c r="B34" s="109"/>
      <c r="C34" s="109"/>
      <c r="D34" s="109"/>
      <c r="E34" s="109"/>
      <c r="F34" s="109"/>
      <c r="G34" s="109"/>
      <c r="H34" s="110"/>
    </row>
    <row r="35" spans="1:8" x14ac:dyDescent="0.25">
      <c r="A35" s="108"/>
      <c r="B35" s="109"/>
      <c r="C35" s="109"/>
      <c r="D35" s="109"/>
      <c r="E35" s="109"/>
      <c r="F35" s="109"/>
      <c r="G35" s="109"/>
      <c r="H35" s="110"/>
    </row>
    <row r="36" spans="1:8" x14ac:dyDescent="0.25">
      <c r="A36" s="108"/>
      <c r="B36" s="109"/>
      <c r="C36" s="109"/>
      <c r="D36" s="109"/>
      <c r="E36" s="109"/>
      <c r="F36" s="109"/>
      <c r="G36" s="109"/>
      <c r="H36" s="110"/>
    </row>
    <row r="37" spans="1:8" x14ac:dyDescent="0.25">
      <c r="A37" s="108"/>
      <c r="B37" s="109"/>
      <c r="C37" s="109"/>
      <c r="D37" s="109"/>
      <c r="E37" s="109"/>
      <c r="F37" s="109"/>
      <c r="G37" s="109"/>
      <c r="H37" s="110"/>
    </row>
    <row r="38" spans="1:8" x14ac:dyDescent="0.25">
      <c r="A38" s="108"/>
      <c r="B38" s="109"/>
      <c r="C38" s="109"/>
      <c r="D38" s="109"/>
      <c r="E38" s="109"/>
      <c r="F38" s="109"/>
      <c r="G38" s="109"/>
      <c r="H38" s="110"/>
    </row>
    <row r="39" spans="1:8" x14ac:dyDescent="0.25">
      <c r="A39" s="108"/>
      <c r="B39" s="109"/>
      <c r="C39" s="109"/>
      <c r="D39" s="109"/>
      <c r="E39" s="109"/>
      <c r="F39" s="109"/>
      <c r="G39" s="109"/>
      <c r="H39" s="110"/>
    </row>
    <row r="40" spans="1:8" x14ac:dyDescent="0.25">
      <c r="A40" s="108"/>
      <c r="B40" s="109"/>
      <c r="C40" s="109"/>
      <c r="D40" s="109"/>
      <c r="E40" s="109"/>
      <c r="F40" s="109"/>
      <c r="G40" s="109"/>
      <c r="H40" s="110"/>
    </row>
    <row r="41" spans="1:8" x14ac:dyDescent="0.25">
      <c r="A41" s="108"/>
      <c r="B41" s="109"/>
      <c r="C41" s="109"/>
      <c r="D41" s="109"/>
      <c r="E41" s="109"/>
      <c r="F41" s="109"/>
      <c r="G41" s="109"/>
      <c r="H41" s="110"/>
    </row>
    <row r="42" spans="1:8" x14ac:dyDescent="0.25">
      <c r="A42" s="108"/>
      <c r="B42" s="109"/>
      <c r="C42" s="109"/>
      <c r="D42" s="109"/>
      <c r="E42" s="109"/>
      <c r="F42" s="109"/>
      <c r="G42" s="109"/>
      <c r="H42" s="110"/>
    </row>
    <row r="43" spans="1:8" x14ac:dyDescent="0.25">
      <c r="A43" s="108"/>
      <c r="B43" s="109"/>
      <c r="C43" s="109"/>
      <c r="D43" s="109"/>
      <c r="E43" s="109"/>
      <c r="F43" s="109"/>
      <c r="G43" s="109"/>
      <c r="H43" s="110"/>
    </row>
    <row r="44" spans="1:8" x14ac:dyDescent="0.25">
      <c r="A44" s="108"/>
      <c r="B44" s="109"/>
      <c r="C44" s="109"/>
      <c r="D44" s="109"/>
      <c r="E44" s="109"/>
      <c r="F44" s="109"/>
      <c r="G44" s="109"/>
      <c r="H44" s="110"/>
    </row>
    <row r="45" spans="1:8" x14ac:dyDescent="0.25">
      <c r="A45" s="108"/>
      <c r="B45" s="109"/>
      <c r="C45" s="109"/>
      <c r="D45" s="109"/>
      <c r="E45" s="109"/>
      <c r="F45" s="109"/>
      <c r="G45" s="109"/>
      <c r="H45" s="110"/>
    </row>
    <row r="46" spans="1:8" x14ac:dyDescent="0.25">
      <c r="A46" s="108"/>
      <c r="B46" s="109"/>
      <c r="C46" s="109"/>
      <c r="D46" s="109"/>
      <c r="E46" s="109"/>
      <c r="F46" s="109"/>
      <c r="G46" s="109"/>
      <c r="H46" s="110"/>
    </row>
    <row r="47" spans="1:8" x14ac:dyDescent="0.25">
      <c r="A47" s="108"/>
      <c r="B47" s="109"/>
      <c r="C47" s="109"/>
      <c r="D47" s="109"/>
      <c r="E47" s="109"/>
      <c r="F47" s="109"/>
      <c r="G47" s="109"/>
      <c r="H47" s="110"/>
    </row>
    <row r="48" spans="1:8" x14ac:dyDescent="0.25">
      <c r="A48" s="108"/>
      <c r="B48" s="109"/>
      <c r="C48" s="109"/>
      <c r="D48" s="109"/>
      <c r="E48" s="109"/>
      <c r="F48" s="109"/>
      <c r="G48" s="109"/>
      <c r="H48" s="110"/>
    </row>
    <row r="49" spans="1:8" x14ac:dyDescent="0.25">
      <c r="A49" s="108"/>
      <c r="B49" s="109"/>
      <c r="C49" s="109"/>
      <c r="D49" s="109"/>
      <c r="E49" s="109"/>
      <c r="F49" s="109"/>
      <c r="G49" s="109"/>
      <c r="H49" s="110"/>
    </row>
    <row r="50" spans="1:8" x14ac:dyDescent="0.25">
      <c r="A50" s="108"/>
      <c r="B50" s="109"/>
      <c r="C50" s="109"/>
      <c r="D50" s="109"/>
      <c r="E50" s="109"/>
      <c r="F50" s="109"/>
      <c r="G50" s="109"/>
      <c r="H50" s="110"/>
    </row>
    <row r="51" spans="1:8" x14ac:dyDescent="0.25">
      <c r="A51" s="108"/>
      <c r="B51" s="109"/>
      <c r="C51" s="109"/>
      <c r="D51" s="109"/>
      <c r="E51" s="109"/>
      <c r="F51" s="109"/>
      <c r="G51" s="109"/>
      <c r="H51" s="110"/>
    </row>
    <row r="52" spans="1:8" x14ac:dyDescent="0.25">
      <c r="A52" s="108"/>
      <c r="B52" s="109"/>
      <c r="C52" s="109"/>
      <c r="D52" s="109"/>
      <c r="E52" s="109"/>
      <c r="F52" s="109"/>
      <c r="G52" s="109"/>
      <c r="H52" s="110"/>
    </row>
    <row r="53" spans="1:8" x14ac:dyDescent="0.25">
      <c r="A53" s="108"/>
      <c r="B53" s="109"/>
      <c r="C53" s="109"/>
      <c r="D53" s="109"/>
      <c r="E53" s="109"/>
      <c r="F53" s="109"/>
      <c r="G53" s="109"/>
      <c r="H53" s="110"/>
    </row>
    <row r="54" spans="1:8" x14ac:dyDescent="0.25">
      <c r="A54" s="108"/>
      <c r="B54" s="109"/>
      <c r="C54" s="109"/>
      <c r="D54" s="109"/>
      <c r="E54" s="109"/>
      <c r="F54" s="109"/>
      <c r="G54" s="109"/>
      <c r="H54" s="110"/>
    </row>
    <row r="55" spans="1:8" x14ac:dyDescent="0.25">
      <c r="A55" s="108"/>
      <c r="B55" s="109"/>
      <c r="C55" s="109"/>
      <c r="D55" s="109"/>
      <c r="E55" s="109"/>
      <c r="F55" s="109"/>
      <c r="G55" s="109"/>
      <c r="H55" s="110"/>
    </row>
    <row r="56" spans="1:8" x14ac:dyDescent="0.25">
      <c r="A56" s="108"/>
      <c r="B56" s="109"/>
      <c r="C56" s="109"/>
      <c r="D56" s="109"/>
      <c r="E56" s="109"/>
      <c r="F56" s="109"/>
      <c r="G56" s="109"/>
      <c r="H56" s="110"/>
    </row>
    <row r="57" spans="1:8" x14ac:dyDescent="0.25">
      <c r="A57" s="108"/>
      <c r="B57" s="109"/>
      <c r="C57" s="109"/>
      <c r="D57" s="109"/>
      <c r="E57" s="109"/>
      <c r="F57" s="109"/>
      <c r="G57" s="109"/>
      <c r="H57" s="110"/>
    </row>
    <row r="58" spans="1:8" x14ac:dyDescent="0.25">
      <c r="A58" s="108"/>
      <c r="B58" s="109"/>
      <c r="C58" s="109"/>
      <c r="D58" s="109"/>
      <c r="E58" s="109"/>
      <c r="F58" s="109"/>
      <c r="G58" s="109"/>
      <c r="H58" s="110"/>
    </row>
    <row r="59" spans="1:8" x14ac:dyDescent="0.25">
      <c r="A59" s="108"/>
      <c r="B59" s="109"/>
      <c r="C59" s="109"/>
      <c r="D59" s="109"/>
      <c r="E59" s="109"/>
      <c r="F59" s="109"/>
      <c r="G59" s="109"/>
      <c r="H59" s="110"/>
    </row>
    <row r="60" spans="1:8" x14ac:dyDescent="0.25">
      <c r="A60" s="108"/>
      <c r="B60" s="109"/>
      <c r="C60" s="109"/>
      <c r="D60" s="109"/>
      <c r="E60" s="109"/>
      <c r="F60" s="109"/>
      <c r="G60" s="109"/>
      <c r="H60" s="110"/>
    </row>
    <row r="61" spans="1:8" x14ac:dyDescent="0.25">
      <c r="A61" s="108"/>
      <c r="B61" s="109"/>
      <c r="C61" s="109"/>
      <c r="D61" s="109"/>
      <c r="E61" s="109"/>
      <c r="F61" s="109"/>
      <c r="G61" s="109"/>
      <c r="H61" s="110"/>
    </row>
    <row r="62" spans="1:8" x14ac:dyDescent="0.25">
      <c r="A62" s="108"/>
      <c r="B62" s="109"/>
      <c r="C62" s="109"/>
      <c r="D62" s="109"/>
      <c r="E62" s="109"/>
      <c r="F62" s="109"/>
      <c r="G62" s="109"/>
      <c r="H62" s="110"/>
    </row>
    <row r="63" spans="1:8" x14ac:dyDescent="0.25">
      <c r="A63" s="108"/>
      <c r="B63" s="109"/>
      <c r="C63" s="109"/>
      <c r="D63" s="109"/>
      <c r="E63" s="109"/>
      <c r="F63" s="109"/>
      <c r="G63" s="109"/>
      <c r="H63" s="110"/>
    </row>
    <row r="64" spans="1:8" x14ac:dyDescent="0.25">
      <c r="A64" s="108"/>
      <c r="B64" s="109"/>
      <c r="C64" s="109"/>
      <c r="D64" s="109"/>
      <c r="E64" s="109"/>
      <c r="F64" s="109"/>
      <c r="G64" s="109"/>
      <c r="H64" s="110"/>
    </row>
    <row r="65" spans="1:8" x14ac:dyDescent="0.25">
      <c r="A65" s="108"/>
      <c r="B65" s="109"/>
      <c r="C65" s="109"/>
      <c r="D65" s="109"/>
      <c r="E65" s="109"/>
      <c r="F65" s="109"/>
      <c r="G65" s="109"/>
      <c r="H65" s="110"/>
    </row>
    <row r="66" spans="1:8" x14ac:dyDescent="0.25">
      <c r="A66" s="108"/>
      <c r="B66" s="109"/>
      <c r="C66" s="109"/>
      <c r="D66" s="109"/>
      <c r="E66" s="109"/>
      <c r="F66" s="109"/>
      <c r="G66" s="109"/>
      <c r="H66" s="110"/>
    </row>
    <row r="67" spans="1:8" x14ac:dyDescent="0.25">
      <c r="A67" s="108"/>
      <c r="B67" s="109"/>
      <c r="C67" s="109"/>
      <c r="D67" s="109"/>
      <c r="E67" s="109"/>
      <c r="F67" s="109"/>
      <c r="G67" s="109"/>
      <c r="H67" s="110"/>
    </row>
    <row r="68" spans="1:8" x14ac:dyDescent="0.25">
      <c r="A68" s="108"/>
      <c r="B68" s="109"/>
      <c r="C68" s="109"/>
      <c r="D68" s="109"/>
      <c r="E68" s="109"/>
      <c r="F68" s="109"/>
      <c r="G68" s="109"/>
      <c r="H68" s="110"/>
    </row>
    <row r="69" spans="1:8" x14ac:dyDescent="0.25">
      <c r="A69" s="108"/>
      <c r="B69" s="109"/>
      <c r="C69" s="109"/>
      <c r="D69" s="109"/>
      <c r="E69" s="109"/>
      <c r="F69" s="109"/>
      <c r="G69" s="109"/>
      <c r="H69" s="110"/>
    </row>
    <row r="70" spans="1:8" x14ac:dyDescent="0.25">
      <c r="A70" s="108"/>
      <c r="B70" s="109"/>
      <c r="C70" s="109"/>
      <c r="D70" s="109"/>
      <c r="E70" s="109"/>
      <c r="F70" s="109"/>
      <c r="G70" s="109"/>
      <c r="H70" s="110"/>
    </row>
    <row r="71" spans="1:8" x14ac:dyDescent="0.25">
      <c r="A71" s="108"/>
      <c r="B71" s="109"/>
      <c r="C71" s="109"/>
      <c r="D71" s="109"/>
      <c r="E71" s="109"/>
      <c r="F71" s="109"/>
      <c r="G71" s="109"/>
      <c r="H71" s="110"/>
    </row>
    <row r="72" spans="1:8" x14ac:dyDescent="0.25">
      <c r="A72" s="108"/>
      <c r="B72" s="109"/>
      <c r="C72" s="109"/>
      <c r="D72" s="109"/>
      <c r="E72" s="109"/>
      <c r="F72" s="109"/>
      <c r="G72" s="109"/>
      <c r="H72" s="110"/>
    </row>
    <row r="73" spans="1:8" x14ac:dyDescent="0.25">
      <c r="A73" s="108"/>
      <c r="B73" s="109"/>
      <c r="C73" s="109"/>
      <c r="D73" s="109"/>
      <c r="E73" s="109"/>
      <c r="F73" s="109"/>
      <c r="G73" s="109"/>
      <c r="H73" s="110"/>
    </row>
    <row r="74" spans="1:8" x14ac:dyDescent="0.25">
      <c r="A74" s="108"/>
      <c r="B74" s="109"/>
      <c r="C74" s="109"/>
      <c r="D74" s="109"/>
      <c r="E74" s="109"/>
      <c r="F74" s="109"/>
      <c r="G74" s="109"/>
      <c r="H74" s="110"/>
    </row>
    <row r="75" spans="1:8" x14ac:dyDescent="0.25">
      <c r="A75" s="108"/>
      <c r="B75" s="109"/>
      <c r="C75" s="109"/>
      <c r="D75" s="109"/>
      <c r="E75" s="109"/>
      <c r="F75" s="109"/>
      <c r="G75" s="109"/>
      <c r="H75" s="110"/>
    </row>
    <row r="76" spans="1:8" x14ac:dyDescent="0.25">
      <c r="A76" s="108"/>
      <c r="B76" s="109"/>
      <c r="C76" s="109"/>
      <c r="D76" s="109"/>
      <c r="E76" s="109"/>
      <c r="F76" s="109"/>
      <c r="G76" s="109"/>
      <c r="H76" s="110"/>
    </row>
    <row r="77" spans="1:8" x14ac:dyDescent="0.25">
      <c r="A77" s="108"/>
      <c r="B77" s="109"/>
      <c r="C77" s="109"/>
      <c r="D77" s="109"/>
      <c r="E77" s="109"/>
      <c r="F77" s="109"/>
      <c r="G77" s="109"/>
      <c r="H77" s="110"/>
    </row>
    <row r="78" spans="1:8" x14ac:dyDescent="0.25">
      <c r="A78" s="108"/>
      <c r="B78" s="109"/>
      <c r="C78" s="109"/>
      <c r="D78" s="109"/>
      <c r="E78" s="109"/>
      <c r="F78" s="109"/>
      <c r="G78" s="109"/>
      <c r="H78" s="110"/>
    </row>
    <row r="79" spans="1:8" x14ac:dyDescent="0.25">
      <c r="A79" s="108"/>
      <c r="B79" s="109"/>
      <c r="C79" s="109"/>
      <c r="D79" s="109"/>
      <c r="E79" s="109"/>
      <c r="F79" s="109"/>
      <c r="G79" s="109"/>
      <c r="H79" s="110"/>
    </row>
    <row r="80" spans="1:8" x14ac:dyDescent="0.25">
      <c r="A80" s="108"/>
      <c r="B80" s="109"/>
      <c r="C80" s="109"/>
      <c r="D80" s="109"/>
      <c r="E80" s="109"/>
      <c r="F80" s="109"/>
      <c r="G80" s="109"/>
      <c r="H80" s="110"/>
    </row>
    <row r="81" spans="1:8" x14ac:dyDescent="0.25">
      <c r="A81" s="108"/>
      <c r="B81" s="109"/>
      <c r="C81" s="109"/>
      <c r="D81" s="109"/>
      <c r="E81" s="109"/>
      <c r="F81" s="109"/>
      <c r="G81" s="109"/>
      <c r="H81" s="110"/>
    </row>
    <row r="82" spans="1:8" x14ac:dyDescent="0.25">
      <c r="A82" s="108"/>
      <c r="B82" s="109"/>
      <c r="C82" s="109"/>
      <c r="D82" s="109"/>
      <c r="E82" s="109"/>
      <c r="F82" s="109"/>
      <c r="G82" s="109"/>
      <c r="H82" s="110"/>
    </row>
    <row r="83" spans="1:8" x14ac:dyDescent="0.25">
      <c r="A83" s="108"/>
      <c r="B83" s="109"/>
      <c r="C83" s="109"/>
      <c r="D83" s="109"/>
      <c r="E83" s="109"/>
      <c r="F83" s="109"/>
      <c r="G83" s="109"/>
      <c r="H83" s="110"/>
    </row>
    <row r="84" spans="1:8" x14ac:dyDescent="0.25">
      <c r="A84" s="108"/>
      <c r="B84" s="109"/>
      <c r="C84" s="109"/>
      <c r="D84" s="109"/>
      <c r="E84" s="109"/>
      <c r="F84" s="109"/>
      <c r="G84" s="109"/>
      <c r="H84" s="110"/>
    </row>
    <row r="85" spans="1:8" x14ac:dyDescent="0.25">
      <c r="A85" s="108"/>
      <c r="B85" s="109"/>
      <c r="C85" s="109"/>
      <c r="D85" s="109"/>
      <c r="E85" s="109"/>
      <c r="F85" s="109"/>
      <c r="G85" s="109"/>
      <c r="H85" s="110"/>
    </row>
    <row r="86" spans="1:8" x14ac:dyDescent="0.25">
      <c r="A86" s="108"/>
      <c r="B86" s="109"/>
      <c r="C86" s="109"/>
      <c r="D86" s="109"/>
      <c r="E86" s="109"/>
      <c r="F86" s="109"/>
      <c r="G86" s="109"/>
      <c r="H86" s="110"/>
    </row>
    <row r="87" spans="1:8" x14ac:dyDescent="0.25">
      <c r="A87" s="108"/>
      <c r="B87" s="109"/>
      <c r="C87" s="109"/>
      <c r="D87" s="109"/>
      <c r="E87" s="109"/>
      <c r="F87" s="109"/>
      <c r="G87" s="109"/>
      <c r="H87" s="110"/>
    </row>
  </sheetData>
  <mergeCells count="21">
    <mergeCell ref="H11:H18"/>
    <mergeCell ref="C10:E10"/>
    <mergeCell ref="A11:A14"/>
    <mergeCell ref="B11:B14"/>
    <mergeCell ref="C11:E11"/>
    <mergeCell ref="A15:A18"/>
    <mergeCell ref="B15:B18"/>
    <mergeCell ref="C15:E15"/>
    <mergeCell ref="G11:G18"/>
    <mergeCell ref="A6:B6"/>
    <mergeCell ref="C6:H6"/>
    <mergeCell ref="A7:B7"/>
    <mergeCell ref="C7:H7"/>
    <mergeCell ref="A8:B8"/>
    <mergeCell ref="C8:H8"/>
    <mergeCell ref="A2:H2"/>
    <mergeCell ref="A3:H3"/>
    <mergeCell ref="A4:B4"/>
    <mergeCell ref="C4:H4"/>
    <mergeCell ref="A5:B5"/>
    <mergeCell ref="C5:H5"/>
  </mergeCell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zoomScale="130" zoomScaleNormal="130" workbookViewId="0">
      <selection sqref="A1:S2"/>
    </sheetView>
  </sheetViews>
  <sheetFormatPr defaultColWidth="9.140625" defaultRowHeight="15" x14ac:dyDescent="0.25"/>
  <cols>
    <col min="1" max="1" width="9.140625" style="165"/>
    <col min="2" max="2" width="30.140625" style="165" customWidth="1"/>
    <col min="3" max="5" width="9.140625" style="165"/>
    <col min="6" max="20" width="4.140625" style="165" customWidth="1"/>
    <col min="21" max="16384" width="9.140625" style="165"/>
  </cols>
  <sheetData>
    <row r="1" spans="1:19" ht="15" customHeight="1" x14ac:dyDescent="0.25">
      <c r="A1" s="395" t="s">
        <v>461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</row>
    <row r="2" spans="1:19" ht="33" customHeight="1" x14ac:dyDescent="0.25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</row>
    <row r="3" spans="1:19" ht="33.75" customHeight="1" x14ac:dyDescent="0.25">
      <c r="A3" s="397" t="s">
        <v>2</v>
      </c>
      <c r="B3" s="398" t="s">
        <v>412</v>
      </c>
      <c r="C3" s="397" t="s">
        <v>413</v>
      </c>
      <c r="D3" s="397"/>
      <c r="E3" s="397"/>
      <c r="F3" s="399">
        <v>2020</v>
      </c>
      <c r="G3" s="400"/>
      <c r="H3" s="403">
        <v>2021</v>
      </c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</row>
    <row r="4" spans="1:19" ht="11.25" customHeight="1" x14ac:dyDescent="0.25">
      <c r="A4" s="397"/>
      <c r="B4" s="398"/>
      <c r="C4" s="397"/>
      <c r="D4" s="397"/>
      <c r="E4" s="397"/>
      <c r="F4" s="401"/>
      <c r="G4" s="402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</row>
    <row r="5" spans="1:19" ht="49.5" customHeight="1" x14ac:dyDescent="0.25">
      <c r="A5" s="397"/>
      <c r="B5" s="398"/>
      <c r="C5" s="362" t="s">
        <v>414</v>
      </c>
      <c r="D5" s="362" t="s">
        <v>415</v>
      </c>
      <c r="E5" s="362" t="s">
        <v>416</v>
      </c>
      <c r="F5" s="363" t="s">
        <v>417</v>
      </c>
      <c r="G5" s="363" t="s">
        <v>418</v>
      </c>
      <c r="H5" s="363" t="s">
        <v>419</v>
      </c>
      <c r="I5" s="363" t="s">
        <v>420</v>
      </c>
      <c r="J5" s="363" t="s">
        <v>421</v>
      </c>
      <c r="K5" s="363" t="s">
        <v>422</v>
      </c>
      <c r="L5" s="363" t="s">
        <v>423</v>
      </c>
      <c r="M5" s="363" t="s">
        <v>424</v>
      </c>
      <c r="N5" s="363" t="s">
        <v>425</v>
      </c>
      <c r="O5" s="363" t="s">
        <v>426</v>
      </c>
      <c r="P5" s="363" t="s">
        <v>427</v>
      </c>
      <c r="Q5" s="363" t="s">
        <v>428</v>
      </c>
      <c r="R5" s="363" t="s">
        <v>417</v>
      </c>
      <c r="S5" s="363" t="s">
        <v>418</v>
      </c>
    </row>
    <row r="6" spans="1:19" ht="22.5" customHeight="1" x14ac:dyDescent="0.25">
      <c r="A6" s="362">
        <v>1</v>
      </c>
      <c r="B6" s="362">
        <v>2</v>
      </c>
      <c r="C6" s="362">
        <v>3</v>
      </c>
      <c r="D6" s="362">
        <v>4</v>
      </c>
      <c r="E6" s="362">
        <v>5</v>
      </c>
      <c r="F6" s="362">
        <v>6</v>
      </c>
      <c r="G6" s="362">
        <v>7</v>
      </c>
      <c r="H6" s="362">
        <v>8</v>
      </c>
      <c r="I6" s="362">
        <v>9</v>
      </c>
      <c r="J6" s="362">
        <v>10</v>
      </c>
      <c r="K6" s="362">
        <v>11</v>
      </c>
      <c r="L6" s="362">
        <v>12</v>
      </c>
      <c r="M6" s="362">
        <v>13</v>
      </c>
      <c r="N6" s="362">
        <v>14</v>
      </c>
      <c r="O6" s="362">
        <v>15</v>
      </c>
      <c r="P6" s="362">
        <v>16</v>
      </c>
      <c r="Q6" s="362">
        <v>17</v>
      </c>
      <c r="R6" s="362">
        <v>18</v>
      </c>
      <c r="S6" s="362">
        <v>19</v>
      </c>
    </row>
    <row r="7" spans="1:19" x14ac:dyDescent="0.25">
      <c r="A7" s="364">
        <v>1</v>
      </c>
      <c r="B7" s="365" t="s">
        <v>111</v>
      </c>
      <c r="C7" s="128" t="s">
        <v>429</v>
      </c>
      <c r="D7" s="128" t="s">
        <v>430</v>
      </c>
      <c r="E7" s="128">
        <v>60</v>
      </c>
      <c r="F7" s="128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</row>
    <row r="8" spans="1:19" ht="25.5" x14ac:dyDescent="0.25">
      <c r="A8" s="364">
        <v>2</v>
      </c>
      <c r="B8" s="366" t="s">
        <v>431</v>
      </c>
      <c r="C8" s="128" t="s">
        <v>436</v>
      </c>
      <c r="D8" s="128" t="s">
        <v>437</v>
      </c>
      <c r="E8" s="128">
        <v>75</v>
      </c>
      <c r="F8" s="128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</row>
    <row r="9" spans="1:19" ht="25.5" x14ac:dyDescent="0.25">
      <c r="A9" s="364">
        <v>3</v>
      </c>
      <c r="B9" s="366" t="s">
        <v>432</v>
      </c>
      <c r="C9" s="128" t="s">
        <v>438</v>
      </c>
      <c r="D9" s="128" t="s">
        <v>439</v>
      </c>
      <c r="E9" s="128">
        <v>75</v>
      </c>
      <c r="F9" s="128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</row>
    <row r="10" spans="1:19" x14ac:dyDescent="0.25">
      <c r="A10" s="364">
        <v>4</v>
      </c>
      <c r="B10" s="367" t="s">
        <v>433</v>
      </c>
      <c r="C10" s="128" t="s">
        <v>440</v>
      </c>
      <c r="D10" s="128" t="s">
        <v>441</v>
      </c>
      <c r="E10" s="128">
        <v>60</v>
      </c>
      <c r="F10" s="128"/>
      <c r="G10" s="151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</row>
  </sheetData>
  <mergeCells count="6">
    <mergeCell ref="A1:S2"/>
    <mergeCell ref="A3:A5"/>
    <mergeCell ref="B3:B5"/>
    <mergeCell ref="C3:E4"/>
    <mergeCell ref="F3:G4"/>
    <mergeCell ref="H3:S4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opLeftCell="A113" workbookViewId="0">
      <selection activeCell="B121" sqref="B121"/>
    </sheetView>
  </sheetViews>
  <sheetFormatPr defaultRowHeight="15" x14ac:dyDescent="0.25"/>
  <cols>
    <col min="1" max="1" width="4.140625" customWidth="1"/>
    <col min="2" max="2" width="26.42578125" customWidth="1"/>
    <col min="3" max="3" width="26.7109375" customWidth="1"/>
    <col min="4" max="4" width="11.28515625" customWidth="1"/>
    <col min="5" max="5" width="8.28515625" customWidth="1"/>
    <col min="6" max="6" width="20.7109375" customWidth="1"/>
    <col min="7" max="7" width="27.140625" customWidth="1"/>
  </cols>
  <sheetData>
    <row r="1" spans="1:7" ht="42.75" customHeight="1" x14ac:dyDescent="0.25">
      <c r="A1" s="404" t="s">
        <v>464</v>
      </c>
      <c r="B1" s="404"/>
      <c r="C1" s="404"/>
      <c r="D1" s="404"/>
      <c r="E1" s="404"/>
      <c r="F1" s="404"/>
      <c r="G1" s="404"/>
    </row>
    <row r="2" spans="1:7" x14ac:dyDescent="0.25">
      <c r="A2" s="173"/>
    </row>
    <row r="3" spans="1:7" ht="51" x14ac:dyDescent="0.25">
      <c r="A3" s="174" t="s">
        <v>2</v>
      </c>
      <c r="B3" s="175" t="s">
        <v>281</v>
      </c>
      <c r="C3" s="175" t="s">
        <v>282</v>
      </c>
      <c r="D3" s="175" t="s">
        <v>36</v>
      </c>
      <c r="E3" s="175" t="s">
        <v>283</v>
      </c>
      <c r="F3" s="176" t="s">
        <v>286</v>
      </c>
      <c r="G3" s="176" t="s">
        <v>284</v>
      </c>
    </row>
    <row r="4" spans="1:7" ht="157.5" x14ac:dyDescent="0.25">
      <c r="A4" s="200">
        <v>1</v>
      </c>
      <c r="B4" s="200" t="s">
        <v>452</v>
      </c>
      <c r="C4" s="193" t="s">
        <v>294</v>
      </c>
      <c r="D4" s="202" t="s">
        <v>291</v>
      </c>
      <c r="E4" s="202">
        <v>0.9</v>
      </c>
      <c r="F4" s="204">
        <v>7465.41</v>
      </c>
      <c r="G4" s="204">
        <f>E4*F4</f>
        <v>6718.87</v>
      </c>
    </row>
    <row r="5" spans="1:7" ht="157.5" x14ac:dyDescent="0.25">
      <c r="A5" s="200">
        <v>2</v>
      </c>
      <c r="B5" s="200" t="s">
        <v>335</v>
      </c>
      <c r="C5" s="193" t="s">
        <v>297</v>
      </c>
      <c r="D5" s="202" t="s">
        <v>291</v>
      </c>
      <c r="E5" s="202">
        <v>0</v>
      </c>
      <c r="F5" s="204">
        <v>4599.59</v>
      </c>
      <c r="G5" s="204">
        <f>E5*F5</f>
        <v>0</v>
      </c>
    </row>
    <row r="6" spans="1:7" ht="25.5" x14ac:dyDescent="0.25">
      <c r="A6" s="179"/>
      <c r="B6" s="180" t="s">
        <v>287</v>
      </c>
      <c r="C6" s="177"/>
      <c r="D6" s="177"/>
      <c r="E6" s="177"/>
      <c r="F6" s="177"/>
      <c r="G6" s="177"/>
    </row>
    <row r="7" spans="1:7" ht="63" x14ac:dyDescent="0.25">
      <c r="A7" s="181"/>
      <c r="B7" s="189" t="s">
        <v>330</v>
      </c>
      <c r="C7" s="190" t="s">
        <v>292</v>
      </c>
      <c r="D7" s="191"/>
      <c r="E7" s="191">
        <v>0.93</v>
      </c>
      <c r="F7" s="191"/>
      <c r="G7" s="191"/>
    </row>
    <row r="8" spans="1:7" ht="47.25" x14ac:dyDescent="0.25">
      <c r="A8" s="182"/>
      <c r="B8" s="192" t="s">
        <v>285</v>
      </c>
      <c r="C8" s="190" t="s">
        <v>295</v>
      </c>
      <c r="D8" s="191"/>
      <c r="E8" s="191">
        <v>0.98</v>
      </c>
      <c r="F8" s="193"/>
      <c r="G8" s="191"/>
    </row>
    <row r="9" spans="1:7" ht="31.5" x14ac:dyDescent="0.25">
      <c r="A9" s="183"/>
      <c r="B9" s="192" t="s">
        <v>288</v>
      </c>
      <c r="C9" s="190" t="s">
        <v>293</v>
      </c>
      <c r="D9" s="194"/>
      <c r="E9" s="194">
        <v>1</v>
      </c>
      <c r="F9" s="193"/>
      <c r="G9" s="191"/>
    </row>
    <row r="10" spans="1:7" ht="15.75" x14ac:dyDescent="0.25">
      <c r="A10" s="184"/>
      <c r="B10" s="195" t="s">
        <v>289</v>
      </c>
      <c r="C10" s="196"/>
      <c r="D10" s="197"/>
      <c r="E10" s="197"/>
      <c r="F10" s="198"/>
      <c r="G10" s="199"/>
    </row>
    <row r="11" spans="1:7" ht="15.75" x14ac:dyDescent="0.25">
      <c r="A11" s="178"/>
      <c r="B11" s="200" t="s">
        <v>16</v>
      </c>
      <c r="C11" s="201"/>
      <c r="D11" s="201"/>
      <c r="E11" s="201"/>
      <c r="F11" s="202"/>
      <c r="G11" s="203">
        <f>(G4+G5)*E7*E8*E9</f>
        <v>6123.58</v>
      </c>
    </row>
    <row r="12" spans="1:7" ht="45" x14ac:dyDescent="0.25">
      <c r="A12" s="185"/>
      <c r="B12" s="186" t="s">
        <v>336</v>
      </c>
      <c r="C12" s="157" t="s">
        <v>331</v>
      </c>
      <c r="D12" s="164"/>
      <c r="E12" s="164"/>
      <c r="F12" s="164"/>
      <c r="G12" s="187">
        <f>G11*1.036*1.037*1.037</f>
        <v>6822.17</v>
      </c>
    </row>
    <row r="13" spans="1:7" x14ac:dyDescent="0.25">
      <c r="A13" s="188"/>
    </row>
    <row r="15" spans="1:7" ht="157.5" x14ac:dyDescent="0.25">
      <c r="A15" s="200">
        <v>3</v>
      </c>
      <c r="B15" s="200" t="s">
        <v>179</v>
      </c>
      <c r="C15" s="193" t="s">
        <v>298</v>
      </c>
      <c r="D15" s="202" t="s">
        <v>291</v>
      </c>
      <c r="E15" s="202">
        <v>0.25</v>
      </c>
      <c r="F15" s="204">
        <v>4456.13</v>
      </c>
      <c r="G15" s="204">
        <f>E15*F15</f>
        <v>1114.03</v>
      </c>
    </row>
    <row r="16" spans="1:7" ht="25.5" x14ac:dyDescent="0.25">
      <c r="A16" s="179"/>
      <c r="B16" s="180" t="s">
        <v>287</v>
      </c>
      <c r="C16" s="177"/>
      <c r="D16" s="177"/>
      <c r="E16" s="177"/>
      <c r="F16" s="177"/>
      <c r="G16" s="177"/>
    </row>
    <row r="17" spans="1:7" ht="31.5" x14ac:dyDescent="0.25">
      <c r="A17" s="181"/>
      <c r="B17" s="189" t="s">
        <v>299</v>
      </c>
      <c r="C17" s="190" t="s">
        <v>300</v>
      </c>
      <c r="D17" s="191"/>
      <c r="E17" s="191">
        <v>1.72</v>
      </c>
      <c r="F17" s="191"/>
      <c r="G17" s="191"/>
    </row>
    <row r="18" spans="1:7" ht="63" x14ac:dyDescent="0.25">
      <c r="A18" s="181"/>
      <c r="B18" s="189" t="s">
        <v>330</v>
      </c>
      <c r="C18" s="190" t="s">
        <v>292</v>
      </c>
      <c r="D18" s="191"/>
      <c r="E18" s="191">
        <v>0.9</v>
      </c>
      <c r="F18" s="191"/>
      <c r="G18" s="191"/>
    </row>
    <row r="19" spans="1:7" ht="47.25" x14ac:dyDescent="0.25">
      <c r="A19" s="182"/>
      <c r="B19" s="192" t="s">
        <v>285</v>
      </c>
      <c r="C19" s="190" t="s">
        <v>295</v>
      </c>
      <c r="D19" s="191"/>
      <c r="E19" s="191">
        <v>0.99</v>
      </c>
      <c r="F19" s="193"/>
      <c r="G19" s="191"/>
    </row>
    <row r="20" spans="1:7" ht="31.5" x14ac:dyDescent="0.25">
      <c r="A20" s="183"/>
      <c r="B20" s="192" t="s">
        <v>288</v>
      </c>
      <c r="C20" s="190" t="s">
        <v>293</v>
      </c>
      <c r="D20" s="194"/>
      <c r="E20" s="194">
        <v>1.01</v>
      </c>
      <c r="F20" s="193"/>
      <c r="G20" s="191"/>
    </row>
    <row r="21" spans="1:7" ht="15.75" x14ac:dyDescent="0.25">
      <c r="A21" s="184"/>
      <c r="B21" s="195" t="s">
        <v>289</v>
      </c>
      <c r="C21" s="196"/>
      <c r="D21" s="197"/>
      <c r="E21" s="197"/>
      <c r="F21" s="198"/>
      <c r="G21" s="199"/>
    </row>
    <row r="22" spans="1:7" ht="15.75" x14ac:dyDescent="0.25">
      <c r="A22" s="178"/>
      <c r="B22" s="200" t="s">
        <v>16</v>
      </c>
      <c r="C22" s="201"/>
      <c r="D22" s="201"/>
      <c r="E22" s="201"/>
      <c r="F22" s="202"/>
      <c r="G22" s="203">
        <f>(G15)*E17*E18*E19*E20</f>
        <v>1724.35</v>
      </c>
    </row>
    <row r="23" spans="1:7" ht="45" x14ac:dyDescent="0.25">
      <c r="A23" s="185"/>
      <c r="B23" s="186" t="s">
        <v>336</v>
      </c>
      <c r="C23" s="157" t="s">
        <v>331</v>
      </c>
      <c r="D23" s="164"/>
      <c r="E23" s="164"/>
      <c r="F23" s="164"/>
      <c r="G23" s="187">
        <f>G22*1.036*1.037*1.037</f>
        <v>1921.07</v>
      </c>
    </row>
    <row r="26" spans="1:7" ht="94.5" x14ac:dyDescent="0.25">
      <c r="A26" s="200">
        <v>4</v>
      </c>
      <c r="B26" s="200" t="s">
        <v>316</v>
      </c>
      <c r="C26" s="193" t="s">
        <v>337</v>
      </c>
      <c r="D26" s="202" t="s">
        <v>317</v>
      </c>
      <c r="E26" s="202">
        <v>11</v>
      </c>
      <c r="F26" s="204">
        <v>81.61</v>
      </c>
      <c r="G26" s="204">
        <f>E26*F26</f>
        <v>897.71</v>
      </c>
    </row>
    <row r="27" spans="1:7" ht="25.5" x14ac:dyDescent="0.25">
      <c r="A27" s="179"/>
      <c r="B27" s="180" t="s">
        <v>287</v>
      </c>
      <c r="C27" s="177"/>
      <c r="D27" s="177"/>
      <c r="E27" s="177"/>
      <c r="F27" s="177"/>
      <c r="G27" s="177"/>
    </row>
    <row r="28" spans="1:7" ht="63" x14ac:dyDescent="0.25">
      <c r="A28" s="181"/>
      <c r="B28" s="189" t="s">
        <v>330</v>
      </c>
      <c r="C28" s="190" t="s">
        <v>318</v>
      </c>
      <c r="D28" s="191"/>
      <c r="E28" s="191">
        <v>0.9</v>
      </c>
      <c r="F28" s="191"/>
      <c r="G28" s="191"/>
    </row>
    <row r="29" spans="1:7" ht="47.25" x14ac:dyDescent="0.25">
      <c r="A29" s="182"/>
      <c r="B29" s="192" t="s">
        <v>285</v>
      </c>
      <c r="C29" s="190"/>
      <c r="D29" s="191"/>
      <c r="E29" s="191">
        <v>1</v>
      </c>
      <c r="F29" s="193"/>
      <c r="G29" s="191"/>
    </row>
    <row r="30" spans="1:7" ht="31.5" x14ac:dyDescent="0.25">
      <c r="A30" s="183"/>
      <c r="B30" s="192" t="s">
        <v>288</v>
      </c>
      <c r="C30" s="190" t="s">
        <v>319</v>
      </c>
      <c r="D30" s="194"/>
      <c r="E30" s="194">
        <v>1</v>
      </c>
      <c r="F30" s="193"/>
      <c r="G30" s="191"/>
    </row>
    <row r="31" spans="1:7" ht="15.75" x14ac:dyDescent="0.25">
      <c r="A31" s="184"/>
      <c r="B31" s="195" t="s">
        <v>289</v>
      </c>
      <c r="C31" s="196"/>
      <c r="D31" s="197"/>
      <c r="E31" s="197"/>
      <c r="F31" s="198"/>
      <c r="G31" s="199"/>
    </row>
    <row r="32" spans="1:7" ht="15.75" x14ac:dyDescent="0.25">
      <c r="A32" s="178"/>
      <c r="B32" s="200" t="s">
        <v>16</v>
      </c>
      <c r="C32" s="201"/>
      <c r="D32" s="201"/>
      <c r="E32" s="201"/>
      <c r="F32" s="202"/>
      <c r="G32" s="203">
        <f>(G26)*E28*E29*E30</f>
        <v>807.94</v>
      </c>
    </row>
    <row r="33" spans="1:7" ht="45" x14ac:dyDescent="0.25">
      <c r="A33" s="185"/>
      <c r="B33" s="186" t="s">
        <v>336</v>
      </c>
      <c r="C33" s="157" t="s">
        <v>331</v>
      </c>
      <c r="D33" s="164"/>
      <c r="E33" s="164"/>
      <c r="F33" s="164"/>
      <c r="G33" s="187">
        <f>G32*1.036*1.037*1.037</f>
        <v>900.11</v>
      </c>
    </row>
    <row r="35" spans="1:7" ht="78.75" x14ac:dyDescent="0.25">
      <c r="A35" s="200">
        <v>5</v>
      </c>
      <c r="B35" s="200" t="s">
        <v>388</v>
      </c>
      <c r="C35" s="193" t="s">
        <v>320</v>
      </c>
      <c r="D35" s="202" t="s">
        <v>317</v>
      </c>
      <c r="E35" s="202">
        <v>55</v>
      </c>
      <c r="F35" s="204">
        <v>295.25</v>
      </c>
      <c r="G35" s="204">
        <f>E35*F35</f>
        <v>16238.75</v>
      </c>
    </row>
    <row r="36" spans="1:7" ht="25.5" x14ac:dyDescent="0.25">
      <c r="A36" s="179"/>
      <c r="B36" s="180" t="s">
        <v>287</v>
      </c>
      <c r="C36" s="177"/>
      <c r="D36" s="177"/>
      <c r="E36" s="177"/>
      <c r="F36" s="177"/>
      <c r="G36" s="177"/>
    </row>
    <row r="37" spans="1:7" ht="63" x14ac:dyDescent="0.25">
      <c r="A37" s="181"/>
      <c r="B37" s="189" t="s">
        <v>330</v>
      </c>
      <c r="C37" s="190" t="s">
        <v>321</v>
      </c>
      <c r="D37" s="191"/>
      <c r="E37" s="191">
        <v>0.9</v>
      </c>
      <c r="F37" s="191"/>
      <c r="G37" s="191"/>
    </row>
    <row r="38" spans="1:7" ht="47.25" x14ac:dyDescent="0.25">
      <c r="A38" s="182"/>
      <c r="B38" s="192" t="s">
        <v>285</v>
      </c>
      <c r="C38" s="190" t="s">
        <v>322</v>
      </c>
      <c r="D38" s="191"/>
      <c r="E38" s="191">
        <v>0.99</v>
      </c>
      <c r="F38" s="193"/>
      <c r="G38" s="191"/>
    </row>
    <row r="39" spans="1:7" ht="31.5" x14ac:dyDescent="0.25">
      <c r="A39" s="183"/>
      <c r="B39" s="192" t="s">
        <v>288</v>
      </c>
      <c r="C39" s="190" t="s">
        <v>315</v>
      </c>
      <c r="D39" s="194"/>
      <c r="E39" s="194">
        <v>1</v>
      </c>
      <c r="F39" s="193"/>
      <c r="G39" s="191"/>
    </row>
    <row r="40" spans="1:7" ht="15.75" x14ac:dyDescent="0.25">
      <c r="A40" s="184"/>
      <c r="B40" s="195" t="s">
        <v>289</v>
      </c>
      <c r="C40" s="196"/>
      <c r="D40" s="197"/>
      <c r="E40" s="197"/>
      <c r="F40" s="198"/>
      <c r="G40" s="199"/>
    </row>
    <row r="41" spans="1:7" ht="15.75" x14ac:dyDescent="0.25">
      <c r="A41" s="178"/>
      <c r="B41" s="200" t="s">
        <v>16</v>
      </c>
      <c r="C41" s="201"/>
      <c r="D41" s="201"/>
      <c r="E41" s="201"/>
      <c r="F41" s="202"/>
      <c r="G41" s="203">
        <f>(G35)*E37*E38*E39</f>
        <v>14468.73</v>
      </c>
    </row>
    <row r="42" spans="1:7" ht="45" x14ac:dyDescent="0.25">
      <c r="A42" s="185"/>
      <c r="B42" s="186" t="s">
        <v>336</v>
      </c>
      <c r="C42" s="157" t="s">
        <v>331</v>
      </c>
      <c r="D42" s="164"/>
      <c r="E42" s="164"/>
      <c r="F42" s="164"/>
      <c r="G42" s="187">
        <f>G41*1.036*1.037*1.037</f>
        <v>16119.36</v>
      </c>
    </row>
    <row r="44" spans="1:7" ht="126" x14ac:dyDescent="0.25">
      <c r="A44" s="200">
        <v>6</v>
      </c>
      <c r="B44" s="200" t="s">
        <v>390</v>
      </c>
      <c r="C44" s="193" t="s">
        <v>389</v>
      </c>
      <c r="D44" s="202" t="s">
        <v>317</v>
      </c>
      <c r="E44" s="202">
        <v>0</v>
      </c>
      <c r="F44" s="204">
        <v>361.66</v>
      </c>
      <c r="G44" s="204">
        <f>E44*F44</f>
        <v>0</v>
      </c>
    </row>
    <row r="45" spans="1:7" ht="25.5" x14ac:dyDescent="0.25">
      <c r="A45" s="179"/>
      <c r="B45" s="180" t="s">
        <v>287</v>
      </c>
      <c r="C45" s="177"/>
      <c r="D45" s="177"/>
      <c r="E45" s="177"/>
      <c r="F45" s="177"/>
      <c r="G45" s="177"/>
    </row>
    <row r="46" spans="1:7" ht="63" x14ac:dyDescent="0.25">
      <c r="A46" s="181"/>
      <c r="B46" s="189" t="s">
        <v>330</v>
      </c>
      <c r="C46" s="190" t="s">
        <v>321</v>
      </c>
      <c r="D46" s="191"/>
      <c r="E46" s="191">
        <v>0.9</v>
      </c>
      <c r="F46" s="191"/>
      <c r="G46" s="191"/>
    </row>
    <row r="47" spans="1:7" ht="47.25" x14ac:dyDescent="0.25">
      <c r="A47" s="182"/>
      <c r="B47" s="192" t="s">
        <v>285</v>
      </c>
      <c r="C47" s="190" t="s">
        <v>322</v>
      </c>
      <c r="D47" s="191"/>
      <c r="E47" s="191">
        <v>0.99</v>
      </c>
      <c r="F47" s="193"/>
      <c r="G47" s="191"/>
    </row>
    <row r="48" spans="1:7" ht="31.5" x14ac:dyDescent="0.25">
      <c r="A48" s="183"/>
      <c r="B48" s="192" t="s">
        <v>288</v>
      </c>
      <c r="C48" s="190" t="s">
        <v>315</v>
      </c>
      <c r="D48" s="194"/>
      <c r="E48" s="194">
        <v>1</v>
      </c>
      <c r="F48" s="193"/>
      <c r="G48" s="191"/>
    </row>
    <row r="49" spans="1:7" ht="15.75" x14ac:dyDescent="0.25">
      <c r="A49" s="184"/>
      <c r="B49" s="195" t="s">
        <v>289</v>
      </c>
      <c r="C49" s="196"/>
      <c r="D49" s="197"/>
      <c r="E49" s="197"/>
      <c r="F49" s="198"/>
      <c r="G49" s="199"/>
    </row>
    <row r="50" spans="1:7" ht="15.75" x14ac:dyDescent="0.25">
      <c r="A50" s="178"/>
      <c r="B50" s="200" t="s">
        <v>16</v>
      </c>
      <c r="C50" s="201"/>
      <c r="D50" s="201"/>
      <c r="E50" s="201"/>
      <c r="F50" s="202"/>
      <c r="G50" s="203">
        <f>(G44)*E46*E47*E48</f>
        <v>0</v>
      </c>
    </row>
    <row r="51" spans="1:7" ht="45" x14ac:dyDescent="0.25">
      <c r="A51" s="185"/>
      <c r="B51" s="186" t="s">
        <v>336</v>
      </c>
      <c r="C51" s="157" t="s">
        <v>331</v>
      </c>
      <c r="D51" s="164"/>
      <c r="E51" s="164"/>
      <c r="F51" s="164"/>
      <c r="G51" s="187">
        <f>G50*1.036*1.037*1.037</f>
        <v>0</v>
      </c>
    </row>
    <row r="53" spans="1:7" ht="78.75" x14ac:dyDescent="0.25">
      <c r="A53" s="200">
        <v>7</v>
      </c>
      <c r="B53" s="200" t="s">
        <v>391</v>
      </c>
      <c r="C53" s="193" t="s">
        <v>473</v>
      </c>
      <c r="D53" s="202" t="s">
        <v>317</v>
      </c>
      <c r="E53" s="202">
        <v>66</v>
      </c>
      <c r="F53" s="204">
        <v>134.32</v>
      </c>
      <c r="G53" s="204">
        <f>E53*F53</f>
        <v>8865.1200000000008</v>
      </c>
    </row>
    <row r="54" spans="1:7" ht="25.5" x14ac:dyDescent="0.25">
      <c r="A54" s="179"/>
      <c r="B54" s="180" t="s">
        <v>287</v>
      </c>
      <c r="C54" s="177"/>
      <c r="D54" s="177"/>
      <c r="E54" s="177"/>
      <c r="F54" s="177"/>
      <c r="G54" s="177"/>
    </row>
    <row r="55" spans="1:7" ht="63" x14ac:dyDescent="0.25">
      <c r="A55" s="181"/>
      <c r="B55" s="189" t="s">
        <v>330</v>
      </c>
      <c r="C55" s="190" t="s">
        <v>321</v>
      </c>
      <c r="D55" s="191"/>
      <c r="E55" s="191">
        <v>0.9</v>
      </c>
      <c r="F55" s="191"/>
      <c r="G55" s="191"/>
    </row>
    <row r="56" spans="1:7" ht="47.25" x14ac:dyDescent="0.25">
      <c r="A56" s="182"/>
      <c r="B56" s="192" t="s">
        <v>285</v>
      </c>
      <c r="C56" s="190" t="s">
        <v>322</v>
      </c>
      <c r="D56" s="191"/>
      <c r="E56" s="191">
        <v>0.99</v>
      </c>
      <c r="F56" s="193"/>
      <c r="G56" s="191"/>
    </row>
    <row r="57" spans="1:7" ht="31.5" x14ac:dyDescent="0.25">
      <c r="A57" s="183"/>
      <c r="B57" s="192" t="s">
        <v>288</v>
      </c>
      <c r="C57" s="190" t="s">
        <v>315</v>
      </c>
      <c r="D57" s="194"/>
      <c r="E57" s="194">
        <v>1</v>
      </c>
      <c r="F57" s="193"/>
      <c r="G57" s="191"/>
    </row>
    <row r="58" spans="1:7" ht="15.75" x14ac:dyDescent="0.25">
      <c r="A58" s="184"/>
      <c r="B58" s="195" t="s">
        <v>289</v>
      </c>
      <c r="C58" s="196"/>
      <c r="D58" s="197"/>
      <c r="E58" s="197"/>
      <c r="F58" s="198"/>
      <c r="G58" s="199"/>
    </row>
    <row r="59" spans="1:7" ht="15.75" x14ac:dyDescent="0.25">
      <c r="A59" s="178"/>
      <c r="B59" s="200" t="s">
        <v>16</v>
      </c>
      <c r="C59" s="201"/>
      <c r="D59" s="201"/>
      <c r="E59" s="201"/>
      <c r="F59" s="202"/>
      <c r="G59" s="203">
        <f>(G53)*E55*E56*E57</f>
        <v>7898.82</v>
      </c>
    </row>
    <row r="60" spans="1:7" ht="45" x14ac:dyDescent="0.25">
      <c r="A60" s="185"/>
      <c r="B60" s="186" t="s">
        <v>336</v>
      </c>
      <c r="C60" s="157" t="s">
        <v>331</v>
      </c>
      <c r="D60" s="164"/>
      <c r="E60" s="164"/>
      <c r="F60" s="164"/>
      <c r="G60" s="187">
        <f>G59*1.036*1.037*1.037</f>
        <v>8799.94</v>
      </c>
    </row>
    <row r="62" spans="1:7" ht="126" x14ac:dyDescent="0.25">
      <c r="A62" s="358">
        <v>8</v>
      </c>
      <c r="B62" s="358" t="s">
        <v>392</v>
      </c>
      <c r="C62" s="198" t="s">
        <v>394</v>
      </c>
      <c r="D62" s="202" t="s">
        <v>393</v>
      </c>
      <c r="E62" s="202">
        <v>0.35</v>
      </c>
      <c r="F62" s="204">
        <v>53537.66</v>
      </c>
      <c r="G62" s="204">
        <f>E62*F62</f>
        <v>18738.18</v>
      </c>
    </row>
    <row r="63" spans="1:7" ht="63" x14ac:dyDescent="0.25">
      <c r="A63" s="358">
        <v>9</v>
      </c>
      <c r="B63" s="358" t="s">
        <v>395</v>
      </c>
      <c r="C63" s="198" t="s">
        <v>396</v>
      </c>
      <c r="D63" s="202" t="s">
        <v>393</v>
      </c>
      <c r="E63" s="202">
        <v>0.35</v>
      </c>
      <c r="F63" s="204">
        <v>2643.35</v>
      </c>
      <c r="G63" s="204">
        <f>E63*F63</f>
        <v>925.17</v>
      </c>
    </row>
    <row r="64" spans="1:7" ht="15.75" x14ac:dyDescent="0.25">
      <c r="A64" s="358"/>
      <c r="B64" s="358" t="s">
        <v>16</v>
      </c>
      <c r="C64" s="198"/>
      <c r="D64" s="202"/>
      <c r="E64" s="202"/>
      <c r="F64" s="204"/>
      <c r="G64" s="204">
        <f>G62+G63</f>
        <v>19663.349999999999</v>
      </c>
    </row>
    <row r="65" spans="1:7" ht="25.5" x14ac:dyDescent="0.25">
      <c r="A65" s="356"/>
      <c r="B65" s="357" t="s">
        <v>287</v>
      </c>
      <c r="C65" s="177"/>
      <c r="D65" s="177"/>
      <c r="E65" s="177"/>
      <c r="F65" s="177"/>
      <c r="G65" s="177"/>
    </row>
    <row r="66" spans="1:7" ht="47.25" x14ac:dyDescent="0.25">
      <c r="A66" s="181"/>
      <c r="B66" s="189" t="s">
        <v>397</v>
      </c>
      <c r="C66" s="190" t="s">
        <v>398</v>
      </c>
      <c r="D66" s="191"/>
      <c r="E66" s="191">
        <v>1.07</v>
      </c>
      <c r="F66" s="191"/>
      <c r="G66" s="191"/>
    </row>
    <row r="67" spans="1:7" ht="47.25" x14ac:dyDescent="0.25">
      <c r="A67" s="181"/>
      <c r="B67" s="189" t="s">
        <v>399</v>
      </c>
      <c r="C67" s="190" t="s">
        <v>400</v>
      </c>
      <c r="D67" s="191"/>
      <c r="E67" s="191">
        <v>1.03</v>
      </c>
      <c r="F67" s="191"/>
      <c r="G67" s="191"/>
    </row>
    <row r="68" spans="1:7" ht="63" x14ac:dyDescent="0.25">
      <c r="A68" s="181"/>
      <c r="B68" s="189" t="s">
        <v>330</v>
      </c>
      <c r="C68" s="190" t="s">
        <v>401</v>
      </c>
      <c r="D68" s="191"/>
      <c r="E68" s="191">
        <v>0.9</v>
      </c>
      <c r="F68" s="191"/>
      <c r="G68" s="191"/>
    </row>
    <row r="69" spans="1:7" ht="47.25" x14ac:dyDescent="0.25">
      <c r="A69" s="182"/>
      <c r="B69" s="192" t="s">
        <v>285</v>
      </c>
      <c r="C69" s="190" t="s">
        <v>402</v>
      </c>
      <c r="D69" s="191"/>
      <c r="E69" s="191">
        <v>0.98</v>
      </c>
      <c r="F69" s="193"/>
      <c r="G69" s="191"/>
    </row>
    <row r="70" spans="1:7" ht="31.5" x14ac:dyDescent="0.25">
      <c r="A70" s="183"/>
      <c r="B70" s="192" t="s">
        <v>288</v>
      </c>
      <c r="C70" s="190" t="s">
        <v>315</v>
      </c>
      <c r="D70" s="194"/>
      <c r="E70" s="194">
        <v>1</v>
      </c>
      <c r="F70" s="193"/>
      <c r="G70" s="191"/>
    </row>
    <row r="71" spans="1:7" ht="15.75" x14ac:dyDescent="0.25">
      <c r="A71" s="184"/>
      <c r="B71" s="195" t="s">
        <v>289</v>
      </c>
      <c r="C71" s="196"/>
      <c r="D71" s="197"/>
      <c r="E71" s="197"/>
      <c r="F71" s="198"/>
      <c r="G71" s="199"/>
    </row>
    <row r="72" spans="1:7" ht="15.75" x14ac:dyDescent="0.25">
      <c r="A72" s="178"/>
      <c r="B72" s="200" t="s">
        <v>16</v>
      </c>
      <c r="C72" s="201"/>
      <c r="D72" s="201"/>
      <c r="E72" s="201"/>
      <c r="F72" s="202"/>
      <c r="G72" s="203">
        <f>(G64)*E66*E67*E68*E69*E70</f>
        <v>19113.8</v>
      </c>
    </row>
    <row r="73" spans="1:7" ht="45" x14ac:dyDescent="0.25">
      <c r="A73" s="185"/>
      <c r="B73" s="186" t="s">
        <v>336</v>
      </c>
      <c r="C73" s="157" t="s">
        <v>331</v>
      </c>
      <c r="D73" s="164"/>
      <c r="E73" s="164"/>
      <c r="F73" s="164"/>
      <c r="G73" s="187">
        <f>G72*1.036*1.037*1.037</f>
        <v>21294.35</v>
      </c>
    </row>
    <row r="75" spans="1:7" ht="126" x14ac:dyDescent="0.25">
      <c r="A75" s="358">
        <v>10</v>
      </c>
      <c r="B75" s="358" t="s">
        <v>404</v>
      </c>
      <c r="C75" s="198" t="s">
        <v>403</v>
      </c>
      <c r="D75" s="202" t="s">
        <v>349</v>
      </c>
      <c r="E75" s="202">
        <v>450</v>
      </c>
      <c r="F75" s="204">
        <v>6.22</v>
      </c>
      <c r="G75" s="204">
        <f>E75*F75</f>
        <v>2799</v>
      </c>
    </row>
    <row r="76" spans="1:7" ht="25.5" x14ac:dyDescent="0.25">
      <c r="A76" s="356"/>
      <c r="B76" s="357" t="s">
        <v>287</v>
      </c>
      <c r="C76" s="177"/>
      <c r="D76" s="177"/>
      <c r="E76" s="177"/>
      <c r="F76" s="177"/>
      <c r="G76" s="177"/>
    </row>
    <row r="77" spans="1:7" ht="47.25" x14ac:dyDescent="0.25">
      <c r="A77" s="181"/>
      <c r="B77" s="189" t="s">
        <v>397</v>
      </c>
      <c r="C77" s="190" t="s">
        <v>398</v>
      </c>
      <c r="D77" s="191"/>
      <c r="E77" s="191">
        <v>1.07</v>
      </c>
      <c r="F77" s="191"/>
      <c r="G77" s="191"/>
    </row>
    <row r="78" spans="1:7" ht="63" x14ac:dyDescent="0.25">
      <c r="A78" s="181"/>
      <c r="B78" s="189" t="s">
        <v>330</v>
      </c>
      <c r="C78" s="190" t="s">
        <v>401</v>
      </c>
      <c r="D78" s="191"/>
      <c r="E78" s="191">
        <v>0.9</v>
      </c>
      <c r="F78" s="191"/>
      <c r="G78" s="191"/>
    </row>
    <row r="79" spans="1:7" ht="47.25" x14ac:dyDescent="0.25">
      <c r="A79" s="182"/>
      <c r="B79" s="192" t="s">
        <v>285</v>
      </c>
      <c r="C79" s="190" t="s">
        <v>402</v>
      </c>
      <c r="D79" s="191"/>
      <c r="E79" s="191">
        <v>0.99</v>
      </c>
      <c r="F79" s="193"/>
      <c r="G79" s="191"/>
    </row>
    <row r="80" spans="1:7" ht="31.5" x14ac:dyDescent="0.25">
      <c r="A80" s="183"/>
      <c r="B80" s="192" t="s">
        <v>288</v>
      </c>
      <c r="C80" s="190" t="s">
        <v>315</v>
      </c>
      <c r="D80" s="194"/>
      <c r="E80" s="194">
        <v>1</v>
      </c>
      <c r="F80" s="193"/>
      <c r="G80" s="191"/>
    </row>
    <row r="81" spans="1:7" ht="15.75" x14ac:dyDescent="0.25">
      <c r="A81" s="184"/>
      <c r="B81" s="195" t="s">
        <v>289</v>
      </c>
      <c r="C81" s="196"/>
      <c r="D81" s="197"/>
      <c r="E81" s="197"/>
      <c r="F81" s="198"/>
      <c r="G81" s="199"/>
    </row>
    <row r="82" spans="1:7" ht="15.75" x14ac:dyDescent="0.25">
      <c r="A82" s="178"/>
      <c r="B82" s="200" t="s">
        <v>16</v>
      </c>
      <c r="C82" s="201"/>
      <c r="D82" s="201"/>
      <c r="E82" s="201"/>
      <c r="F82" s="202"/>
      <c r="G82" s="203">
        <f>(G75)*E77*E78*E79*E80</f>
        <v>2668.48</v>
      </c>
    </row>
    <row r="83" spans="1:7" ht="45" x14ac:dyDescent="0.25">
      <c r="A83" s="185"/>
      <c r="B83" s="186" t="s">
        <v>336</v>
      </c>
      <c r="C83" s="157" t="s">
        <v>331</v>
      </c>
      <c r="D83" s="164"/>
      <c r="E83" s="164"/>
      <c r="F83" s="164"/>
      <c r="G83" s="187">
        <f>G82*1.036*1.037*1.037</f>
        <v>2972.91</v>
      </c>
    </row>
    <row r="85" spans="1:7" ht="126" x14ac:dyDescent="0.25">
      <c r="A85" s="200">
        <v>11</v>
      </c>
      <c r="B85" s="200" t="s">
        <v>405</v>
      </c>
      <c r="C85" s="193" t="s">
        <v>406</v>
      </c>
      <c r="D85" s="202" t="s">
        <v>317</v>
      </c>
      <c r="E85" s="202">
        <v>55</v>
      </c>
      <c r="F85" s="204">
        <v>69.569999999999993</v>
      </c>
      <c r="G85" s="204">
        <f>E85*F85</f>
        <v>3826.35</v>
      </c>
    </row>
    <row r="86" spans="1:7" ht="25.5" x14ac:dyDescent="0.25">
      <c r="A86" s="179"/>
      <c r="B86" s="180" t="s">
        <v>287</v>
      </c>
      <c r="C86" s="177"/>
      <c r="D86" s="177"/>
      <c r="E86" s="177"/>
      <c r="F86" s="177"/>
      <c r="G86" s="177"/>
    </row>
    <row r="87" spans="1:7" ht="63" x14ac:dyDescent="0.25">
      <c r="A87" s="181"/>
      <c r="B87" s="189" t="s">
        <v>330</v>
      </c>
      <c r="C87" s="190" t="s">
        <v>321</v>
      </c>
      <c r="D87" s="191"/>
      <c r="E87" s="191">
        <v>0.9</v>
      </c>
      <c r="F87" s="191"/>
      <c r="G87" s="191"/>
    </row>
    <row r="88" spans="1:7" ht="47.25" x14ac:dyDescent="0.25">
      <c r="A88" s="182"/>
      <c r="B88" s="192" t="s">
        <v>285</v>
      </c>
      <c r="C88" s="190" t="s">
        <v>322</v>
      </c>
      <c r="D88" s="191"/>
      <c r="E88" s="191">
        <v>0.99</v>
      </c>
      <c r="F88" s="193"/>
      <c r="G88" s="191"/>
    </row>
    <row r="89" spans="1:7" ht="31.5" x14ac:dyDescent="0.25">
      <c r="A89" s="183"/>
      <c r="B89" s="192" t="s">
        <v>288</v>
      </c>
      <c r="C89" s="190" t="s">
        <v>315</v>
      </c>
      <c r="D89" s="194"/>
      <c r="E89" s="194">
        <v>1</v>
      </c>
      <c r="F89" s="193"/>
      <c r="G89" s="191"/>
    </row>
    <row r="90" spans="1:7" ht="15.75" x14ac:dyDescent="0.25">
      <c r="A90" s="184"/>
      <c r="B90" s="195" t="s">
        <v>289</v>
      </c>
      <c r="C90" s="196"/>
      <c r="D90" s="197"/>
      <c r="E90" s="197"/>
      <c r="F90" s="198"/>
      <c r="G90" s="199"/>
    </row>
    <row r="91" spans="1:7" ht="15.75" x14ac:dyDescent="0.25">
      <c r="A91" s="178"/>
      <c r="B91" s="200" t="s">
        <v>16</v>
      </c>
      <c r="C91" s="201"/>
      <c r="D91" s="201"/>
      <c r="E91" s="201"/>
      <c r="F91" s="202"/>
      <c r="G91" s="203">
        <f>(G85)*E87*E88*E89</f>
        <v>3409.28</v>
      </c>
    </row>
    <row r="92" spans="1:7" ht="45" x14ac:dyDescent="0.25">
      <c r="A92" s="185"/>
      <c r="B92" s="186" t="s">
        <v>336</v>
      </c>
      <c r="C92" s="157" t="s">
        <v>331</v>
      </c>
      <c r="D92" s="164"/>
      <c r="E92" s="164"/>
      <c r="F92" s="164"/>
      <c r="G92" s="187">
        <f>G91*1.036*1.037*1.037</f>
        <v>3798.22</v>
      </c>
    </row>
    <row r="94" spans="1:7" ht="78.75" x14ac:dyDescent="0.25">
      <c r="A94" s="200">
        <v>12</v>
      </c>
      <c r="B94" s="200" t="s">
        <v>411</v>
      </c>
      <c r="C94" s="193" t="s">
        <v>409</v>
      </c>
      <c r="D94" s="202" t="s">
        <v>410</v>
      </c>
      <c r="E94" s="202">
        <f>12*2.45*53</f>
        <v>1558.2</v>
      </c>
      <c r="F94" s="204">
        <v>18.29</v>
      </c>
      <c r="G94" s="204">
        <f>E94*F94</f>
        <v>28499.48</v>
      </c>
    </row>
    <row r="95" spans="1:7" ht="25.5" x14ac:dyDescent="0.25">
      <c r="A95" s="179"/>
      <c r="B95" s="180" t="s">
        <v>287</v>
      </c>
      <c r="C95" s="177"/>
      <c r="D95" s="177"/>
      <c r="E95" s="177"/>
      <c r="F95" s="177"/>
      <c r="G95" s="177"/>
    </row>
    <row r="96" spans="1:7" ht="63" x14ac:dyDescent="0.25">
      <c r="A96" s="181"/>
      <c r="B96" s="189" t="s">
        <v>330</v>
      </c>
      <c r="C96" s="190" t="s">
        <v>407</v>
      </c>
      <c r="D96" s="191"/>
      <c r="E96" s="191">
        <v>0.69</v>
      </c>
      <c r="F96" s="191"/>
      <c r="G96" s="191"/>
    </row>
    <row r="97" spans="1:7" ht="47.25" x14ac:dyDescent="0.25">
      <c r="A97" s="182"/>
      <c r="B97" s="192" t="s">
        <v>285</v>
      </c>
      <c r="C97" s="190" t="s">
        <v>398</v>
      </c>
      <c r="D97" s="191"/>
      <c r="E97" s="191">
        <v>0.99</v>
      </c>
      <c r="F97" s="193"/>
      <c r="G97" s="191"/>
    </row>
    <row r="98" spans="1:7" ht="31.5" x14ac:dyDescent="0.25">
      <c r="A98" s="183"/>
      <c r="B98" s="192" t="s">
        <v>288</v>
      </c>
      <c r="C98" s="190" t="s">
        <v>408</v>
      </c>
      <c r="D98" s="194"/>
      <c r="E98" s="194">
        <v>1.03</v>
      </c>
      <c r="F98" s="193"/>
      <c r="G98" s="191"/>
    </row>
    <row r="99" spans="1:7" ht="15.75" x14ac:dyDescent="0.25">
      <c r="A99" s="184"/>
      <c r="B99" s="195" t="s">
        <v>289</v>
      </c>
      <c r="C99" s="196"/>
      <c r="D99" s="197"/>
      <c r="E99" s="197"/>
      <c r="F99" s="198"/>
      <c r="G99" s="199"/>
    </row>
    <row r="100" spans="1:7" ht="15.75" x14ac:dyDescent="0.25">
      <c r="A100" s="178"/>
      <c r="B100" s="200" t="s">
        <v>16</v>
      </c>
      <c r="C100" s="201"/>
      <c r="D100" s="201"/>
      <c r="E100" s="201"/>
      <c r="F100" s="202"/>
      <c r="G100" s="203">
        <f>(G94)*E96*E97*E98</f>
        <v>20052.03</v>
      </c>
    </row>
    <row r="101" spans="1:7" ht="45" x14ac:dyDescent="0.25">
      <c r="A101" s="185"/>
      <c r="B101" s="186" t="s">
        <v>336</v>
      </c>
      <c r="C101" s="157" t="s">
        <v>331</v>
      </c>
      <c r="D101" s="164"/>
      <c r="E101" s="164"/>
      <c r="F101" s="164"/>
      <c r="G101" s="187">
        <f>G100*1.036*1.037*1.037</f>
        <v>22339.61</v>
      </c>
    </row>
    <row r="103" spans="1:7" ht="94.5" x14ac:dyDescent="0.25">
      <c r="A103" s="358">
        <v>13</v>
      </c>
      <c r="B103" s="358" t="s">
        <v>453</v>
      </c>
      <c r="C103" s="198" t="s">
        <v>454</v>
      </c>
      <c r="D103" s="202" t="s">
        <v>455</v>
      </c>
      <c r="E103" s="202">
        <v>150</v>
      </c>
      <c r="F103" s="204">
        <v>345.75</v>
      </c>
      <c r="G103" s="204">
        <f>E103*F103</f>
        <v>51862.5</v>
      </c>
    </row>
    <row r="104" spans="1:7" ht="25.5" x14ac:dyDescent="0.25">
      <c r="A104" s="356"/>
      <c r="B104" s="357" t="s">
        <v>287</v>
      </c>
      <c r="C104" s="177"/>
      <c r="D104" s="177"/>
      <c r="E104" s="177"/>
      <c r="F104" s="177"/>
      <c r="G104" s="177"/>
    </row>
    <row r="105" spans="1:7" ht="47.25" x14ac:dyDescent="0.25">
      <c r="A105" s="181"/>
      <c r="B105" s="189" t="s">
        <v>397</v>
      </c>
      <c r="C105" s="190" t="s">
        <v>398</v>
      </c>
      <c r="D105" s="191"/>
      <c r="E105" s="191">
        <v>1.07</v>
      </c>
      <c r="F105" s="191"/>
      <c r="G105" s="191"/>
    </row>
    <row r="106" spans="1:7" ht="63" x14ac:dyDescent="0.25">
      <c r="A106" s="181"/>
      <c r="B106" s="189" t="s">
        <v>330</v>
      </c>
      <c r="C106" s="190" t="s">
        <v>401</v>
      </c>
      <c r="D106" s="191"/>
      <c r="E106" s="191">
        <v>0.9</v>
      </c>
      <c r="F106" s="191"/>
      <c r="G106" s="191"/>
    </row>
    <row r="107" spans="1:7" ht="47.25" x14ac:dyDescent="0.25">
      <c r="A107" s="182"/>
      <c r="B107" s="192" t="s">
        <v>285</v>
      </c>
      <c r="C107" s="190" t="s">
        <v>402</v>
      </c>
      <c r="D107" s="191"/>
      <c r="E107" s="191">
        <v>0.98</v>
      </c>
      <c r="F107" s="193"/>
      <c r="G107" s="191"/>
    </row>
    <row r="108" spans="1:7" ht="31.5" x14ac:dyDescent="0.25">
      <c r="A108" s="183"/>
      <c r="B108" s="192" t="s">
        <v>288</v>
      </c>
      <c r="C108" s="190" t="s">
        <v>315</v>
      </c>
      <c r="D108" s="194"/>
      <c r="E108" s="194">
        <v>1</v>
      </c>
      <c r="F108" s="193"/>
      <c r="G108" s="191"/>
    </row>
    <row r="109" spans="1:7" ht="15.75" x14ac:dyDescent="0.25">
      <c r="A109" s="184"/>
      <c r="B109" s="195" t="s">
        <v>289</v>
      </c>
      <c r="C109" s="196"/>
      <c r="D109" s="197"/>
      <c r="E109" s="197"/>
      <c r="F109" s="198"/>
      <c r="G109" s="199"/>
    </row>
    <row r="110" spans="1:7" ht="15.75" x14ac:dyDescent="0.25">
      <c r="A110" s="178"/>
      <c r="B110" s="200" t="s">
        <v>16</v>
      </c>
      <c r="C110" s="201"/>
      <c r="D110" s="201"/>
      <c r="E110" s="201"/>
      <c r="F110" s="202"/>
      <c r="G110" s="203">
        <f>(G103)*E105*E106*E107*E108</f>
        <v>48944.72</v>
      </c>
    </row>
    <row r="111" spans="1:7" ht="45" x14ac:dyDescent="0.25">
      <c r="A111" s="185"/>
      <c r="B111" s="186" t="s">
        <v>336</v>
      </c>
      <c r="C111" s="157" t="s">
        <v>331</v>
      </c>
      <c r="D111" s="164"/>
      <c r="E111" s="164"/>
      <c r="F111" s="164"/>
      <c r="G111" s="187">
        <f>G110*1.036*1.037*1.037</f>
        <v>54528.45</v>
      </c>
    </row>
    <row r="113" spans="1:7" ht="63" x14ac:dyDescent="0.25">
      <c r="A113" s="200">
        <v>12</v>
      </c>
      <c r="B113" s="200" t="s">
        <v>486</v>
      </c>
      <c r="C113" s="193" t="s">
        <v>457</v>
      </c>
      <c r="D113" s="202" t="s">
        <v>166</v>
      </c>
      <c r="E113" s="202">
        <v>240</v>
      </c>
      <c r="F113" s="204">
        <v>31.2</v>
      </c>
      <c r="G113" s="204">
        <f>E113*F113</f>
        <v>7488</v>
      </c>
    </row>
    <row r="114" spans="1:7" ht="25.5" x14ac:dyDescent="0.25">
      <c r="A114" s="179"/>
      <c r="B114" s="180" t="s">
        <v>287</v>
      </c>
      <c r="C114" s="177"/>
      <c r="D114" s="177"/>
      <c r="E114" s="177"/>
      <c r="F114" s="177"/>
      <c r="G114" s="177"/>
    </row>
    <row r="115" spans="1:7" ht="63" x14ac:dyDescent="0.25">
      <c r="A115" s="181"/>
      <c r="B115" s="189" t="s">
        <v>330</v>
      </c>
      <c r="C115" s="190" t="s">
        <v>407</v>
      </c>
      <c r="D115" s="191"/>
      <c r="E115" s="191">
        <v>0.69</v>
      </c>
      <c r="F115" s="191"/>
      <c r="G115" s="191"/>
    </row>
    <row r="116" spans="1:7" ht="47.25" x14ac:dyDescent="0.25">
      <c r="A116" s="182"/>
      <c r="B116" s="192" t="s">
        <v>285</v>
      </c>
      <c r="C116" s="190" t="s">
        <v>398</v>
      </c>
      <c r="D116" s="191"/>
      <c r="E116" s="191">
        <v>0.99</v>
      </c>
      <c r="F116" s="193"/>
      <c r="G116" s="191"/>
    </row>
    <row r="117" spans="1:7" ht="31.5" x14ac:dyDescent="0.25">
      <c r="A117" s="183"/>
      <c r="B117" s="192" t="s">
        <v>288</v>
      </c>
      <c r="C117" s="190" t="s">
        <v>408</v>
      </c>
      <c r="D117" s="194"/>
      <c r="E117" s="194">
        <v>1.03</v>
      </c>
      <c r="F117" s="193"/>
      <c r="G117" s="191"/>
    </row>
    <row r="118" spans="1:7" ht="15.75" x14ac:dyDescent="0.25">
      <c r="A118" s="184"/>
      <c r="B118" s="195" t="s">
        <v>289</v>
      </c>
      <c r="C118" s="196"/>
      <c r="D118" s="197"/>
      <c r="E118" s="197"/>
      <c r="F118" s="198"/>
      <c r="G118" s="199"/>
    </row>
    <row r="119" spans="1:7" ht="15.75" x14ac:dyDescent="0.25">
      <c r="A119" s="178"/>
      <c r="B119" s="200" t="s">
        <v>16</v>
      </c>
      <c r="C119" s="201"/>
      <c r="D119" s="201"/>
      <c r="E119" s="201"/>
      <c r="F119" s="202"/>
      <c r="G119" s="203">
        <f>(G113)*E115*E116*E117</f>
        <v>5268.5</v>
      </c>
    </row>
    <row r="120" spans="1:7" ht="45" x14ac:dyDescent="0.25">
      <c r="A120" s="185"/>
      <c r="B120" s="186" t="s">
        <v>336</v>
      </c>
      <c r="C120" s="157" t="s">
        <v>331</v>
      </c>
      <c r="D120" s="164"/>
      <c r="E120" s="164"/>
      <c r="F120" s="164"/>
      <c r="G120" s="187">
        <f>G119*1.036*1.037*1.037</f>
        <v>5869.54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C1" workbookViewId="0">
      <selection activeCell="M18" sqref="M18"/>
    </sheetView>
  </sheetViews>
  <sheetFormatPr defaultRowHeight="15" x14ac:dyDescent="0.25"/>
  <cols>
    <col min="2" max="2" width="30.7109375" customWidth="1"/>
    <col min="3" max="3" width="13.85546875" customWidth="1"/>
    <col min="4" max="4" width="11" customWidth="1"/>
    <col min="5" max="5" width="29.42578125" customWidth="1"/>
    <col min="6" max="6" width="12.140625" customWidth="1"/>
    <col min="7" max="7" width="12.7109375" customWidth="1"/>
    <col min="8" max="8" width="11.28515625" customWidth="1"/>
    <col min="9" max="9" width="12.42578125" customWidth="1"/>
    <col min="10" max="10" width="17.85546875" customWidth="1"/>
    <col min="11" max="11" width="15" customWidth="1"/>
    <col min="12" max="12" width="12.42578125" customWidth="1"/>
    <col min="13" max="13" width="13.85546875" customWidth="1"/>
    <col min="14" max="14" width="12.42578125" bestFit="1" customWidth="1"/>
    <col min="15" max="15" width="13.42578125" customWidth="1"/>
  </cols>
  <sheetData>
    <row r="1" spans="1:15" ht="30.75" customHeight="1" x14ac:dyDescent="0.25">
      <c r="A1" s="405" t="s">
        <v>463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3" spans="1:15" x14ac:dyDescent="0.25">
      <c r="A3" s="407" t="s">
        <v>202</v>
      </c>
      <c r="B3" s="407" t="s">
        <v>203</v>
      </c>
      <c r="C3" s="412" t="s">
        <v>214</v>
      </c>
      <c r="D3" s="408" t="s">
        <v>213</v>
      </c>
      <c r="E3" s="409" t="s">
        <v>204</v>
      </c>
      <c r="F3" s="410"/>
      <c r="G3" s="410"/>
      <c r="H3" s="410"/>
      <c r="I3" s="411"/>
      <c r="J3" s="412" t="s">
        <v>205</v>
      </c>
      <c r="K3" s="412" t="s">
        <v>333</v>
      </c>
      <c r="L3" s="412" t="s">
        <v>206</v>
      </c>
      <c r="M3" s="412" t="s">
        <v>207</v>
      </c>
    </row>
    <row r="4" spans="1:15" ht="99.75" customHeight="1" x14ac:dyDescent="0.25">
      <c r="A4" s="407"/>
      <c r="B4" s="407"/>
      <c r="C4" s="413"/>
      <c r="D4" s="408"/>
      <c r="E4" s="150" t="s">
        <v>208</v>
      </c>
      <c r="F4" s="118" t="s">
        <v>209</v>
      </c>
      <c r="G4" s="151" t="s">
        <v>210</v>
      </c>
      <c r="H4" s="151" t="s">
        <v>213</v>
      </c>
      <c r="I4" s="151" t="s">
        <v>215</v>
      </c>
      <c r="J4" s="413"/>
      <c r="K4" s="413"/>
      <c r="L4" s="413"/>
      <c r="M4" s="413"/>
    </row>
    <row r="5" spans="1:15" x14ac:dyDescent="0.25">
      <c r="A5" s="368">
        <v>1</v>
      </c>
      <c r="B5" s="209" t="s">
        <v>456</v>
      </c>
      <c r="C5" s="369" t="s">
        <v>100</v>
      </c>
      <c r="D5" s="368">
        <v>150</v>
      </c>
      <c r="E5" s="369" t="s">
        <v>290</v>
      </c>
      <c r="F5" s="369"/>
      <c r="G5" s="152"/>
      <c r="H5" s="368"/>
      <c r="I5" s="152"/>
      <c r="J5" s="152"/>
      <c r="K5" s="153"/>
      <c r="L5" s="354">
        <f>УНЦС!G111</f>
        <v>54528.45</v>
      </c>
      <c r="M5" s="152">
        <f t="shared" ref="M5" si="0">L5*1.2</f>
        <v>65434.14</v>
      </c>
      <c r="N5" s="100"/>
      <c r="O5" s="172"/>
    </row>
    <row r="6" spans="1:15" x14ac:dyDescent="0.25">
      <c r="A6" s="168">
        <v>2</v>
      </c>
      <c r="B6" s="209" t="s">
        <v>388</v>
      </c>
      <c r="C6" s="169" t="s">
        <v>166</v>
      </c>
      <c r="D6" s="168">
        <v>5500</v>
      </c>
      <c r="E6" s="169" t="s">
        <v>290</v>
      </c>
      <c r="F6" s="169"/>
      <c r="G6" s="152"/>
      <c r="H6" s="168"/>
      <c r="I6" s="152"/>
      <c r="J6" s="152"/>
      <c r="K6" s="153"/>
      <c r="L6" s="354">
        <f>УНЦС!G42</f>
        <v>16119.36</v>
      </c>
      <c r="M6" s="152">
        <f t="shared" ref="M6:M7" si="1">L6*1.2</f>
        <v>19343.23</v>
      </c>
      <c r="N6" s="100"/>
      <c r="O6" s="172"/>
    </row>
    <row r="7" spans="1:15" x14ac:dyDescent="0.25">
      <c r="A7" s="368">
        <v>3</v>
      </c>
      <c r="B7" s="151" t="s">
        <v>474</v>
      </c>
      <c r="C7" s="211" t="s">
        <v>166</v>
      </c>
      <c r="D7" s="210">
        <v>1100</v>
      </c>
      <c r="E7" s="211" t="s">
        <v>290</v>
      </c>
      <c r="F7" s="211"/>
      <c r="G7" s="152"/>
      <c r="H7" s="210"/>
      <c r="I7" s="152"/>
      <c r="J7" s="152"/>
      <c r="K7" s="153"/>
      <c r="L7" s="152">
        <f>УНЦС!G33</f>
        <v>900.11</v>
      </c>
      <c r="M7" s="152">
        <f t="shared" si="1"/>
        <v>1080.1300000000001</v>
      </c>
      <c r="N7" s="100"/>
      <c r="O7" s="172"/>
    </row>
    <row r="8" spans="1:15" ht="30" x14ac:dyDescent="0.25">
      <c r="A8" s="368">
        <v>4</v>
      </c>
      <c r="B8" s="151" t="s">
        <v>451</v>
      </c>
      <c r="C8" s="169" t="s">
        <v>100</v>
      </c>
      <c r="D8" s="168">
        <v>900</v>
      </c>
      <c r="E8" s="169" t="s">
        <v>290</v>
      </c>
      <c r="F8" s="169"/>
      <c r="G8" s="152"/>
      <c r="H8" s="168"/>
      <c r="I8" s="152"/>
      <c r="J8" s="152"/>
      <c r="K8" s="153"/>
      <c r="L8" s="152">
        <f>УНЦС!G12</f>
        <v>6822.17</v>
      </c>
      <c r="M8" s="152">
        <f t="shared" ref="M8:M17" si="2">L8*1.2</f>
        <v>8186.6</v>
      </c>
      <c r="N8" s="100"/>
      <c r="O8" s="172"/>
    </row>
    <row r="9" spans="1:15" ht="30" x14ac:dyDescent="0.25">
      <c r="A9" s="368">
        <v>5</v>
      </c>
      <c r="B9" s="151" t="s">
        <v>334</v>
      </c>
      <c r="C9" s="171" t="s">
        <v>100</v>
      </c>
      <c r="D9" s="170">
        <v>250</v>
      </c>
      <c r="E9" s="171" t="s">
        <v>290</v>
      </c>
      <c r="F9" s="171"/>
      <c r="G9" s="152"/>
      <c r="H9" s="170"/>
      <c r="I9" s="152"/>
      <c r="J9" s="152"/>
      <c r="K9" s="153"/>
      <c r="L9" s="152">
        <f>УНЦС!G23</f>
        <v>1921.07</v>
      </c>
      <c r="M9" s="152">
        <f t="shared" si="2"/>
        <v>2305.2800000000002</v>
      </c>
      <c r="N9" s="100"/>
      <c r="O9" s="172"/>
    </row>
    <row r="10" spans="1:15" x14ac:dyDescent="0.25">
      <c r="A10" s="368">
        <v>6</v>
      </c>
      <c r="B10" s="151" t="s">
        <v>391</v>
      </c>
      <c r="C10" s="347" t="s">
        <v>166</v>
      </c>
      <c r="D10" s="346">
        <v>6600</v>
      </c>
      <c r="E10" s="347" t="s">
        <v>290</v>
      </c>
      <c r="F10" s="347"/>
      <c r="G10" s="152"/>
      <c r="H10" s="346"/>
      <c r="I10" s="152"/>
      <c r="J10" s="152"/>
      <c r="K10" s="153"/>
      <c r="L10" s="152">
        <f>УНЦС!G60</f>
        <v>8799.94</v>
      </c>
      <c r="M10" s="152">
        <f t="shared" ref="M10" si="3">L10*1.2</f>
        <v>10559.93</v>
      </c>
      <c r="N10" s="100"/>
      <c r="O10" s="172"/>
    </row>
    <row r="11" spans="1:15" x14ac:dyDescent="0.25">
      <c r="A11" s="368">
        <v>7</v>
      </c>
      <c r="B11" s="151" t="s">
        <v>405</v>
      </c>
      <c r="C11" s="347" t="s">
        <v>166</v>
      </c>
      <c r="D11" s="346">
        <v>5500</v>
      </c>
      <c r="E11" s="347" t="s">
        <v>290</v>
      </c>
      <c r="F11" s="347"/>
      <c r="G11" s="152"/>
      <c r="H11" s="346"/>
      <c r="I11" s="152"/>
      <c r="J11" s="152"/>
      <c r="K11" s="153"/>
      <c r="L11" s="152">
        <f>УНЦС!G92</f>
        <v>3798.22</v>
      </c>
      <c r="M11" s="152">
        <f t="shared" ref="M11" si="4">L11*1.2</f>
        <v>4557.8599999999997</v>
      </c>
      <c r="N11" s="100"/>
      <c r="O11" s="172"/>
    </row>
    <row r="12" spans="1:15" x14ac:dyDescent="0.25">
      <c r="A12" s="368">
        <v>8</v>
      </c>
      <c r="B12" s="151" t="s">
        <v>487</v>
      </c>
      <c r="C12" s="347" t="s">
        <v>410</v>
      </c>
      <c r="D12" s="346">
        <f>3*4*2.45</f>
        <v>29.4</v>
      </c>
      <c r="E12" s="347" t="s">
        <v>290</v>
      </c>
      <c r="F12" s="347"/>
      <c r="G12" s="152"/>
      <c r="H12" s="346"/>
      <c r="I12" s="152"/>
      <c r="J12" s="152"/>
      <c r="K12" s="153"/>
      <c r="L12" s="152">
        <f>УНЦС!G101</f>
        <v>22339.61</v>
      </c>
      <c r="M12" s="152">
        <f t="shared" ref="M12" si="5">L12*1.2</f>
        <v>26807.53</v>
      </c>
      <c r="N12" s="100"/>
      <c r="O12" s="172"/>
    </row>
    <row r="13" spans="1:15" ht="23.25" customHeight="1" x14ac:dyDescent="0.25">
      <c r="A13" s="368">
        <v>9</v>
      </c>
      <c r="B13" s="151" t="s">
        <v>458</v>
      </c>
      <c r="C13" s="369" t="s">
        <v>166</v>
      </c>
      <c r="D13" s="368">
        <v>240</v>
      </c>
      <c r="E13" s="369" t="s">
        <v>290</v>
      </c>
      <c r="F13" s="369"/>
      <c r="G13" s="152"/>
      <c r="H13" s="368"/>
      <c r="I13" s="152"/>
      <c r="J13" s="152"/>
      <c r="K13" s="153"/>
      <c r="L13" s="152">
        <f>УНЦС!G120</f>
        <v>5869.54</v>
      </c>
      <c r="M13" s="152">
        <f t="shared" ref="M13:M14" si="6">L13*1.2</f>
        <v>7043.45</v>
      </c>
      <c r="N13" s="100"/>
      <c r="O13" s="172"/>
    </row>
    <row r="14" spans="1:15" ht="30" x14ac:dyDescent="0.25">
      <c r="A14" s="368">
        <v>10</v>
      </c>
      <c r="B14" s="155" t="s">
        <v>459</v>
      </c>
      <c r="C14" s="368" t="s">
        <v>216</v>
      </c>
      <c r="D14" s="368">
        <v>0</v>
      </c>
      <c r="E14" s="369" t="s">
        <v>460</v>
      </c>
      <c r="F14" s="369" t="s">
        <v>218</v>
      </c>
      <c r="G14" s="152">
        <v>61779.82</v>
      </c>
      <c r="H14" s="368">
        <v>580</v>
      </c>
      <c r="I14" s="152">
        <f>G14/H14</f>
        <v>106.52</v>
      </c>
      <c r="J14" s="152">
        <f>I14*D14</f>
        <v>0</v>
      </c>
      <c r="K14" s="153">
        <f>(1+0.074/2)*1.036*1.037*1.037</f>
        <v>1.155</v>
      </c>
      <c r="L14" s="152">
        <f>J14*K14</f>
        <v>0</v>
      </c>
      <c r="M14" s="152">
        <f t="shared" si="6"/>
        <v>0</v>
      </c>
    </row>
    <row r="15" spans="1:15" ht="105" x14ac:dyDescent="0.25">
      <c r="A15" s="368">
        <v>11</v>
      </c>
      <c r="B15" s="155" t="s">
        <v>182</v>
      </c>
      <c r="C15" s="150" t="s">
        <v>216</v>
      </c>
      <c r="D15" s="150">
        <v>500</v>
      </c>
      <c r="E15" s="118" t="s">
        <v>219</v>
      </c>
      <c r="F15" s="118" t="s">
        <v>212</v>
      </c>
      <c r="G15" s="152">
        <f>10041.08*1.124*6.15</f>
        <v>69409.97</v>
      </c>
      <c r="H15" s="150">
        <v>10708</v>
      </c>
      <c r="I15" s="152">
        <f>G15/H15</f>
        <v>6.48</v>
      </c>
      <c r="J15" s="152">
        <f>I15*D15</f>
        <v>3240</v>
      </c>
      <c r="K15" s="153">
        <f>(1+0.07/2)*1.037*1.053*1.074*1.036*1.037*1.037</f>
        <v>1.3520000000000001</v>
      </c>
      <c r="L15" s="152">
        <f>J15*K15</f>
        <v>4380.4799999999996</v>
      </c>
      <c r="M15" s="152">
        <f t="shared" si="2"/>
        <v>5256.58</v>
      </c>
    </row>
    <row r="16" spans="1:15" ht="165" x14ac:dyDescent="0.25">
      <c r="A16" s="368">
        <v>12</v>
      </c>
      <c r="B16" s="155" t="s">
        <v>176</v>
      </c>
      <c r="C16" s="150" t="s">
        <v>216</v>
      </c>
      <c r="D16" s="150">
        <v>0</v>
      </c>
      <c r="E16" s="118" t="s">
        <v>217</v>
      </c>
      <c r="F16" s="118" t="s">
        <v>218</v>
      </c>
      <c r="G16" s="152">
        <f>1386.62*7*1.26</f>
        <v>12229.99</v>
      </c>
      <c r="H16" s="150">
        <v>8165</v>
      </c>
      <c r="I16" s="152">
        <f>G16/H16</f>
        <v>1.5</v>
      </c>
      <c r="J16" s="152">
        <f>I16*D16</f>
        <v>0</v>
      </c>
      <c r="K16" s="153">
        <f>(1+0.074/2)*1.036*1.037*1.037</f>
        <v>1.155</v>
      </c>
      <c r="L16" s="152">
        <f>J16*K16</f>
        <v>0</v>
      </c>
      <c r="M16" s="152">
        <f>L16*1.2</f>
        <v>0</v>
      </c>
    </row>
    <row r="17" spans="1:15" ht="165" x14ac:dyDescent="0.25">
      <c r="A17" s="368">
        <v>13</v>
      </c>
      <c r="B17" s="155" t="s">
        <v>220</v>
      </c>
      <c r="C17" s="150" t="s">
        <v>216</v>
      </c>
      <c r="D17" s="150">
        <v>0</v>
      </c>
      <c r="E17" s="118" t="s">
        <v>221</v>
      </c>
      <c r="F17" s="118" t="s">
        <v>218</v>
      </c>
      <c r="G17" s="152">
        <f>5470.25*1.26</f>
        <v>6892.52</v>
      </c>
      <c r="H17" s="150">
        <v>3092.9</v>
      </c>
      <c r="I17" s="152">
        <f>G17/H17</f>
        <v>2.23</v>
      </c>
      <c r="J17" s="152">
        <f>I17*D17</f>
        <v>0</v>
      </c>
      <c r="K17" s="153">
        <f>(1+0.074/2)*1.036*1.037*1.037</f>
        <v>1.155</v>
      </c>
      <c r="L17" s="152">
        <f>J17*K17</f>
        <v>0</v>
      </c>
      <c r="M17" s="152">
        <f t="shared" si="2"/>
        <v>0</v>
      </c>
    </row>
    <row r="18" spans="1:15" ht="15.75" x14ac:dyDescent="0.25">
      <c r="A18" s="415" t="s">
        <v>211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7"/>
      <c r="L18" s="154">
        <f>SUM(L5:L17)</f>
        <v>125478.95</v>
      </c>
      <c r="M18" s="154">
        <f>SUM(M5:M17)</f>
        <v>150574.73000000001</v>
      </c>
      <c r="N18" s="355"/>
      <c r="O18" s="337"/>
    </row>
    <row r="20" spans="1:15" ht="33" customHeight="1" x14ac:dyDescent="0.25">
      <c r="A20" s="414" t="s">
        <v>270</v>
      </c>
      <c r="B20" s="414"/>
      <c r="C20" s="414"/>
      <c r="D20" s="414"/>
      <c r="E20" s="414"/>
      <c r="F20" s="414"/>
      <c r="G20" s="414"/>
      <c r="H20" s="414"/>
      <c r="I20" s="414"/>
      <c r="J20" s="414"/>
      <c r="K20" s="163" t="s">
        <v>268</v>
      </c>
      <c r="L20" s="163">
        <v>1.07</v>
      </c>
      <c r="M20" s="115"/>
    </row>
    <row r="21" spans="1:15" ht="18.75" customHeight="1" x14ac:dyDescent="0.25">
      <c r="A21" s="414" t="s">
        <v>271</v>
      </c>
      <c r="B21" s="414"/>
      <c r="C21" s="414"/>
      <c r="D21" s="414"/>
      <c r="E21" s="414"/>
      <c r="F21" s="414"/>
      <c r="G21" s="414"/>
      <c r="H21" s="414"/>
      <c r="I21" s="414"/>
      <c r="J21" s="414"/>
      <c r="K21" s="163" t="s">
        <v>269</v>
      </c>
      <c r="L21" s="163">
        <v>1.0369999999999999</v>
      </c>
    </row>
    <row r="22" spans="1:15" ht="15" customHeight="1" x14ac:dyDescent="0.25">
      <c r="A22" s="418" t="s">
        <v>272</v>
      </c>
      <c r="B22" s="418"/>
      <c r="C22" s="418"/>
      <c r="D22" s="418"/>
      <c r="E22" s="418"/>
      <c r="F22" s="418"/>
      <c r="G22" s="418"/>
      <c r="H22" s="418"/>
      <c r="I22" s="418"/>
      <c r="J22" s="419"/>
      <c r="K22" s="163" t="s">
        <v>273</v>
      </c>
      <c r="L22" s="163">
        <v>1.0529999999999999</v>
      </c>
    </row>
    <row r="23" spans="1:15" x14ac:dyDescent="0.25">
      <c r="A23" s="420"/>
      <c r="B23" s="420"/>
      <c r="C23" s="420"/>
      <c r="D23" s="420"/>
      <c r="E23" s="420"/>
      <c r="F23" s="420"/>
      <c r="G23" s="420"/>
      <c r="H23" s="420"/>
      <c r="I23" s="420"/>
      <c r="J23" s="421"/>
      <c r="K23" s="163" t="s">
        <v>274</v>
      </c>
      <c r="L23" s="164">
        <v>1.0740000000000001</v>
      </c>
    </row>
    <row r="24" spans="1:15" x14ac:dyDescent="0.25">
      <c r="A24" s="420"/>
      <c r="B24" s="420"/>
      <c r="C24" s="420"/>
      <c r="D24" s="420"/>
      <c r="E24" s="420"/>
      <c r="F24" s="420"/>
      <c r="G24" s="420"/>
      <c r="H24" s="420"/>
      <c r="I24" s="420"/>
      <c r="J24" s="421"/>
      <c r="K24" s="163" t="s">
        <v>275</v>
      </c>
      <c r="L24" s="164">
        <v>1.036</v>
      </c>
    </row>
    <row r="25" spans="1:15" x14ac:dyDescent="0.25">
      <c r="A25" s="422"/>
      <c r="B25" s="422"/>
      <c r="C25" s="422"/>
      <c r="D25" s="422"/>
      <c r="E25" s="422"/>
      <c r="F25" s="422"/>
      <c r="G25" s="422"/>
      <c r="H25" s="422"/>
      <c r="I25" s="422"/>
      <c r="J25" s="423"/>
      <c r="K25" s="163" t="s">
        <v>279</v>
      </c>
      <c r="L25" s="164">
        <v>1.0369999999999999</v>
      </c>
    </row>
    <row r="26" spans="1:15" x14ac:dyDescent="0.25">
      <c r="K26" s="163" t="s">
        <v>332</v>
      </c>
      <c r="L26" s="164">
        <v>1.0369999999999999</v>
      </c>
    </row>
  </sheetData>
  <mergeCells count="14">
    <mergeCell ref="A20:J20"/>
    <mergeCell ref="A21:J21"/>
    <mergeCell ref="A18:K18"/>
    <mergeCell ref="C3:C4"/>
    <mergeCell ref="A22:J25"/>
    <mergeCell ref="A1:N1"/>
    <mergeCell ref="A3:A4"/>
    <mergeCell ref="B3:B4"/>
    <mergeCell ref="D3:D4"/>
    <mergeCell ref="E3:I3"/>
    <mergeCell ref="J3:J4"/>
    <mergeCell ref="K3:K4"/>
    <mergeCell ref="L3:L4"/>
    <mergeCell ref="M3:M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1" zoomScaleNormal="100" zoomScaleSheetLayoutView="100" workbookViewId="0">
      <selection activeCell="A19" sqref="A19"/>
    </sheetView>
  </sheetViews>
  <sheetFormatPr defaultRowHeight="15" x14ac:dyDescent="0.25"/>
  <cols>
    <col min="1" max="1" width="30.28515625" customWidth="1"/>
    <col min="2" max="2" width="30.140625" customWidth="1"/>
    <col min="3" max="3" width="39.140625" customWidth="1"/>
  </cols>
  <sheetData>
    <row r="1" spans="1:3" x14ac:dyDescent="0.25">
      <c r="A1" s="427" t="s">
        <v>114</v>
      </c>
      <c r="B1" s="427"/>
      <c r="C1" s="427"/>
    </row>
    <row r="2" spans="1:3" x14ac:dyDescent="0.25">
      <c r="A2" s="427" t="s">
        <v>115</v>
      </c>
      <c r="B2" s="427"/>
      <c r="C2" s="427"/>
    </row>
    <row r="3" spans="1:3" ht="31.15" customHeight="1" x14ac:dyDescent="0.25">
      <c r="A3" s="428" t="str">
        <f>НМЦ!A3</f>
        <v>Всесезонный туристско-рекреационный комплекс «Эльбрус», Кабардино-Балкарская Республика. Благоустройство центральной части Поляны Азау 1 этап</v>
      </c>
      <c r="B3" s="428"/>
      <c r="C3" s="428"/>
    </row>
    <row r="4" spans="1:3" ht="129" customHeight="1" x14ac:dyDescent="0.25">
      <c r="A4" s="429" t="s">
        <v>434</v>
      </c>
      <c r="B4" s="429"/>
      <c r="C4" s="429"/>
    </row>
    <row r="5" spans="1:3" ht="23.25" customHeight="1" x14ac:dyDescent="0.25">
      <c r="A5" s="426" t="s">
        <v>126</v>
      </c>
      <c r="B5" s="426"/>
      <c r="C5" s="426"/>
    </row>
    <row r="6" spans="1:3" ht="70.5" customHeight="1" x14ac:dyDescent="0.25">
      <c r="A6" s="424" t="s">
        <v>475</v>
      </c>
      <c r="B6" s="424"/>
      <c r="C6" s="424"/>
    </row>
    <row r="7" spans="1:3" ht="26.25" customHeight="1" x14ac:dyDescent="0.25">
      <c r="A7" s="430" t="s">
        <v>138</v>
      </c>
      <c r="B7" s="430"/>
      <c r="C7" s="430"/>
    </row>
    <row r="8" spans="1:3" ht="28.5" customHeight="1" x14ac:dyDescent="0.25">
      <c r="A8" s="425" t="s">
        <v>495</v>
      </c>
      <c r="B8" s="425"/>
      <c r="C8" s="425"/>
    </row>
    <row r="9" spans="1:3" ht="49.5" customHeight="1" x14ac:dyDescent="0.25">
      <c r="A9" s="431" t="s">
        <v>265</v>
      </c>
      <c r="B9" s="431"/>
      <c r="C9" s="431"/>
    </row>
    <row r="10" spans="1:3" ht="20.25" customHeight="1" x14ac:dyDescent="0.25">
      <c r="A10" s="432" t="s">
        <v>127</v>
      </c>
      <c r="B10" s="432"/>
      <c r="C10" s="432"/>
    </row>
    <row r="11" spans="1:3" ht="70.5" customHeight="1" x14ac:dyDescent="0.25">
      <c r="A11" s="424" t="s">
        <v>264</v>
      </c>
      <c r="B11" s="424"/>
      <c r="C11" s="424"/>
    </row>
    <row r="12" spans="1:3" ht="34.5" customHeight="1" x14ac:dyDescent="0.25">
      <c r="A12" s="436" t="s">
        <v>137</v>
      </c>
      <c r="B12" s="436"/>
      <c r="C12" s="436"/>
    </row>
    <row r="13" spans="1:3" ht="31.5" customHeight="1" x14ac:dyDescent="0.25">
      <c r="A13" s="425" t="s">
        <v>495</v>
      </c>
      <c r="B13" s="425"/>
      <c r="C13" s="425"/>
    </row>
    <row r="14" spans="1:3" ht="40.5" customHeight="1" x14ac:dyDescent="0.25">
      <c r="A14" s="431" t="s">
        <v>265</v>
      </c>
      <c r="B14" s="431"/>
      <c r="C14" s="431"/>
    </row>
    <row r="15" spans="1:3" ht="19.5" customHeight="1" x14ac:dyDescent="0.25">
      <c r="A15" s="431" t="s">
        <v>266</v>
      </c>
      <c r="B15" s="431"/>
      <c r="C15" s="431"/>
    </row>
    <row r="16" spans="1:3" ht="18.75" customHeight="1" x14ac:dyDescent="0.25">
      <c r="A16" s="431" t="s">
        <v>267</v>
      </c>
      <c r="B16" s="431"/>
      <c r="C16" s="431"/>
    </row>
    <row r="17" spans="1:3" ht="29.25" customHeight="1" x14ac:dyDescent="0.25">
      <c r="A17" s="217" t="s">
        <v>123</v>
      </c>
      <c r="B17" s="218"/>
      <c r="C17" s="217"/>
    </row>
    <row r="18" spans="1:3" x14ac:dyDescent="0.25">
      <c r="A18" s="434"/>
      <c r="B18" s="435"/>
      <c r="C18" s="435"/>
    </row>
    <row r="19" spans="1:3" x14ac:dyDescent="0.25">
      <c r="A19" s="112"/>
      <c r="B19" s="113">
        <f>НМЦ!E17</f>
        <v>17355444</v>
      </c>
      <c r="C19" s="112" t="s">
        <v>116</v>
      </c>
    </row>
    <row r="20" spans="1:3" ht="46.5" customHeight="1" x14ac:dyDescent="0.25">
      <c r="A20" s="433" t="s">
        <v>125</v>
      </c>
      <c r="B20" s="433"/>
      <c r="C20" s="111" t="s">
        <v>124</v>
      </c>
    </row>
  </sheetData>
  <mergeCells count="18">
    <mergeCell ref="A9:C9"/>
    <mergeCell ref="A10:C10"/>
    <mergeCell ref="A11:C11"/>
    <mergeCell ref="A20:B20"/>
    <mergeCell ref="A18:C18"/>
    <mergeCell ref="A13:C13"/>
    <mergeCell ref="A12:C12"/>
    <mergeCell ref="A14:C14"/>
    <mergeCell ref="A15:C15"/>
    <mergeCell ref="A16:C16"/>
    <mergeCell ref="A6:C6"/>
    <mergeCell ref="A8:C8"/>
    <mergeCell ref="A5:C5"/>
    <mergeCell ref="A1:C1"/>
    <mergeCell ref="A2:C2"/>
    <mergeCell ref="A3:C3"/>
    <mergeCell ref="A4:C4"/>
    <mergeCell ref="A7:C7"/>
  </mergeCells>
  <pageMargins left="0.7" right="0.7" top="0.75" bottom="0.75" header="0.3" footer="0.3"/>
  <pageSetup paperSize="9" scale="8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view="pageBreakPreview" zoomScale="60" zoomScaleNormal="100" workbookViewId="0">
      <selection activeCell="Q33" sqref="Q33"/>
    </sheetView>
  </sheetViews>
  <sheetFormatPr defaultRowHeight="15" x14ac:dyDescent="0.25"/>
  <cols>
    <col min="7" max="7" width="15.28515625" customWidth="1"/>
  </cols>
  <sheetData>
    <row r="1" spans="1:16" ht="15.75" x14ac:dyDescent="0.25">
      <c r="A1" s="437" t="s">
        <v>245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162"/>
    </row>
    <row r="2" spans="1:16" ht="15.75" x14ac:dyDescent="0.25">
      <c r="A2" s="437" t="s">
        <v>246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162"/>
    </row>
    <row r="3" spans="1:16" ht="15.75" x14ac:dyDescent="0.25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162"/>
    </row>
    <row r="4" spans="1:16" ht="34.5" customHeight="1" x14ac:dyDescent="0.25">
      <c r="A4" s="360" t="s">
        <v>247</v>
      </c>
      <c r="B4" s="219"/>
      <c r="C4" s="441" t="str">
        <f>НМЦК!B2</f>
        <v>Всесезонный туристско-рекреационный комплекс «Эльбрус», Кабардино-Балкарская Республика. Благоустройство центральной части Поляны Азау 1 этап</v>
      </c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219"/>
      <c r="P4" s="162"/>
    </row>
    <row r="5" spans="1:16" ht="15.75" x14ac:dyDescent="0.25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162"/>
    </row>
    <row r="6" spans="1:16" ht="15.75" x14ac:dyDescent="0.25">
      <c r="A6" s="438" t="s">
        <v>248</v>
      </c>
      <c r="B6" s="438"/>
      <c r="C6" s="438"/>
      <c r="D6" s="438"/>
      <c r="E6" s="438"/>
      <c r="F6" s="438"/>
      <c r="G6" s="221">
        <f>НМЦ!E17</f>
        <v>17355444</v>
      </c>
      <c r="H6" s="220"/>
      <c r="I6" s="220"/>
      <c r="J6" s="220"/>
      <c r="K6" s="220"/>
      <c r="L6" s="220"/>
      <c r="M6" s="220"/>
      <c r="N6" s="220"/>
      <c r="O6" s="220"/>
      <c r="P6" s="162"/>
    </row>
    <row r="7" spans="1:16" ht="15.75" customHeight="1" x14ac:dyDescent="0.25">
      <c r="A7" s="442" t="s">
        <v>500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377"/>
      <c r="P7" s="162"/>
    </row>
    <row r="8" spans="1:16" ht="15.75" x14ac:dyDescent="0.25">
      <c r="A8" s="219" t="s">
        <v>249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162"/>
    </row>
    <row r="9" spans="1:16" ht="15.75" x14ac:dyDescent="0.25">
      <c r="A9" s="222" t="s">
        <v>353</v>
      </c>
      <c r="B9" s="222"/>
      <c r="C9" s="222"/>
      <c r="D9" s="222"/>
      <c r="E9" s="222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162"/>
    </row>
    <row r="10" spans="1:16" ht="15.75" x14ac:dyDescent="0.25">
      <c r="A10" s="223"/>
      <c r="B10" s="224" t="s">
        <v>250</v>
      </c>
      <c r="C10" s="222"/>
      <c r="D10" s="222"/>
      <c r="E10" s="222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162"/>
    </row>
    <row r="11" spans="1:16" ht="15.75" x14ac:dyDescent="0.25">
      <c r="A11" s="223"/>
      <c r="B11" s="224" t="s">
        <v>251</v>
      </c>
      <c r="C11" s="222"/>
      <c r="D11" s="222"/>
      <c r="E11" s="222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162"/>
    </row>
    <row r="12" spans="1:16" ht="15.75" x14ac:dyDescent="0.25">
      <c r="A12" s="223"/>
      <c r="B12" s="224" t="s">
        <v>252</v>
      </c>
      <c r="C12" s="222"/>
      <c r="D12" s="222"/>
      <c r="E12" s="222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162"/>
    </row>
    <row r="13" spans="1:16" ht="15.75" x14ac:dyDescent="0.25">
      <c r="A13" s="222"/>
      <c r="B13" s="224" t="s">
        <v>253</v>
      </c>
      <c r="C13" s="222"/>
      <c r="D13" s="222"/>
      <c r="E13" s="222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162"/>
    </row>
    <row r="14" spans="1:16" ht="15.75" x14ac:dyDescent="0.25">
      <c r="A14" s="222"/>
      <c r="B14" s="224" t="s">
        <v>346</v>
      </c>
      <c r="C14" s="222"/>
      <c r="D14" s="222"/>
      <c r="E14" s="222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162"/>
    </row>
    <row r="15" spans="1:16" ht="15.75" x14ac:dyDescent="0.25">
      <c r="A15" s="222" t="s">
        <v>351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162"/>
    </row>
    <row r="16" spans="1:16" ht="15.75" x14ac:dyDescent="0.25">
      <c r="A16" s="222" t="s">
        <v>352</v>
      </c>
      <c r="B16" s="222"/>
      <c r="C16" s="222"/>
      <c r="D16" s="222"/>
      <c r="E16" s="222"/>
      <c r="F16" s="222"/>
      <c r="G16" s="222"/>
      <c r="H16" s="222"/>
      <c r="I16" s="222"/>
      <c r="J16" s="219"/>
      <c r="K16" s="219"/>
      <c r="L16" s="219"/>
      <c r="M16" s="219"/>
      <c r="N16" s="219"/>
      <c r="O16" s="219"/>
      <c r="P16" s="162"/>
    </row>
    <row r="17" spans="1:16" ht="15.75" x14ac:dyDescent="0.25">
      <c r="A17" s="222" t="s">
        <v>347</v>
      </c>
      <c r="B17" s="222"/>
      <c r="C17" s="222"/>
      <c r="D17" s="222"/>
      <c r="E17" s="222"/>
      <c r="F17" s="222"/>
      <c r="G17" s="222"/>
      <c r="H17" s="222"/>
      <c r="I17" s="222"/>
      <c r="J17" s="219"/>
      <c r="K17" s="219"/>
      <c r="L17" s="219"/>
      <c r="M17" s="219"/>
      <c r="N17" s="219"/>
      <c r="O17" s="219"/>
      <c r="P17" s="162"/>
    </row>
    <row r="18" spans="1:16" ht="15.75" x14ac:dyDescent="0.25">
      <c r="A18" s="222" t="s">
        <v>254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19"/>
      <c r="M18" s="219"/>
      <c r="N18" s="219"/>
      <c r="O18" s="219"/>
      <c r="P18" s="162"/>
    </row>
    <row r="19" spans="1:16" ht="32.25" customHeight="1" x14ac:dyDescent="0.25">
      <c r="A19" s="440" t="s">
        <v>354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225"/>
      <c r="P19" s="162"/>
    </row>
    <row r="20" spans="1:16" ht="29.25" customHeight="1" x14ac:dyDescent="0.25">
      <c r="A20" s="439" t="s">
        <v>355</v>
      </c>
      <c r="B20" s="439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219"/>
      <c r="P20" s="162"/>
    </row>
    <row r="21" spans="1:16" ht="15.75" x14ac:dyDescent="0.25">
      <c r="A21" s="222" t="s">
        <v>255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19"/>
      <c r="M21" s="219"/>
      <c r="N21" s="219"/>
      <c r="O21" s="219"/>
      <c r="P21" s="162"/>
    </row>
    <row r="22" spans="1:16" ht="15.75" x14ac:dyDescent="0.25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19"/>
      <c r="M22" s="219"/>
      <c r="N22" s="219"/>
      <c r="O22" s="219"/>
      <c r="P22" s="162"/>
    </row>
    <row r="23" spans="1:16" ht="15.75" x14ac:dyDescent="0.25">
      <c r="A23" s="222" t="s">
        <v>256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19"/>
      <c r="M23" s="219"/>
      <c r="N23" s="219"/>
      <c r="O23" s="219"/>
      <c r="P23" s="162"/>
    </row>
    <row r="24" spans="1:16" ht="15.75" x14ac:dyDescent="0.25">
      <c r="A24" s="222" t="s">
        <v>257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19"/>
      <c r="M24" s="219"/>
      <c r="N24" s="219"/>
      <c r="O24" s="219"/>
      <c r="P24" s="162"/>
    </row>
    <row r="25" spans="1:16" ht="15.75" x14ac:dyDescent="0.25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19"/>
      <c r="M25" s="219"/>
      <c r="N25" s="219"/>
      <c r="O25" s="219"/>
      <c r="P25" s="162"/>
    </row>
    <row r="26" spans="1:16" ht="15.75" x14ac:dyDescent="0.25">
      <c r="A26" s="219" t="s">
        <v>258</v>
      </c>
      <c r="B26" s="219"/>
      <c r="C26" s="219"/>
      <c r="D26" s="219"/>
      <c r="E26" s="219"/>
      <c r="F26" s="219"/>
      <c r="G26" s="222"/>
      <c r="H26" s="228"/>
      <c r="I26" s="228"/>
      <c r="J26" s="228"/>
      <c r="K26" s="228"/>
      <c r="L26" s="228"/>
      <c r="O26" s="226"/>
      <c r="P26" s="162"/>
    </row>
    <row r="27" spans="1:16" ht="15.75" x14ac:dyDescent="0.25">
      <c r="A27" s="219"/>
      <c r="B27" s="219"/>
      <c r="C27" s="219"/>
      <c r="D27" s="219"/>
      <c r="E27" s="219"/>
      <c r="F27" s="219"/>
      <c r="G27" s="222"/>
      <c r="H27" s="227" t="s">
        <v>259</v>
      </c>
      <c r="I27" s="227"/>
      <c r="J27" s="227"/>
      <c r="K27" s="219"/>
      <c r="L27" s="219"/>
      <c r="O27" s="219"/>
      <c r="P27" s="162"/>
    </row>
  </sheetData>
  <mergeCells count="7">
    <mergeCell ref="A1:O1"/>
    <mergeCell ref="A2:O2"/>
    <mergeCell ref="A6:F6"/>
    <mergeCell ref="A20:N20"/>
    <mergeCell ref="A19:N19"/>
    <mergeCell ref="C4:N4"/>
    <mergeCell ref="A7:N7"/>
  </mergeCells>
  <pageMargins left="0.7" right="0.7" top="0.75" bottom="0.75" header="0.3" footer="0.3"/>
  <pageSetup paperSize="9" scale="6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view="pageBreakPreview" zoomScaleNormal="100" zoomScaleSheetLayoutView="100" workbookViewId="0">
      <selection activeCell="C6" sqref="C6:C7"/>
    </sheetView>
  </sheetViews>
  <sheetFormatPr defaultRowHeight="15" x14ac:dyDescent="0.25"/>
  <cols>
    <col min="1" max="1" width="5.42578125" customWidth="1"/>
    <col min="2" max="2" width="52.42578125" customWidth="1"/>
    <col min="3" max="3" width="16.140625" customWidth="1"/>
    <col min="4" max="4" width="18" customWidth="1"/>
    <col min="5" max="5" width="16.140625" customWidth="1"/>
    <col min="6" max="6" width="15.42578125" customWidth="1"/>
    <col min="7" max="7" width="11.42578125" bestFit="1" customWidth="1"/>
    <col min="10" max="10" width="11.7109375" bestFit="1" customWidth="1"/>
    <col min="12" max="12" width="12" bestFit="1" customWidth="1"/>
    <col min="13" max="13" width="12.42578125" bestFit="1" customWidth="1"/>
    <col min="16" max="16" width="9.85546875" bestFit="1" customWidth="1"/>
  </cols>
  <sheetData>
    <row r="1" spans="1:19" ht="15.75" x14ac:dyDescent="0.25">
      <c r="A1" s="444" t="s">
        <v>105</v>
      </c>
      <c r="B1" s="444"/>
      <c r="C1" s="444"/>
      <c r="D1" s="444"/>
      <c r="E1" s="444"/>
    </row>
    <row r="2" spans="1:19" ht="24.6" customHeight="1" x14ac:dyDescent="0.25">
      <c r="A2" s="444" t="s">
        <v>163</v>
      </c>
      <c r="B2" s="444"/>
      <c r="C2" s="444"/>
      <c r="D2" s="444"/>
      <c r="E2" s="444"/>
    </row>
    <row r="3" spans="1:19" ht="37.5" customHeight="1" x14ac:dyDescent="0.25">
      <c r="A3" s="445" t="str">
        <f>НМЦК!B2</f>
        <v>Всесезонный туристско-рекреационный комплекс «Эльбрус», Кабардино-Балкарская Республика. Благоустройство центральной части Поляны Азау 1 этап</v>
      </c>
      <c r="B3" s="446"/>
      <c r="C3" s="446"/>
      <c r="D3" s="446"/>
      <c r="E3" s="446"/>
    </row>
    <row r="4" spans="1:19" ht="15.75" x14ac:dyDescent="0.25">
      <c r="A4" s="248"/>
      <c r="B4" s="249"/>
      <c r="C4" s="249"/>
      <c r="D4" s="249"/>
      <c r="E4" s="249"/>
    </row>
    <row r="5" spans="1:19" ht="15.75" x14ac:dyDescent="0.25">
      <c r="A5" s="229" t="s">
        <v>323</v>
      </c>
      <c r="B5" s="229"/>
      <c r="C5" s="250" t="s">
        <v>443</v>
      </c>
      <c r="D5" s="230"/>
      <c r="E5" s="229"/>
    </row>
    <row r="6" spans="1:19" ht="15.75" x14ac:dyDescent="0.25">
      <c r="A6" s="229" t="s">
        <v>103</v>
      </c>
      <c r="B6" s="229"/>
      <c r="C6" s="231"/>
      <c r="D6" s="230"/>
      <c r="E6" s="229"/>
    </row>
    <row r="7" spans="1:19" ht="15.75" x14ac:dyDescent="0.25">
      <c r="A7" s="229" t="s">
        <v>104</v>
      </c>
      <c r="B7" s="229"/>
      <c r="C7" s="231"/>
      <c r="D7" s="230"/>
      <c r="E7" s="229"/>
    </row>
    <row r="8" spans="1:19" ht="15.75" x14ac:dyDescent="0.25">
      <c r="A8" s="229"/>
      <c r="B8" s="232"/>
      <c r="C8" s="232"/>
      <c r="D8" s="232"/>
      <c r="E8" s="232"/>
    </row>
    <row r="9" spans="1:19" ht="15.75" customHeight="1" x14ac:dyDescent="0.25">
      <c r="A9" s="447" t="s">
        <v>107</v>
      </c>
      <c r="B9" s="447" t="s">
        <v>108</v>
      </c>
      <c r="C9" s="447" t="s">
        <v>324</v>
      </c>
      <c r="D9" s="447"/>
      <c r="E9" s="447"/>
    </row>
    <row r="10" spans="1:19" ht="15.75" customHeight="1" x14ac:dyDescent="0.25">
      <c r="A10" s="447"/>
      <c r="B10" s="447"/>
      <c r="C10" s="447"/>
      <c r="D10" s="447"/>
      <c r="E10" s="447"/>
    </row>
    <row r="11" spans="1:19" ht="15.75" x14ac:dyDescent="0.25">
      <c r="A11" s="447"/>
      <c r="B11" s="447"/>
      <c r="C11" s="233" t="s">
        <v>109</v>
      </c>
      <c r="D11" s="233" t="s">
        <v>164</v>
      </c>
      <c r="E11" s="233" t="s">
        <v>110</v>
      </c>
    </row>
    <row r="12" spans="1:19" ht="15.75" x14ac:dyDescent="0.25">
      <c r="A12" s="233">
        <v>1</v>
      </c>
      <c r="B12" s="233">
        <v>2</v>
      </c>
      <c r="C12" s="233">
        <v>3</v>
      </c>
      <c r="D12" s="233">
        <v>4</v>
      </c>
      <c r="E12" s="233">
        <v>5</v>
      </c>
      <c r="F12" s="104"/>
      <c r="G12" s="103"/>
    </row>
    <row r="13" spans="1:19" ht="15.75" x14ac:dyDescent="0.25">
      <c r="A13" s="234">
        <v>1</v>
      </c>
      <c r="B13" s="235" t="s">
        <v>111</v>
      </c>
      <c r="C13" s="236">
        <f>НМЦК!F13</f>
        <v>6295646</v>
      </c>
      <c r="D13" s="237">
        <f t="shared" ref="D13:D16" si="0">C13*0.2</f>
        <v>1259129.2</v>
      </c>
      <c r="E13" s="237">
        <f t="shared" ref="E13:E16" si="1">C13+D13</f>
        <v>7554775.2000000002</v>
      </c>
      <c r="G13" s="100"/>
      <c r="H13" s="443"/>
      <c r="I13" s="443"/>
      <c r="J13" s="443"/>
      <c r="K13" s="443"/>
      <c r="L13" s="115"/>
      <c r="M13" s="116"/>
      <c r="N13" s="114"/>
      <c r="O13" s="114"/>
      <c r="P13" s="114"/>
      <c r="Q13" s="114"/>
      <c r="R13" s="114"/>
      <c r="S13" s="114"/>
    </row>
    <row r="14" spans="1:19" ht="35.450000000000003" customHeight="1" x14ac:dyDescent="0.25">
      <c r="A14" s="234">
        <v>2</v>
      </c>
      <c r="B14" s="235" t="s">
        <v>113</v>
      </c>
      <c r="C14" s="236">
        <f>НМЦК!F14*1.02</f>
        <v>6161380</v>
      </c>
      <c r="D14" s="237">
        <f t="shared" si="0"/>
        <v>1232276</v>
      </c>
      <c r="E14" s="237">
        <f t="shared" si="1"/>
        <v>7393656</v>
      </c>
      <c r="F14" s="102"/>
      <c r="L14" s="114"/>
      <c r="M14" s="114"/>
      <c r="N14" s="114"/>
      <c r="O14" s="114"/>
      <c r="P14" s="114"/>
      <c r="Q14" s="114"/>
      <c r="R14" s="114"/>
      <c r="S14" s="114"/>
    </row>
    <row r="15" spans="1:19" ht="15.75" x14ac:dyDescent="0.25">
      <c r="A15" s="234">
        <v>3</v>
      </c>
      <c r="B15" s="235" t="s">
        <v>345</v>
      </c>
      <c r="C15" s="236">
        <f>НМЦК!F16*1.02</f>
        <v>210020</v>
      </c>
      <c r="D15" s="237">
        <f>C15*0.2</f>
        <v>42004</v>
      </c>
      <c r="E15" s="237">
        <f t="shared" ref="E15" si="2">C15+D15</f>
        <v>252024</v>
      </c>
    </row>
    <row r="16" spans="1:19" ht="44.25" customHeight="1" x14ac:dyDescent="0.25">
      <c r="A16" s="234">
        <v>4</v>
      </c>
      <c r="B16" s="235" t="s">
        <v>168</v>
      </c>
      <c r="C16" s="236">
        <f>НМЦК!F15*1.02</f>
        <v>1795824</v>
      </c>
      <c r="D16" s="237">
        <f t="shared" si="0"/>
        <v>359164.8</v>
      </c>
      <c r="E16" s="237">
        <f t="shared" si="1"/>
        <v>2154988.7999999998</v>
      </c>
      <c r="L16" s="114"/>
      <c r="M16" s="114"/>
      <c r="N16" s="114"/>
      <c r="O16" s="114"/>
      <c r="P16" s="114"/>
      <c r="Q16" s="114"/>
      <c r="R16" s="114"/>
      <c r="S16" s="114"/>
    </row>
    <row r="17" spans="1:16" ht="15.75" x14ac:dyDescent="0.25">
      <c r="A17" s="238"/>
      <c r="B17" s="238" t="s">
        <v>16</v>
      </c>
      <c r="C17" s="239">
        <f>C13+C14+C16+C15</f>
        <v>14462870</v>
      </c>
      <c r="D17" s="240">
        <f>D13+D14+D16+D15</f>
        <v>2892574</v>
      </c>
      <c r="E17" s="240">
        <f>E13+E14+E16+E15</f>
        <v>17355444</v>
      </c>
      <c r="J17" s="100"/>
      <c r="L17" s="100"/>
      <c r="M17" s="141"/>
      <c r="P17" s="100"/>
    </row>
    <row r="18" spans="1:16" ht="31.5" x14ac:dyDescent="0.25">
      <c r="A18" s="241"/>
      <c r="B18" s="242" t="s">
        <v>112</v>
      </c>
      <c r="C18" s="243">
        <f>НМЦК!F18-НМЦК!D18</f>
        <v>49011</v>
      </c>
      <c r="D18" s="244">
        <f>C18*0.2</f>
        <v>9802.2000000000007</v>
      </c>
      <c r="E18" s="244">
        <f>C18+D18</f>
        <v>58813.2</v>
      </c>
      <c r="G18" s="100"/>
      <c r="H18" s="100"/>
    </row>
    <row r="19" spans="1:16" ht="15.75" x14ac:dyDescent="0.25">
      <c r="A19" s="97"/>
      <c r="B19" s="98"/>
      <c r="C19" s="99"/>
      <c r="D19" s="99"/>
      <c r="E19" s="99" t="s">
        <v>78</v>
      </c>
      <c r="F19" s="122"/>
    </row>
    <row r="20" spans="1:16" ht="15.75" x14ac:dyDescent="0.25">
      <c r="A20" s="232"/>
      <c r="B20" s="232"/>
      <c r="C20" s="232"/>
      <c r="D20" s="245"/>
      <c r="E20" s="245"/>
      <c r="F20" s="117"/>
    </row>
    <row r="21" spans="1:16" ht="15.75" x14ac:dyDescent="0.25">
      <c r="A21" s="232"/>
      <c r="B21" s="219" t="s">
        <v>263</v>
      </c>
      <c r="C21" s="246">
        <f>НМЦК!F17</f>
        <v>160141</v>
      </c>
      <c r="D21" s="247">
        <f>C21*0.2</f>
        <v>32028.2</v>
      </c>
      <c r="E21" s="247">
        <f>C21+D21</f>
        <v>192169.2</v>
      </c>
    </row>
  </sheetData>
  <mergeCells count="7">
    <mergeCell ref="H13:K13"/>
    <mergeCell ref="A1:E1"/>
    <mergeCell ref="A3:E3"/>
    <mergeCell ref="A9:A11"/>
    <mergeCell ref="B9:B11"/>
    <mergeCell ref="A2:E2"/>
    <mergeCell ref="C9:E10"/>
  </mergeCells>
  <pageMargins left="0.7" right="0.7" top="0.75" bottom="0.75" header="0.3" footer="0.3"/>
  <pageSetup paperSize="9"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view="pageBreakPreview" zoomScale="85" zoomScaleNormal="100" zoomScaleSheetLayoutView="85" workbookViewId="0">
      <selection activeCell="F18" sqref="F18"/>
    </sheetView>
  </sheetViews>
  <sheetFormatPr defaultRowHeight="15" x14ac:dyDescent="0.25"/>
  <cols>
    <col min="1" max="1" width="41.28515625" customWidth="1"/>
    <col min="2" max="2" width="25.140625" customWidth="1"/>
    <col min="3" max="3" width="15.28515625" customWidth="1"/>
    <col min="4" max="4" width="25.85546875" customWidth="1"/>
    <col min="5" max="5" width="15.28515625" customWidth="1"/>
    <col min="6" max="6" width="25.7109375" customWidth="1"/>
    <col min="7" max="7" width="26.7109375" hidden="1" customWidth="1"/>
    <col min="8" max="8" width="10.28515625" bestFit="1" customWidth="1"/>
  </cols>
  <sheetData>
    <row r="1" spans="1:9" ht="37.5" customHeight="1" x14ac:dyDescent="0.25">
      <c r="A1" s="450" t="s">
        <v>224</v>
      </c>
      <c r="B1" s="450"/>
      <c r="C1" s="450"/>
      <c r="D1" s="450"/>
      <c r="E1" s="450"/>
      <c r="F1" s="450"/>
      <c r="G1" s="374"/>
    </row>
    <row r="2" spans="1:9" ht="48.75" customHeight="1" x14ac:dyDescent="0.25">
      <c r="A2" s="251" t="s">
        <v>225</v>
      </c>
      <c r="B2" s="451" t="s">
        <v>465</v>
      </c>
      <c r="C2" s="451"/>
      <c r="D2" s="451"/>
      <c r="E2" s="451"/>
      <c r="F2" s="451"/>
      <c r="G2" s="375"/>
    </row>
    <row r="3" spans="1:9" ht="27" customHeight="1" x14ac:dyDescent="0.25">
      <c r="A3" s="251" t="s">
        <v>226</v>
      </c>
      <c r="B3" s="452" t="s">
        <v>329</v>
      </c>
      <c r="C3" s="452"/>
      <c r="D3" s="452"/>
      <c r="E3" s="452"/>
      <c r="F3" s="452"/>
      <c r="G3" s="376"/>
    </row>
    <row r="4" spans="1:9" ht="15.75" x14ac:dyDescent="0.25">
      <c r="A4" s="232"/>
      <c r="B4" s="232"/>
      <c r="C4" s="232"/>
      <c r="D4" s="232"/>
      <c r="E4" s="232"/>
      <c r="F4" s="232"/>
      <c r="G4" s="232"/>
    </row>
    <row r="5" spans="1:9" ht="15.75" x14ac:dyDescent="0.25">
      <c r="A5" s="252" t="s">
        <v>227</v>
      </c>
      <c r="B5" s="232"/>
      <c r="C5" s="232"/>
      <c r="D5" s="232"/>
      <c r="E5" s="232"/>
      <c r="F5" s="232"/>
      <c r="G5" s="232"/>
    </row>
    <row r="6" spans="1:9" ht="15.75" x14ac:dyDescent="0.25">
      <c r="A6" s="448"/>
      <c r="B6" s="448"/>
      <c r="C6" s="448"/>
      <c r="D6" s="448"/>
      <c r="E6" s="448"/>
      <c r="F6" s="448"/>
      <c r="G6" s="448"/>
    </row>
    <row r="7" spans="1:9" ht="15.75" x14ac:dyDescent="0.25">
      <c r="A7" s="252" t="s">
        <v>260</v>
      </c>
      <c r="B7" s="245"/>
      <c r="C7" s="245"/>
      <c r="D7" s="232"/>
      <c r="E7" s="232"/>
      <c r="F7" s="232"/>
      <c r="G7" s="232"/>
    </row>
    <row r="8" spans="1:9" ht="15.75" x14ac:dyDescent="0.25">
      <c r="A8" s="252" t="s">
        <v>261</v>
      </c>
      <c r="B8" s="252"/>
      <c r="C8" s="252"/>
      <c r="D8" s="252"/>
      <c r="E8" s="252"/>
      <c r="F8" s="252"/>
      <c r="G8" s="252"/>
    </row>
    <row r="9" spans="1:9" ht="15.75" x14ac:dyDescent="0.25">
      <c r="A9" s="345" t="s">
        <v>442</v>
      </c>
      <c r="B9" s="252"/>
      <c r="C9" s="252"/>
      <c r="D9" s="252"/>
      <c r="E9" s="252"/>
      <c r="F9" s="252"/>
      <c r="G9" s="232"/>
    </row>
    <row r="10" spans="1:9" ht="15.75" x14ac:dyDescent="0.25">
      <c r="A10" s="232"/>
      <c r="B10" s="232"/>
      <c r="C10" s="232"/>
      <c r="D10" s="232"/>
      <c r="E10" s="232"/>
      <c r="F10" s="253" t="s">
        <v>90</v>
      </c>
      <c r="G10" s="253" t="s">
        <v>90</v>
      </c>
    </row>
    <row r="11" spans="1:9" ht="129" customHeight="1" x14ac:dyDescent="0.25">
      <c r="A11" s="254" t="s">
        <v>18</v>
      </c>
      <c r="B11" s="255" t="s">
        <v>490</v>
      </c>
      <c r="C11" s="255" t="s">
        <v>228</v>
      </c>
      <c r="D11" s="255" t="s">
        <v>491</v>
      </c>
      <c r="E11" s="255" t="s">
        <v>229</v>
      </c>
      <c r="F11" s="255" t="s">
        <v>230</v>
      </c>
      <c r="G11" s="255" t="s">
        <v>231</v>
      </c>
    </row>
    <row r="12" spans="1:9" ht="15.75" x14ac:dyDescent="0.25">
      <c r="A12" s="256">
        <v>1</v>
      </c>
      <c r="B12" s="256">
        <v>2</v>
      </c>
      <c r="C12" s="256">
        <v>3</v>
      </c>
      <c r="D12" s="256">
        <v>4</v>
      </c>
      <c r="E12" s="256">
        <v>5</v>
      </c>
      <c r="F12" s="256">
        <v>6</v>
      </c>
      <c r="G12" s="257">
        <v>7</v>
      </c>
    </row>
    <row r="13" spans="1:9" ht="15.75" x14ac:dyDescent="0.25">
      <c r="A13" s="258" t="s">
        <v>232</v>
      </c>
      <c r="B13" s="259">
        <f>'Cводная смета ПИР'!G18</f>
        <v>6270876</v>
      </c>
      <c r="C13" s="260">
        <v>1</v>
      </c>
      <c r="D13" s="259">
        <f>B13*C13</f>
        <v>6270876</v>
      </c>
      <c r="E13" s="261">
        <f>E40</f>
        <v>1.0039499999999999</v>
      </c>
      <c r="F13" s="259">
        <f>D13*E13</f>
        <v>6295646</v>
      </c>
      <c r="G13" s="262">
        <f>D13+(F13-D13)*(1-30/100)</f>
        <v>6288215</v>
      </c>
    </row>
    <row r="14" spans="1:9" ht="15.75" x14ac:dyDescent="0.25">
      <c r="A14" s="263" t="s">
        <v>233</v>
      </c>
      <c r="B14" s="259">
        <f>'Cводная смета ПИР'!G21</f>
        <v>6016803</v>
      </c>
      <c r="C14" s="260">
        <v>1</v>
      </c>
      <c r="D14" s="259">
        <f>B14*C14</f>
        <v>6016803</v>
      </c>
      <c r="E14" s="261">
        <f>E40</f>
        <v>1.0039499999999999</v>
      </c>
      <c r="F14" s="259">
        <f>D14*E14</f>
        <v>6040569</v>
      </c>
      <c r="G14" s="262">
        <f>D14+(F14-D14)*(1-30/100)</f>
        <v>6033439</v>
      </c>
      <c r="H14">
        <f>F14*1.02</f>
        <v>6161380.3799999999</v>
      </c>
      <c r="I14">
        <f>G14/0.4*0.6*1.2</f>
        <v>10860190.199999999</v>
      </c>
    </row>
    <row r="15" spans="1:9" ht="15.75" x14ac:dyDescent="0.25">
      <c r="A15" s="263" t="s">
        <v>234</v>
      </c>
      <c r="B15" s="259">
        <f>'Cводная смета ПИР'!G24</f>
        <v>1760612</v>
      </c>
      <c r="C15" s="264">
        <v>1</v>
      </c>
      <c r="D15" s="259">
        <f>B15*C15</f>
        <v>1760612</v>
      </c>
      <c r="E15" s="260">
        <f>1</f>
        <v>1</v>
      </c>
      <c r="F15" s="259">
        <f>D15*E15</f>
        <v>1760612</v>
      </c>
      <c r="G15" s="262">
        <f>D15+(F15-D15)*(1-30/100)</f>
        <v>1760612</v>
      </c>
      <c r="H15">
        <f>F15*1.02</f>
        <v>1795824.24</v>
      </c>
    </row>
    <row r="16" spans="1:9" ht="15.75" x14ac:dyDescent="0.25">
      <c r="A16" s="263" t="s">
        <v>344</v>
      </c>
      <c r="B16" s="259">
        <v>205902</v>
      </c>
      <c r="C16" s="264">
        <v>1</v>
      </c>
      <c r="D16" s="259">
        <f>B16*C16</f>
        <v>205902</v>
      </c>
      <c r="E16" s="260">
        <f>1</f>
        <v>1</v>
      </c>
      <c r="F16" s="259">
        <f>D16*E16</f>
        <v>205902</v>
      </c>
      <c r="G16" s="262">
        <f>D16+(F16-D16)*(1-30/100)</f>
        <v>205902</v>
      </c>
      <c r="H16">
        <f>F16*1.02</f>
        <v>210020.04</v>
      </c>
    </row>
    <row r="17" spans="1:8" ht="31.5" x14ac:dyDescent="0.25">
      <c r="A17" s="258" t="s">
        <v>235</v>
      </c>
      <c r="B17" s="259">
        <f>(B14+B15+B16)*0.02</f>
        <v>159666</v>
      </c>
      <c r="C17" s="260"/>
      <c r="D17" s="259">
        <f>(D14+D15+D16)*0.02</f>
        <v>159666</v>
      </c>
      <c r="E17" s="260"/>
      <c r="F17" s="259">
        <f>(F14+F15+F16)*0.02-1</f>
        <v>160141</v>
      </c>
      <c r="G17" s="262">
        <f>D17+(F17-D17)*(1-30/100)</f>
        <v>159999</v>
      </c>
    </row>
    <row r="18" spans="1:8" ht="15.75" x14ac:dyDescent="0.25">
      <c r="A18" s="263" t="s">
        <v>236</v>
      </c>
      <c r="B18" s="259">
        <f>B13+B14+B15+B17</f>
        <v>14207957</v>
      </c>
      <c r="C18" s="260"/>
      <c r="D18" s="259">
        <f>SUM(D13:D17)</f>
        <v>14413859</v>
      </c>
      <c r="E18" s="259"/>
      <c r="F18" s="259">
        <f>SUM(F13:F17)</f>
        <v>14462870</v>
      </c>
      <c r="G18" s="265">
        <f>SUM(G13:G17)</f>
        <v>14448167</v>
      </c>
    </row>
    <row r="19" spans="1:8" ht="15.75" x14ac:dyDescent="0.25">
      <c r="A19" s="263" t="s">
        <v>237</v>
      </c>
      <c r="B19" s="266">
        <f>B18*0.2</f>
        <v>2841591.4</v>
      </c>
      <c r="C19" s="260"/>
      <c r="D19" s="266">
        <f>D18*0.2</f>
        <v>2882771.8</v>
      </c>
      <c r="E19" s="266"/>
      <c r="F19" s="266">
        <f>F18*0.2</f>
        <v>2892574</v>
      </c>
      <c r="G19" s="267">
        <f>G18*0.2</f>
        <v>2889633.4</v>
      </c>
    </row>
    <row r="20" spans="1:8" ht="15.75" x14ac:dyDescent="0.25">
      <c r="A20" s="263" t="s">
        <v>238</v>
      </c>
      <c r="B20" s="266">
        <f>B18+B19</f>
        <v>17049548.399999999</v>
      </c>
      <c r="C20" s="260"/>
      <c r="D20" s="266">
        <f>D18+D19</f>
        <v>17296630.800000001</v>
      </c>
      <c r="E20" s="266"/>
      <c r="F20" s="266">
        <f>F18+F19</f>
        <v>17355444</v>
      </c>
      <c r="G20" s="267">
        <f>G18+G19</f>
        <v>17337800.399999999</v>
      </c>
      <c r="H20" s="100">
        <f>F20-D20</f>
        <v>58813.2</v>
      </c>
    </row>
    <row r="21" spans="1:8" ht="15.75" x14ac:dyDescent="0.25">
      <c r="A21" s="268"/>
      <c r="B21" s="269"/>
      <c r="C21" s="269"/>
      <c r="D21" s="269"/>
      <c r="E21" s="269"/>
      <c r="F21" s="269"/>
      <c r="G21" s="232"/>
    </row>
    <row r="22" spans="1:8" ht="36" customHeight="1" x14ac:dyDescent="0.25">
      <c r="A22" s="449" t="s">
        <v>262</v>
      </c>
      <c r="B22" s="449"/>
      <c r="C22" s="270">
        <v>1</v>
      </c>
      <c r="D22" s="232"/>
      <c r="E22" s="232"/>
      <c r="F22" s="232"/>
      <c r="G22" s="232"/>
    </row>
    <row r="23" spans="1:8" ht="15.75" x14ac:dyDescent="0.25">
      <c r="A23" s="271" t="s">
        <v>239</v>
      </c>
      <c r="B23" s="271"/>
      <c r="C23" s="270"/>
      <c r="D23" s="232"/>
      <c r="E23" s="232"/>
      <c r="F23" s="232"/>
      <c r="G23" s="232"/>
    </row>
    <row r="24" spans="1:8" ht="23.45" customHeight="1" x14ac:dyDescent="0.25">
      <c r="A24" s="448" t="s">
        <v>494</v>
      </c>
      <c r="B24" s="448"/>
      <c r="C24" s="448"/>
      <c r="D24" s="448"/>
      <c r="E24" s="448"/>
      <c r="F24" s="448"/>
      <c r="G24" s="252"/>
    </row>
    <row r="25" spans="1:8" ht="23.45" customHeight="1" x14ac:dyDescent="0.25">
      <c r="A25" s="272"/>
      <c r="B25" s="272"/>
      <c r="C25" s="272"/>
      <c r="D25" s="272"/>
      <c r="E25" s="272"/>
      <c r="F25" s="272"/>
      <c r="G25" s="252"/>
    </row>
    <row r="26" spans="1:8" ht="15.75" x14ac:dyDescent="0.25">
      <c r="A26" s="455" t="s">
        <v>240</v>
      </c>
      <c r="B26" s="455"/>
      <c r="C26" s="455"/>
      <c r="D26" s="455"/>
      <c r="E26" s="232"/>
      <c r="F26" s="232"/>
      <c r="G26" s="232"/>
    </row>
    <row r="27" spans="1:8" ht="45.6" customHeight="1" x14ac:dyDescent="0.25">
      <c r="A27" s="273" t="s">
        <v>307</v>
      </c>
      <c r="B27" s="274">
        <f>(B29-B28)/30</f>
        <v>4.3</v>
      </c>
      <c r="C27" s="252" t="s">
        <v>241</v>
      </c>
      <c r="D27" s="232" t="s">
        <v>242</v>
      </c>
      <c r="E27" s="232"/>
      <c r="F27" s="232"/>
      <c r="G27" s="232"/>
    </row>
    <row r="28" spans="1:8" ht="15.75" x14ac:dyDescent="0.25">
      <c r="A28" s="252" t="s">
        <v>243</v>
      </c>
      <c r="B28" s="275">
        <v>44150</v>
      </c>
      <c r="C28" s="252"/>
      <c r="D28" s="252"/>
      <c r="E28" s="252"/>
      <c r="F28" s="252"/>
      <c r="G28" s="252"/>
    </row>
    <row r="29" spans="1:8" ht="15.75" x14ac:dyDescent="0.25">
      <c r="A29" s="252" t="s">
        <v>244</v>
      </c>
      <c r="B29" s="275">
        <v>44280</v>
      </c>
      <c r="C29" s="252"/>
      <c r="D29" s="252"/>
      <c r="E29" s="252"/>
      <c r="F29" s="252"/>
      <c r="G29" s="252"/>
    </row>
    <row r="30" spans="1:8" ht="15.75" x14ac:dyDescent="0.25">
      <c r="A30" s="252" t="s">
        <v>304</v>
      </c>
      <c r="B30" s="276">
        <v>1.5</v>
      </c>
      <c r="C30" s="252" t="s">
        <v>241</v>
      </c>
      <c r="D30" s="252"/>
      <c r="E30" s="252"/>
      <c r="F30" s="252"/>
      <c r="G30" s="252"/>
    </row>
    <row r="31" spans="1:8" ht="15.75" x14ac:dyDescent="0.25">
      <c r="A31" s="252" t="s">
        <v>305</v>
      </c>
      <c r="B31" s="276">
        <v>2.8</v>
      </c>
      <c r="C31" s="252" t="s">
        <v>241</v>
      </c>
      <c r="D31" s="252"/>
      <c r="E31" s="252"/>
      <c r="F31" s="252"/>
      <c r="G31" s="252"/>
    </row>
    <row r="32" spans="1:8" ht="15.75" x14ac:dyDescent="0.25">
      <c r="A32" s="252" t="s">
        <v>302</v>
      </c>
      <c r="B32" s="276">
        <f>B30/B27</f>
        <v>0.35</v>
      </c>
      <c r="C32" s="252"/>
      <c r="D32" s="252"/>
      <c r="E32" s="252"/>
      <c r="F32" s="252"/>
      <c r="G32" s="252"/>
    </row>
    <row r="33" spans="1:8" ht="15.75" x14ac:dyDescent="0.25">
      <c r="A33" s="252" t="s">
        <v>303</v>
      </c>
      <c r="B33" s="276">
        <f>B31/B27</f>
        <v>0.65</v>
      </c>
      <c r="C33" s="252"/>
      <c r="D33" s="252"/>
      <c r="E33" s="252"/>
      <c r="F33" s="252"/>
      <c r="G33" s="252"/>
    </row>
    <row r="34" spans="1:8" ht="32.25" customHeight="1" x14ac:dyDescent="0.25">
      <c r="A34" s="448" t="s">
        <v>276</v>
      </c>
      <c r="B34" s="448"/>
      <c r="C34" s="448"/>
      <c r="D34" s="448"/>
      <c r="E34" s="371">
        <v>1.036</v>
      </c>
      <c r="F34" s="252"/>
      <c r="G34" s="252"/>
    </row>
    <row r="35" spans="1:8" ht="33.75" customHeight="1" x14ac:dyDescent="0.25">
      <c r="A35" s="448" t="s">
        <v>306</v>
      </c>
      <c r="B35" s="448"/>
      <c r="C35" s="448"/>
      <c r="D35" s="448"/>
      <c r="E35" s="371">
        <v>1.0369999999999999</v>
      </c>
      <c r="F35" s="252"/>
      <c r="G35" s="252"/>
    </row>
    <row r="36" spans="1:8" s="252" customFormat="1" ht="27" customHeight="1" x14ac:dyDescent="0.25">
      <c r="A36" s="338" t="s">
        <v>338</v>
      </c>
      <c r="B36" s="339"/>
      <c r="C36" s="340"/>
      <c r="D36" s="341"/>
      <c r="E36" s="372">
        <f>E34^(1/12)</f>
        <v>1.00295</v>
      </c>
      <c r="F36" s="342"/>
      <c r="G36" s="342"/>
      <c r="H36" s="342"/>
    </row>
    <row r="37" spans="1:8" s="252" customFormat="1" ht="30.75" customHeight="1" x14ac:dyDescent="0.25">
      <c r="A37" s="338" t="s">
        <v>339</v>
      </c>
      <c r="B37" s="343"/>
      <c r="C37" s="340"/>
      <c r="D37" s="341"/>
      <c r="E37" s="372">
        <f>E35^(1/12)</f>
        <v>1.0030300000000001</v>
      </c>
      <c r="F37" s="342"/>
      <c r="G37" s="342"/>
      <c r="H37" s="342"/>
    </row>
    <row r="38" spans="1:8" s="252" customFormat="1" ht="87" customHeight="1" x14ac:dyDescent="0.25">
      <c r="A38" s="456" t="s">
        <v>492</v>
      </c>
      <c r="B38" s="456"/>
      <c r="C38" s="340"/>
      <c r="D38" s="341"/>
      <c r="E38" s="372">
        <v>1</v>
      </c>
      <c r="F38" s="342"/>
      <c r="G38" s="342"/>
      <c r="H38" s="342"/>
    </row>
    <row r="39" spans="1:8" s="252" customFormat="1" ht="73.5" customHeight="1" x14ac:dyDescent="0.25">
      <c r="A39" s="456" t="s">
        <v>493</v>
      </c>
      <c r="B39" s="456"/>
      <c r="C39" s="340"/>
      <c r="D39" s="341"/>
      <c r="E39" s="372">
        <f>1*(E37+E37^3)/2</f>
        <v>1.00607</v>
      </c>
      <c r="F39" s="342"/>
      <c r="G39" s="342"/>
      <c r="H39" s="342"/>
    </row>
    <row r="40" spans="1:8" s="252" customFormat="1" ht="31.5" customHeight="1" x14ac:dyDescent="0.25">
      <c r="A40" s="373" t="s">
        <v>340</v>
      </c>
      <c r="C40" s="344"/>
      <c r="D40" s="344"/>
      <c r="E40" s="372">
        <f>E38*B32+E39*B33</f>
        <v>1.0039499999999999</v>
      </c>
      <c r="F40" s="342"/>
      <c r="G40" s="342"/>
      <c r="H40" s="342"/>
    </row>
    <row r="41" spans="1:8" ht="15.75" x14ac:dyDescent="0.25">
      <c r="A41" s="252"/>
      <c r="B41" s="252"/>
      <c r="C41" s="252"/>
      <c r="D41" s="252"/>
      <c r="E41" s="252"/>
      <c r="F41" s="252"/>
      <c r="G41" s="252"/>
    </row>
    <row r="42" spans="1:8" hidden="1" x14ac:dyDescent="0.25">
      <c r="A42" s="156" t="s">
        <v>244</v>
      </c>
      <c r="B42" s="158">
        <v>44331</v>
      </c>
      <c r="C42" s="156"/>
      <c r="D42" s="159"/>
      <c r="E42" s="159"/>
      <c r="F42" s="159"/>
      <c r="G42" s="159"/>
    </row>
    <row r="43" spans="1:8" ht="29.25" hidden="1" customHeight="1" x14ac:dyDescent="0.25">
      <c r="A43" s="454" t="s">
        <v>276</v>
      </c>
      <c r="B43" s="454"/>
      <c r="C43" s="454"/>
      <c r="D43" s="454"/>
      <c r="E43" s="167">
        <v>1.036</v>
      </c>
      <c r="F43" s="159"/>
      <c r="G43" s="159"/>
    </row>
    <row r="44" spans="1:8" hidden="1" x14ac:dyDescent="0.25">
      <c r="A44" s="156" t="s">
        <v>277</v>
      </c>
      <c r="B44" s="160"/>
      <c r="C44" s="161"/>
      <c r="D44" s="159"/>
      <c r="E44" s="166">
        <f>1.036^(1/12)</f>
        <v>1.00295</v>
      </c>
      <c r="F44" s="159"/>
      <c r="G44" s="159"/>
    </row>
    <row r="45" spans="1:8" hidden="1" x14ac:dyDescent="0.25">
      <c r="A45" s="156" t="s">
        <v>278</v>
      </c>
      <c r="B45" s="156"/>
      <c r="C45" s="453" t="s">
        <v>296</v>
      </c>
      <c r="D45" s="453"/>
      <c r="E45" s="166">
        <f>(E44^6.7+E44^11)/2</f>
        <v>1.02643</v>
      </c>
    </row>
  </sheetData>
  <mergeCells count="13">
    <mergeCell ref="C45:D45"/>
    <mergeCell ref="A34:D34"/>
    <mergeCell ref="A43:D43"/>
    <mergeCell ref="A26:D26"/>
    <mergeCell ref="A35:D35"/>
    <mergeCell ref="A38:B38"/>
    <mergeCell ref="A39:B39"/>
    <mergeCell ref="A24:F24"/>
    <mergeCell ref="A6:G6"/>
    <mergeCell ref="A22:B22"/>
    <mergeCell ref="A1:F1"/>
    <mergeCell ref="B2:F2"/>
    <mergeCell ref="B3:F3"/>
  </mergeCells>
  <pageMargins left="0.25" right="0.25" top="0.75" bottom="0.75" header="0.3" footer="0.3"/>
  <pageSetup paperSize="9" scale="66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view="pageBreakPreview" topLeftCell="A15" zoomScale="85" zoomScaleNormal="90" zoomScaleSheetLayoutView="85" workbookViewId="0">
      <selection activeCell="E17" sqref="E17"/>
    </sheetView>
  </sheetViews>
  <sheetFormatPr defaultColWidth="8.7109375" defaultRowHeight="12.75" x14ac:dyDescent="0.2"/>
  <cols>
    <col min="1" max="1" width="6.42578125" style="1" customWidth="1"/>
    <col min="2" max="2" width="46.5703125" style="1" customWidth="1"/>
    <col min="3" max="3" width="20.42578125" style="1" customWidth="1"/>
    <col min="4" max="4" width="29.85546875" style="1" customWidth="1"/>
    <col min="5" max="5" width="22.7109375" style="1" customWidth="1"/>
    <col min="6" max="6" width="14" style="1" customWidth="1"/>
    <col min="7" max="7" width="17.7109375" style="1" customWidth="1"/>
    <col min="8" max="8" width="51.28515625" style="1" hidden="1" customWidth="1"/>
    <col min="9" max="9" width="29.140625" style="1" hidden="1" customWidth="1"/>
    <col min="10" max="10" width="10" style="1" customWidth="1"/>
    <col min="11" max="11" width="11.5703125" style="1" customWidth="1"/>
    <col min="12" max="12" width="14" style="1" customWidth="1"/>
    <col min="13" max="15" width="8.7109375" style="1"/>
    <col min="16" max="16" width="40" style="1" customWidth="1"/>
    <col min="17" max="225" width="8.7109375" style="1"/>
    <col min="226" max="226" width="6.42578125" style="1" customWidth="1"/>
    <col min="227" max="227" width="22.28515625" style="1" customWidth="1"/>
    <col min="228" max="228" width="11.5703125" style="1" customWidth="1"/>
    <col min="229" max="229" width="11.85546875" style="1" customWidth="1"/>
    <col min="230" max="230" width="16.5703125" style="1" customWidth="1"/>
    <col min="231" max="231" width="15.5703125" style="1" customWidth="1"/>
    <col min="232" max="232" width="18.28515625" style="1" customWidth="1"/>
    <col min="233" max="233" width="0" style="1" hidden="1" customWidth="1"/>
    <col min="234" max="234" width="4.140625" style="1" customWidth="1"/>
    <col min="235" max="235" width="1.7109375" style="1" customWidth="1"/>
    <col min="236" max="236" width="3.42578125" style="1" customWidth="1"/>
    <col min="237" max="239" width="1.7109375" style="1" customWidth="1"/>
    <col min="240" max="240" width="3" style="1" bestFit="1" customWidth="1"/>
    <col min="241" max="481" width="8.7109375" style="1"/>
    <col min="482" max="482" width="6.42578125" style="1" customWidth="1"/>
    <col min="483" max="483" width="22.28515625" style="1" customWidth="1"/>
    <col min="484" max="484" width="11.5703125" style="1" customWidth="1"/>
    <col min="485" max="485" width="11.85546875" style="1" customWidth="1"/>
    <col min="486" max="486" width="16.5703125" style="1" customWidth="1"/>
    <col min="487" max="487" width="15.5703125" style="1" customWidth="1"/>
    <col min="488" max="488" width="18.28515625" style="1" customWidth="1"/>
    <col min="489" max="489" width="0" style="1" hidden="1" customWidth="1"/>
    <col min="490" max="490" width="4.140625" style="1" customWidth="1"/>
    <col min="491" max="491" width="1.7109375" style="1" customWidth="1"/>
    <col min="492" max="492" width="3.42578125" style="1" customWidth="1"/>
    <col min="493" max="495" width="1.7109375" style="1" customWidth="1"/>
    <col min="496" max="496" width="3" style="1" bestFit="1" customWidth="1"/>
    <col min="497" max="737" width="8.7109375" style="1"/>
    <col min="738" max="738" width="6.42578125" style="1" customWidth="1"/>
    <col min="739" max="739" width="22.28515625" style="1" customWidth="1"/>
    <col min="740" max="740" width="11.5703125" style="1" customWidth="1"/>
    <col min="741" max="741" width="11.85546875" style="1" customWidth="1"/>
    <col min="742" max="742" width="16.5703125" style="1" customWidth="1"/>
    <col min="743" max="743" width="15.5703125" style="1" customWidth="1"/>
    <col min="744" max="744" width="18.28515625" style="1" customWidth="1"/>
    <col min="745" max="745" width="0" style="1" hidden="1" customWidth="1"/>
    <col min="746" max="746" width="4.140625" style="1" customWidth="1"/>
    <col min="747" max="747" width="1.7109375" style="1" customWidth="1"/>
    <col min="748" max="748" width="3.42578125" style="1" customWidth="1"/>
    <col min="749" max="751" width="1.7109375" style="1" customWidth="1"/>
    <col min="752" max="752" width="3" style="1" bestFit="1" customWidth="1"/>
    <col min="753" max="993" width="8.7109375" style="1"/>
    <col min="994" max="994" width="6.42578125" style="1" customWidth="1"/>
    <col min="995" max="995" width="22.28515625" style="1" customWidth="1"/>
    <col min="996" max="996" width="11.5703125" style="1" customWidth="1"/>
    <col min="997" max="997" width="11.85546875" style="1" customWidth="1"/>
    <col min="998" max="998" width="16.5703125" style="1" customWidth="1"/>
    <col min="999" max="999" width="15.5703125" style="1" customWidth="1"/>
    <col min="1000" max="1000" width="18.28515625" style="1" customWidth="1"/>
    <col min="1001" max="1001" width="0" style="1" hidden="1" customWidth="1"/>
    <col min="1002" max="1002" width="4.140625" style="1" customWidth="1"/>
    <col min="1003" max="1003" width="1.7109375" style="1" customWidth="1"/>
    <col min="1004" max="1004" width="3.42578125" style="1" customWidth="1"/>
    <col min="1005" max="1007" width="1.7109375" style="1" customWidth="1"/>
    <col min="1008" max="1008" width="3" style="1" bestFit="1" customWidth="1"/>
    <col min="1009" max="1249" width="8.7109375" style="1"/>
    <col min="1250" max="1250" width="6.42578125" style="1" customWidth="1"/>
    <col min="1251" max="1251" width="22.28515625" style="1" customWidth="1"/>
    <col min="1252" max="1252" width="11.5703125" style="1" customWidth="1"/>
    <col min="1253" max="1253" width="11.85546875" style="1" customWidth="1"/>
    <col min="1254" max="1254" width="16.5703125" style="1" customWidth="1"/>
    <col min="1255" max="1255" width="15.5703125" style="1" customWidth="1"/>
    <col min="1256" max="1256" width="18.28515625" style="1" customWidth="1"/>
    <col min="1257" max="1257" width="0" style="1" hidden="1" customWidth="1"/>
    <col min="1258" max="1258" width="4.140625" style="1" customWidth="1"/>
    <col min="1259" max="1259" width="1.7109375" style="1" customWidth="1"/>
    <col min="1260" max="1260" width="3.42578125" style="1" customWidth="1"/>
    <col min="1261" max="1263" width="1.7109375" style="1" customWidth="1"/>
    <col min="1264" max="1264" width="3" style="1" bestFit="1" customWidth="1"/>
    <col min="1265" max="1505" width="8.7109375" style="1"/>
    <col min="1506" max="1506" width="6.42578125" style="1" customWidth="1"/>
    <col min="1507" max="1507" width="22.28515625" style="1" customWidth="1"/>
    <col min="1508" max="1508" width="11.5703125" style="1" customWidth="1"/>
    <col min="1509" max="1509" width="11.85546875" style="1" customWidth="1"/>
    <col min="1510" max="1510" width="16.5703125" style="1" customWidth="1"/>
    <col min="1511" max="1511" width="15.5703125" style="1" customWidth="1"/>
    <col min="1512" max="1512" width="18.28515625" style="1" customWidth="1"/>
    <col min="1513" max="1513" width="0" style="1" hidden="1" customWidth="1"/>
    <col min="1514" max="1514" width="4.140625" style="1" customWidth="1"/>
    <col min="1515" max="1515" width="1.7109375" style="1" customWidth="1"/>
    <col min="1516" max="1516" width="3.42578125" style="1" customWidth="1"/>
    <col min="1517" max="1519" width="1.7109375" style="1" customWidth="1"/>
    <col min="1520" max="1520" width="3" style="1" bestFit="1" customWidth="1"/>
    <col min="1521" max="1761" width="8.7109375" style="1"/>
    <col min="1762" max="1762" width="6.42578125" style="1" customWidth="1"/>
    <col min="1763" max="1763" width="22.28515625" style="1" customWidth="1"/>
    <col min="1764" max="1764" width="11.5703125" style="1" customWidth="1"/>
    <col min="1765" max="1765" width="11.85546875" style="1" customWidth="1"/>
    <col min="1766" max="1766" width="16.5703125" style="1" customWidth="1"/>
    <col min="1767" max="1767" width="15.5703125" style="1" customWidth="1"/>
    <col min="1768" max="1768" width="18.28515625" style="1" customWidth="1"/>
    <col min="1769" max="1769" width="0" style="1" hidden="1" customWidth="1"/>
    <col min="1770" max="1770" width="4.140625" style="1" customWidth="1"/>
    <col min="1771" max="1771" width="1.7109375" style="1" customWidth="1"/>
    <col min="1772" max="1772" width="3.42578125" style="1" customWidth="1"/>
    <col min="1773" max="1775" width="1.7109375" style="1" customWidth="1"/>
    <col min="1776" max="1776" width="3" style="1" bestFit="1" customWidth="1"/>
    <col min="1777" max="2017" width="8.7109375" style="1"/>
    <col min="2018" max="2018" width="6.42578125" style="1" customWidth="1"/>
    <col min="2019" max="2019" width="22.28515625" style="1" customWidth="1"/>
    <col min="2020" max="2020" width="11.5703125" style="1" customWidth="1"/>
    <col min="2021" max="2021" width="11.85546875" style="1" customWidth="1"/>
    <col min="2022" max="2022" width="16.5703125" style="1" customWidth="1"/>
    <col min="2023" max="2023" width="15.5703125" style="1" customWidth="1"/>
    <col min="2024" max="2024" width="18.28515625" style="1" customWidth="1"/>
    <col min="2025" max="2025" width="0" style="1" hidden="1" customWidth="1"/>
    <col min="2026" max="2026" width="4.140625" style="1" customWidth="1"/>
    <col min="2027" max="2027" width="1.7109375" style="1" customWidth="1"/>
    <col min="2028" max="2028" width="3.42578125" style="1" customWidth="1"/>
    <col min="2029" max="2031" width="1.7109375" style="1" customWidth="1"/>
    <col min="2032" max="2032" width="3" style="1" bestFit="1" customWidth="1"/>
    <col min="2033" max="2273" width="8.7109375" style="1"/>
    <col min="2274" max="2274" width="6.42578125" style="1" customWidth="1"/>
    <col min="2275" max="2275" width="22.28515625" style="1" customWidth="1"/>
    <col min="2276" max="2276" width="11.5703125" style="1" customWidth="1"/>
    <col min="2277" max="2277" width="11.85546875" style="1" customWidth="1"/>
    <col min="2278" max="2278" width="16.5703125" style="1" customWidth="1"/>
    <col min="2279" max="2279" width="15.5703125" style="1" customWidth="1"/>
    <col min="2280" max="2280" width="18.28515625" style="1" customWidth="1"/>
    <col min="2281" max="2281" width="0" style="1" hidden="1" customWidth="1"/>
    <col min="2282" max="2282" width="4.140625" style="1" customWidth="1"/>
    <col min="2283" max="2283" width="1.7109375" style="1" customWidth="1"/>
    <col min="2284" max="2284" width="3.42578125" style="1" customWidth="1"/>
    <col min="2285" max="2287" width="1.7109375" style="1" customWidth="1"/>
    <col min="2288" max="2288" width="3" style="1" bestFit="1" customWidth="1"/>
    <col min="2289" max="2529" width="8.7109375" style="1"/>
    <col min="2530" max="2530" width="6.42578125" style="1" customWidth="1"/>
    <col min="2531" max="2531" width="22.28515625" style="1" customWidth="1"/>
    <col min="2532" max="2532" width="11.5703125" style="1" customWidth="1"/>
    <col min="2533" max="2533" width="11.85546875" style="1" customWidth="1"/>
    <col min="2534" max="2534" width="16.5703125" style="1" customWidth="1"/>
    <col min="2535" max="2535" width="15.5703125" style="1" customWidth="1"/>
    <col min="2536" max="2536" width="18.28515625" style="1" customWidth="1"/>
    <col min="2537" max="2537" width="0" style="1" hidden="1" customWidth="1"/>
    <col min="2538" max="2538" width="4.140625" style="1" customWidth="1"/>
    <col min="2539" max="2539" width="1.7109375" style="1" customWidth="1"/>
    <col min="2540" max="2540" width="3.42578125" style="1" customWidth="1"/>
    <col min="2541" max="2543" width="1.7109375" style="1" customWidth="1"/>
    <col min="2544" max="2544" width="3" style="1" bestFit="1" customWidth="1"/>
    <col min="2545" max="2785" width="8.7109375" style="1"/>
    <col min="2786" max="2786" width="6.42578125" style="1" customWidth="1"/>
    <col min="2787" max="2787" width="22.28515625" style="1" customWidth="1"/>
    <col min="2788" max="2788" width="11.5703125" style="1" customWidth="1"/>
    <col min="2789" max="2789" width="11.85546875" style="1" customWidth="1"/>
    <col min="2790" max="2790" width="16.5703125" style="1" customWidth="1"/>
    <col min="2791" max="2791" width="15.5703125" style="1" customWidth="1"/>
    <col min="2792" max="2792" width="18.28515625" style="1" customWidth="1"/>
    <col min="2793" max="2793" width="0" style="1" hidden="1" customWidth="1"/>
    <col min="2794" max="2794" width="4.140625" style="1" customWidth="1"/>
    <col min="2795" max="2795" width="1.7109375" style="1" customWidth="1"/>
    <col min="2796" max="2796" width="3.42578125" style="1" customWidth="1"/>
    <col min="2797" max="2799" width="1.7109375" style="1" customWidth="1"/>
    <col min="2800" max="2800" width="3" style="1" bestFit="1" customWidth="1"/>
    <col min="2801" max="3041" width="8.7109375" style="1"/>
    <col min="3042" max="3042" width="6.42578125" style="1" customWidth="1"/>
    <col min="3043" max="3043" width="22.28515625" style="1" customWidth="1"/>
    <col min="3044" max="3044" width="11.5703125" style="1" customWidth="1"/>
    <col min="3045" max="3045" width="11.85546875" style="1" customWidth="1"/>
    <col min="3046" max="3046" width="16.5703125" style="1" customWidth="1"/>
    <col min="3047" max="3047" width="15.5703125" style="1" customWidth="1"/>
    <col min="3048" max="3048" width="18.28515625" style="1" customWidth="1"/>
    <col min="3049" max="3049" width="0" style="1" hidden="1" customWidth="1"/>
    <col min="3050" max="3050" width="4.140625" style="1" customWidth="1"/>
    <col min="3051" max="3051" width="1.7109375" style="1" customWidth="1"/>
    <col min="3052" max="3052" width="3.42578125" style="1" customWidth="1"/>
    <col min="3053" max="3055" width="1.7109375" style="1" customWidth="1"/>
    <col min="3056" max="3056" width="3" style="1" bestFit="1" customWidth="1"/>
    <col min="3057" max="3297" width="8.7109375" style="1"/>
    <col min="3298" max="3298" width="6.42578125" style="1" customWidth="1"/>
    <col min="3299" max="3299" width="22.28515625" style="1" customWidth="1"/>
    <col min="3300" max="3300" width="11.5703125" style="1" customWidth="1"/>
    <col min="3301" max="3301" width="11.85546875" style="1" customWidth="1"/>
    <col min="3302" max="3302" width="16.5703125" style="1" customWidth="1"/>
    <col min="3303" max="3303" width="15.5703125" style="1" customWidth="1"/>
    <col min="3304" max="3304" width="18.28515625" style="1" customWidth="1"/>
    <col min="3305" max="3305" width="0" style="1" hidden="1" customWidth="1"/>
    <col min="3306" max="3306" width="4.140625" style="1" customWidth="1"/>
    <col min="3307" max="3307" width="1.7109375" style="1" customWidth="1"/>
    <col min="3308" max="3308" width="3.42578125" style="1" customWidth="1"/>
    <col min="3309" max="3311" width="1.7109375" style="1" customWidth="1"/>
    <col min="3312" max="3312" width="3" style="1" bestFit="1" customWidth="1"/>
    <col min="3313" max="3553" width="8.7109375" style="1"/>
    <col min="3554" max="3554" width="6.42578125" style="1" customWidth="1"/>
    <col min="3555" max="3555" width="22.28515625" style="1" customWidth="1"/>
    <col min="3556" max="3556" width="11.5703125" style="1" customWidth="1"/>
    <col min="3557" max="3557" width="11.85546875" style="1" customWidth="1"/>
    <col min="3558" max="3558" width="16.5703125" style="1" customWidth="1"/>
    <col min="3559" max="3559" width="15.5703125" style="1" customWidth="1"/>
    <col min="3560" max="3560" width="18.28515625" style="1" customWidth="1"/>
    <col min="3561" max="3561" width="0" style="1" hidden="1" customWidth="1"/>
    <col min="3562" max="3562" width="4.140625" style="1" customWidth="1"/>
    <col min="3563" max="3563" width="1.7109375" style="1" customWidth="1"/>
    <col min="3564" max="3564" width="3.42578125" style="1" customWidth="1"/>
    <col min="3565" max="3567" width="1.7109375" style="1" customWidth="1"/>
    <col min="3568" max="3568" width="3" style="1" bestFit="1" customWidth="1"/>
    <col min="3569" max="3809" width="8.7109375" style="1"/>
    <col min="3810" max="3810" width="6.42578125" style="1" customWidth="1"/>
    <col min="3811" max="3811" width="22.28515625" style="1" customWidth="1"/>
    <col min="3812" max="3812" width="11.5703125" style="1" customWidth="1"/>
    <col min="3813" max="3813" width="11.85546875" style="1" customWidth="1"/>
    <col min="3814" max="3814" width="16.5703125" style="1" customWidth="1"/>
    <col min="3815" max="3815" width="15.5703125" style="1" customWidth="1"/>
    <col min="3816" max="3816" width="18.28515625" style="1" customWidth="1"/>
    <col min="3817" max="3817" width="0" style="1" hidden="1" customWidth="1"/>
    <col min="3818" max="3818" width="4.140625" style="1" customWidth="1"/>
    <col min="3819" max="3819" width="1.7109375" style="1" customWidth="1"/>
    <col min="3820" max="3820" width="3.42578125" style="1" customWidth="1"/>
    <col min="3821" max="3823" width="1.7109375" style="1" customWidth="1"/>
    <col min="3824" max="3824" width="3" style="1" bestFit="1" customWidth="1"/>
    <col min="3825" max="4065" width="8.7109375" style="1"/>
    <col min="4066" max="4066" width="6.42578125" style="1" customWidth="1"/>
    <col min="4067" max="4067" width="22.28515625" style="1" customWidth="1"/>
    <col min="4068" max="4068" width="11.5703125" style="1" customWidth="1"/>
    <col min="4069" max="4069" width="11.85546875" style="1" customWidth="1"/>
    <col min="4070" max="4070" width="16.5703125" style="1" customWidth="1"/>
    <col min="4071" max="4071" width="15.5703125" style="1" customWidth="1"/>
    <col min="4072" max="4072" width="18.28515625" style="1" customWidth="1"/>
    <col min="4073" max="4073" width="0" style="1" hidden="1" customWidth="1"/>
    <col min="4074" max="4074" width="4.140625" style="1" customWidth="1"/>
    <col min="4075" max="4075" width="1.7109375" style="1" customWidth="1"/>
    <col min="4076" max="4076" width="3.42578125" style="1" customWidth="1"/>
    <col min="4077" max="4079" width="1.7109375" style="1" customWidth="1"/>
    <col min="4080" max="4080" width="3" style="1" bestFit="1" customWidth="1"/>
    <col min="4081" max="4321" width="8.7109375" style="1"/>
    <col min="4322" max="4322" width="6.42578125" style="1" customWidth="1"/>
    <col min="4323" max="4323" width="22.28515625" style="1" customWidth="1"/>
    <col min="4324" max="4324" width="11.5703125" style="1" customWidth="1"/>
    <col min="4325" max="4325" width="11.85546875" style="1" customWidth="1"/>
    <col min="4326" max="4326" width="16.5703125" style="1" customWidth="1"/>
    <col min="4327" max="4327" width="15.5703125" style="1" customWidth="1"/>
    <col min="4328" max="4328" width="18.28515625" style="1" customWidth="1"/>
    <col min="4329" max="4329" width="0" style="1" hidden="1" customWidth="1"/>
    <col min="4330" max="4330" width="4.140625" style="1" customWidth="1"/>
    <col min="4331" max="4331" width="1.7109375" style="1" customWidth="1"/>
    <col min="4332" max="4332" width="3.42578125" style="1" customWidth="1"/>
    <col min="4333" max="4335" width="1.7109375" style="1" customWidth="1"/>
    <col min="4336" max="4336" width="3" style="1" bestFit="1" customWidth="1"/>
    <col min="4337" max="4577" width="8.7109375" style="1"/>
    <col min="4578" max="4578" width="6.42578125" style="1" customWidth="1"/>
    <col min="4579" max="4579" width="22.28515625" style="1" customWidth="1"/>
    <col min="4580" max="4580" width="11.5703125" style="1" customWidth="1"/>
    <col min="4581" max="4581" width="11.85546875" style="1" customWidth="1"/>
    <col min="4582" max="4582" width="16.5703125" style="1" customWidth="1"/>
    <col min="4583" max="4583" width="15.5703125" style="1" customWidth="1"/>
    <col min="4584" max="4584" width="18.28515625" style="1" customWidth="1"/>
    <col min="4585" max="4585" width="0" style="1" hidden="1" customWidth="1"/>
    <col min="4586" max="4586" width="4.140625" style="1" customWidth="1"/>
    <col min="4587" max="4587" width="1.7109375" style="1" customWidth="1"/>
    <col min="4588" max="4588" width="3.42578125" style="1" customWidth="1"/>
    <col min="4589" max="4591" width="1.7109375" style="1" customWidth="1"/>
    <col min="4592" max="4592" width="3" style="1" bestFit="1" customWidth="1"/>
    <col min="4593" max="4833" width="8.7109375" style="1"/>
    <col min="4834" max="4834" width="6.42578125" style="1" customWidth="1"/>
    <col min="4835" max="4835" width="22.28515625" style="1" customWidth="1"/>
    <col min="4836" max="4836" width="11.5703125" style="1" customWidth="1"/>
    <col min="4837" max="4837" width="11.85546875" style="1" customWidth="1"/>
    <col min="4838" max="4838" width="16.5703125" style="1" customWidth="1"/>
    <col min="4839" max="4839" width="15.5703125" style="1" customWidth="1"/>
    <col min="4840" max="4840" width="18.28515625" style="1" customWidth="1"/>
    <col min="4841" max="4841" width="0" style="1" hidden="1" customWidth="1"/>
    <col min="4842" max="4842" width="4.140625" style="1" customWidth="1"/>
    <col min="4843" max="4843" width="1.7109375" style="1" customWidth="1"/>
    <col min="4844" max="4844" width="3.42578125" style="1" customWidth="1"/>
    <col min="4845" max="4847" width="1.7109375" style="1" customWidth="1"/>
    <col min="4848" max="4848" width="3" style="1" bestFit="1" customWidth="1"/>
    <col min="4849" max="5089" width="8.7109375" style="1"/>
    <col min="5090" max="5090" width="6.42578125" style="1" customWidth="1"/>
    <col min="5091" max="5091" width="22.28515625" style="1" customWidth="1"/>
    <col min="5092" max="5092" width="11.5703125" style="1" customWidth="1"/>
    <col min="5093" max="5093" width="11.85546875" style="1" customWidth="1"/>
    <col min="5094" max="5094" width="16.5703125" style="1" customWidth="1"/>
    <col min="5095" max="5095" width="15.5703125" style="1" customWidth="1"/>
    <col min="5096" max="5096" width="18.28515625" style="1" customWidth="1"/>
    <col min="5097" max="5097" width="0" style="1" hidden="1" customWidth="1"/>
    <col min="5098" max="5098" width="4.140625" style="1" customWidth="1"/>
    <col min="5099" max="5099" width="1.7109375" style="1" customWidth="1"/>
    <col min="5100" max="5100" width="3.42578125" style="1" customWidth="1"/>
    <col min="5101" max="5103" width="1.7109375" style="1" customWidth="1"/>
    <col min="5104" max="5104" width="3" style="1" bestFit="1" customWidth="1"/>
    <col min="5105" max="5345" width="8.7109375" style="1"/>
    <col min="5346" max="5346" width="6.42578125" style="1" customWidth="1"/>
    <col min="5347" max="5347" width="22.28515625" style="1" customWidth="1"/>
    <col min="5348" max="5348" width="11.5703125" style="1" customWidth="1"/>
    <col min="5349" max="5349" width="11.85546875" style="1" customWidth="1"/>
    <col min="5350" max="5350" width="16.5703125" style="1" customWidth="1"/>
    <col min="5351" max="5351" width="15.5703125" style="1" customWidth="1"/>
    <col min="5352" max="5352" width="18.28515625" style="1" customWidth="1"/>
    <col min="5353" max="5353" width="0" style="1" hidden="1" customWidth="1"/>
    <col min="5354" max="5354" width="4.140625" style="1" customWidth="1"/>
    <col min="5355" max="5355" width="1.7109375" style="1" customWidth="1"/>
    <col min="5356" max="5356" width="3.42578125" style="1" customWidth="1"/>
    <col min="5357" max="5359" width="1.7109375" style="1" customWidth="1"/>
    <col min="5360" max="5360" width="3" style="1" bestFit="1" customWidth="1"/>
    <col min="5361" max="5601" width="8.7109375" style="1"/>
    <col min="5602" max="5602" width="6.42578125" style="1" customWidth="1"/>
    <col min="5603" max="5603" width="22.28515625" style="1" customWidth="1"/>
    <col min="5604" max="5604" width="11.5703125" style="1" customWidth="1"/>
    <col min="5605" max="5605" width="11.85546875" style="1" customWidth="1"/>
    <col min="5606" max="5606" width="16.5703125" style="1" customWidth="1"/>
    <col min="5607" max="5607" width="15.5703125" style="1" customWidth="1"/>
    <col min="5608" max="5608" width="18.28515625" style="1" customWidth="1"/>
    <col min="5609" max="5609" width="0" style="1" hidden="1" customWidth="1"/>
    <col min="5610" max="5610" width="4.140625" style="1" customWidth="1"/>
    <col min="5611" max="5611" width="1.7109375" style="1" customWidth="1"/>
    <col min="5612" max="5612" width="3.42578125" style="1" customWidth="1"/>
    <col min="5613" max="5615" width="1.7109375" style="1" customWidth="1"/>
    <col min="5616" max="5616" width="3" style="1" bestFit="1" customWidth="1"/>
    <col min="5617" max="5857" width="8.7109375" style="1"/>
    <col min="5858" max="5858" width="6.42578125" style="1" customWidth="1"/>
    <col min="5859" max="5859" width="22.28515625" style="1" customWidth="1"/>
    <col min="5860" max="5860" width="11.5703125" style="1" customWidth="1"/>
    <col min="5861" max="5861" width="11.85546875" style="1" customWidth="1"/>
    <col min="5862" max="5862" width="16.5703125" style="1" customWidth="1"/>
    <col min="5863" max="5863" width="15.5703125" style="1" customWidth="1"/>
    <col min="5864" max="5864" width="18.28515625" style="1" customWidth="1"/>
    <col min="5865" max="5865" width="0" style="1" hidden="1" customWidth="1"/>
    <col min="5866" max="5866" width="4.140625" style="1" customWidth="1"/>
    <col min="5867" max="5867" width="1.7109375" style="1" customWidth="1"/>
    <col min="5868" max="5868" width="3.42578125" style="1" customWidth="1"/>
    <col min="5869" max="5871" width="1.7109375" style="1" customWidth="1"/>
    <col min="5872" max="5872" width="3" style="1" bestFit="1" customWidth="1"/>
    <col min="5873" max="6113" width="8.7109375" style="1"/>
    <col min="6114" max="6114" width="6.42578125" style="1" customWidth="1"/>
    <col min="6115" max="6115" width="22.28515625" style="1" customWidth="1"/>
    <col min="6116" max="6116" width="11.5703125" style="1" customWidth="1"/>
    <col min="6117" max="6117" width="11.85546875" style="1" customWidth="1"/>
    <col min="6118" max="6118" width="16.5703125" style="1" customWidth="1"/>
    <col min="6119" max="6119" width="15.5703125" style="1" customWidth="1"/>
    <col min="6120" max="6120" width="18.28515625" style="1" customWidth="1"/>
    <col min="6121" max="6121" width="0" style="1" hidden="1" customWidth="1"/>
    <col min="6122" max="6122" width="4.140625" style="1" customWidth="1"/>
    <col min="6123" max="6123" width="1.7109375" style="1" customWidth="1"/>
    <col min="6124" max="6124" width="3.42578125" style="1" customWidth="1"/>
    <col min="6125" max="6127" width="1.7109375" style="1" customWidth="1"/>
    <col min="6128" max="6128" width="3" style="1" bestFit="1" customWidth="1"/>
    <col min="6129" max="6369" width="8.7109375" style="1"/>
    <col min="6370" max="6370" width="6.42578125" style="1" customWidth="1"/>
    <col min="6371" max="6371" width="22.28515625" style="1" customWidth="1"/>
    <col min="6372" max="6372" width="11.5703125" style="1" customWidth="1"/>
    <col min="6373" max="6373" width="11.85546875" style="1" customWidth="1"/>
    <col min="6374" max="6374" width="16.5703125" style="1" customWidth="1"/>
    <col min="6375" max="6375" width="15.5703125" style="1" customWidth="1"/>
    <col min="6376" max="6376" width="18.28515625" style="1" customWidth="1"/>
    <col min="6377" max="6377" width="0" style="1" hidden="1" customWidth="1"/>
    <col min="6378" max="6378" width="4.140625" style="1" customWidth="1"/>
    <col min="6379" max="6379" width="1.7109375" style="1" customWidth="1"/>
    <col min="6380" max="6380" width="3.42578125" style="1" customWidth="1"/>
    <col min="6381" max="6383" width="1.7109375" style="1" customWidth="1"/>
    <col min="6384" max="6384" width="3" style="1" bestFit="1" customWidth="1"/>
    <col min="6385" max="6625" width="8.7109375" style="1"/>
    <col min="6626" max="6626" width="6.42578125" style="1" customWidth="1"/>
    <col min="6627" max="6627" width="22.28515625" style="1" customWidth="1"/>
    <col min="6628" max="6628" width="11.5703125" style="1" customWidth="1"/>
    <col min="6629" max="6629" width="11.85546875" style="1" customWidth="1"/>
    <col min="6630" max="6630" width="16.5703125" style="1" customWidth="1"/>
    <col min="6631" max="6631" width="15.5703125" style="1" customWidth="1"/>
    <col min="6632" max="6632" width="18.28515625" style="1" customWidth="1"/>
    <col min="6633" max="6633" width="0" style="1" hidden="1" customWidth="1"/>
    <col min="6634" max="6634" width="4.140625" style="1" customWidth="1"/>
    <col min="6635" max="6635" width="1.7109375" style="1" customWidth="1"/>
    <col min="6636" max="6636" width="3.42578125" style="1" customWidth="1"/>
    <col min="6637" max="6639" width="1.7109375" style="1" customWidth="1"/>
    <col min="6640" max="6640" width="3" style="1" bestFit="1" customWidth="1"/>
    <col min="6641" max="6881" width="8.7109375" style="1"/>
    <col min="6882" max="6882" width="6.42578125" style="1" customWidth="1"/>
    <col min="6883" max="6883" width="22.28515625" style="1" customWidth="1"/>
    <col min="6884" max="6884" width="11.5703125" style="1" customWidth="1"/>
    <col min="6885" max="6885" width="11.85546875" style="1" customWidth="1"/>
    <col min="6886" max="6886" width="16.5703125" style="1" customWidth="1"/>
    <col min="6887" max="6887" width="15.5703125" style="1" customWidth="1"/>
    <col min="6888" max="6888" width="18.28515625" style="1" customWidth="1"/>
    <col min="6889" max="6889" width="0" style="1" hidden="1" customWidth="1"/>
    <col min="6890" max="6890" width="4.140625" style="1" customWidth="1"/>
    <col min="6891" max="6891" width="1.7109375" style="1" customWidth="1"/>
    <col min="6892" max="6892" width="3.42578125" style="1" customWidth="1"/>
    <col min="6893" max="6895" width="1.7109375" style="1" customWidth="1"/>
    <col min="6896" max="6896" width="3" style="1" bestFit="1" customWidth="1"/>
    <col min="6897" max="7137" width="8.7109375" style="1"/>
    <col min="7138" max="7138" width="6.42578125" style="1" customWidth="1"/>
    <col min="7139" max="7139" width="22.28515625" style="1" customWidth="1"/>
    <col min="7140" max="7140" width="11.5703125" style="1" customWidth="1"/>
    <col min="7141" max="7141" width="11.85546875" style="1" customWidth="1"/>
    <col min="7142" max="7142" width="16.5703125" style="1" customWidth="1"/>
    <col min="7143" max="7143" width="15.5703125" style="1" customWidth="1"/>
    <col min="7144" max="7144" width="18.28515625" style="1" customWidth="1"/>
    <col min="7145" max="7145" width="0" style="1" hidden="1" customWidth="1"/>
    <col min="7146" max="7146" width="4.140625" style="1" customWidth="1"/>
    <col min="7147" max="7147" width="1.7109375" style="1" customWidth="1"/>
    <col min="7148" max="7148" width="3.42578125" style="1" customWidth="1"/>
    <col min="7149" max="7151" width="1.7109375" style="1" customWidth="1"/>
    <col min="7152" max="7152" width="3" style="1" bestFit="1" customWidth="1"/>
    <col min="7153" max="7393" width="8.7109375" style="1"/>
    <col min="7394" max="7394" width="6.42578125" style="1" customWidth="1"/>
    <col min="7395" max="7395" width="22.28515625" style="1" customWidth="1"/>
    <col min="7396" max="7396" width="11.5703125" style="1" customWidth="1"/>
    <col min="7397" max="7397" width="11.85546875" style="1" customWidth="1"/>
    <col min="7398" max="7398" width="16.5703125" style="1" customWidth="1"/>
    <col min="7399" max="7399" width="15.5703125" style="1" customWidth="1"/>
    <col min="7400" max="7400" width="18.28515625" style="1" customWidth="1"/>
    <col min="7401" max="7401" width="0" style="1" hidden="1" customWidth="1"/>
    <col min="7402" max="7402" width="4.140625" style="1" customWidth="1"/>
    <col min="7403" max="7403" width="1.7109375" style="1" customWidth="1"/>
    <col min="7404" max="7404" width="3.42578125" style="1" customWidth="1"/>
    <col min="7405" max="7407" width="1.7109375" style="1" customWidth="1"/>
    <col min="7408" max="7408" width="3" style="1" bestFit="1" customWidth="1"/>
    <col min="7409" max="7649" width="8.7109375" style="1"/>
    <col min="7650" max="7650" width="6.42578125" style="1" customWidth="1"/>
    <col min="7651" max="7651" width="22.28515625" style="1" customWidth="1"/>
    <col min="7652" max="7652" width="11.5703125" style="1" customWidth="1"/>
    <col min="7653" max="7653" width="11.85546875" style="1" customWidth="1"/>
    <col min="7654" max="7654" width="16.5703125" style="1" customWidth="1"/>
    <col min="7655" max="7655" width="15.5703125" style="1" customWidth="1"/>
    <col min="7656" max="7656" width="18.28515625" style="1" customWidth="1"/>
    <col min="7657" max="7657" width="0" style="1" hidden="1" customWidth="1"/>
    <col min="7658" max="7658" width="4.140625" style="1" customWidth="1"/>
    <col min="7659" max="7659" width="1.7109375" style="1" customWidth="1"/>
    <col min="7660" max="7660" width="3.42578125" style="1" customWidth="1"/>
    <col min="7661" max="7663" width="1.7109375" style="1" customWidth="1"/>
    <col min="7664" max="7664" width="3" style="1" bestFit="1" customWidth="1"/>
    <col min="7665" max="7905" width="8.7109375" style="1"/>
    <col min="7906" max="7906" width="6.42578125" style="1" customWidth="1"/>
    <col min="7907" max="7907" width="22.28515625" style="1" customWidth="1"/>
    <col min="7908" max="7908" width="11.5703125" style="1" customWidth="1"/>
    <col min="7909" max="7909" width="11.85546875" style="1" customWidth="1"/>
    <col min="7910" max="7910" width="16.5703125" style="1" customWidth="1"/>
    <col min="7911" max="7911" width="15.5703125" style="1" customWidth="1"/>
    <col min="7912" max="7912" width="18.28515625" style="1" customWidth="1"/>
    <col min="7913" max="7913" width="0" style="1" hidden="1" customWidth="1"/>
    <col min="7914" max="7914" width="4.140625" style="1" customWidth="1"/>
    <col min="7915" max="7915" width="1.7109375" style="1" customWidth="1"/>
    <col min="7916" max="7916" width="3.42578125" style="1" customWidth="1"/>
    <col min="7917" max="7919" width="1.7109375" style="1" customWidth="1"/>
    <col min="7920" max="7920" width="3" style="1" bestFit="1" customWidth="1"/>
    <col min="7921" max="8161" width="8.7109375" style="1"/>
    <col min="8162" max="8162" width="6.42578125" style="1" customWidth="1"/>
    <col min="8163" max="8163" width="22.28515625" style="1" customWidth="1"/>
    <col min="8164" max="8164" width="11.5703125" style="1" customWidth="1"/>
    <col min="8165" max="8165" width="11.85546875" style="1" customWidth="1"/>
    <col min="8166" max="8166" width="16.5703125" style="1" customWidth="1"/>
    <col min="8167" max="8167" width="15.5703125" style="1" customWidth="1"/>
    <col min="8168" max="8168" width="18.28515625" style="1" customWidth="1"/>
    <col min="8169" max="8169" width="0" style="1" hidden="1" customWidth="1"/>
    <col min="8170" max="8170" width="4.140625" style="1" customWidth="1"/>
    <col min="8171" max="8171" width="1.7109375" style="1" customWidth="1"/>
    <col min="8172" max="8172" width="3.42578125" style="1" customWidth="1"/>
    <col min="8173" max="8175" width="1.7109375" style="1" customWidth="1"/>
    <col min="8176" max="8176" width="3" style="1" bestFit="1" customWidth="1"/>
    <col min="8177" max="8417" width="8.7109375" style="1"/>
    <col min="8418" max="8418" width="6.42578125" style="1" customWidth="1"/>
    <col min="8419" max="8419" width="22.28515625" style="1" customWidth="1"/>
    <col min="8420" max="8420" width="11.5703125" style="1" customWidth="1"/>
    <col min="8421" max="8421" width="11.85546875" style="1" customWidth="1"/>
    <col min="8422" max="8422" width="16.5703125" style="1" customWidth="1"/>
    <col min="8423" max="8423" width="15.5703125" style="1" customWidth="1"/>
    <col min="8424" max="8424" width="18.28515625" style="1" customWidth="1"/>
    <col min="8425" max="8425" width="0" style="1" hidden="1" customWidth="1"/>
    <col min="8426" max="8426" width="4.140625" style="1" customWidth="1"/>
    <col min="8427" max="8427" width="1.7109375" style="1" customWidth="1"/>
    <col min="8428" max="8428" width="3.42578125" style="1" customWidth="1"/>
    <col min="8429" max="8431" width="1.7109375" style="1" customWidth="1"/>
    <col min="8432" max="8432" width="3" style="1" bestFit="1" customWidth="1"/>
    <col min="8433" max="8673" width="8.7109375" style="1"/>
    <col min="8674" max="8674" width="6.42578125" style="1" customWidth="1"/>
    <col min="8675" max="8675" width="22.28515625" style="1" customWidth="1"/>
    <col min="8676" max="8676" width="11.5703125" style="1" customWidth="1"/>
    <col min="8677" max="8677" width="11.85546875" style="1" customWidth="1"/>
    <col min="8678" max="8678" width="16.5703125" style="1" customWidth="1"/>
    <col min="8679" max="8679" width="15.5703125" style="1" customWidth="1"/>
    <col min="8680" max="8680" width="18.28515625" style="1" customWidth="1"/>
    <col min="8681" max="8681" width="0" style="1" hidden="1" customWidth="1"/>
    <col min="8682" max="8682" width="4.140625" style="1" customWidth="1"/>
    <col min="8683" max="8683" width="1.7109375" style="1" customWidth="1"/>
    <col min="8684" max="8684" width="3.42578125" style="1" customWidth="1"/>
    <col min="8685" max="8687" width="1.7109375" style="1" customWidth="1"/>
    <col min="8688" max="8688" width="3" style="1" bestFit="1" customWidth="1"/>
    <col min="8689" max="8929" width="8.7109375" style="1"/>
    <col min="8930" max="8930" width="6.42578125" style="1" customWidth="1"/>
    <col min="8931" max="8931" width="22.28515625" style="1" customWidth="1"/>
    <col min="8932" max="8932" width="11.5703125" style="1" customWidth="1"/>
    <col min="8933" max="8933" width="11.85546875" style="1" customWidth="1"/>
    <col min="8934" max="8934" width="16.5703125" style="1" customWidth="1"/>
    <col min="8935" max="8935" width="15.5703125" style="1" customWidth="1"/>
    <col min="8936" max="8936" width="18.28515625" style="1" customWidth="1"/>
    <col min="8937" max="8937" width="0" style="1" hidden="1" customWidth="1"/>
    <col min="8938" max="8938" width="4.140625" style="1" customWidth="1"/>
    <col min="8939" max="8939" width="1.7109375" style="1" customWidth="1"/>
    <col min="8940" max="8940" width="3.42578125" style="1" customWidth="1"/>
    <col min="8941" max="8943" width="1.7109375" style="1" customWidth="1"/>
    <col min="8944" max="8944" width="3" style="1" bestFit="1" customWidth="1"/>
    <col min="8945" max="9185" width="8.7109375" style="1"/>
    <col min="9186" max="9186" width="6.42578125" style="1" customWidth="1"/>
    <col min="9187" max="9187" width="22.28515625" style="1" customWidth="1"/>
    <col min="9188" max="9188" width="11.5703125" style="1" customWidth="1"/>
    <col min="9189" max="9189" width="11.85546875" style="1" customWidth="1"/>
    <col min="9190" max="9190" width="16.5703125" style="1" customWidth="1"/>
    <col min="9191" max="9191" width="15.5703125" style="1" customWidth="1"/>
    <col min="9192" max="9192" width="18.28515625" style="1" customWidth="1"/>
    <col min="9193" max="9193" width="0" style="1" hidden="1" customWidth="1"/>
    <col min="9194" max="9194" width="4.140625" style="1" customWidth="1"/>
    <col min="9195" max="9195" width="1.7109375" style="1" customWidth="1"/>
    <col min="9196" max="9196" width="3.42578125" style="1" customWidth="1"/>
    <col min="9197" max="9199" width="1.7109375" style="1" customWidth="1"/>
    <col min="9200" max="9200" width="3" style="1" bestFit="1" customWidth="1"/>
    <col min="9201" max="9441" width="8.7109375" style="1"/>
    <col min="9442" max="9442" width="6.42578125" style="1" customWidth="1"/>
    <col min="9443" max="9443" width="22.28515625" style="1" customWidth="1"/>
    <col min="9444" max="9444" width="11.5703125" style="1" customWidth="1"/>
    <col min="9445" max="9445" width="11.85546875" style="1" customWidth="1"/>
    <col min="9446" max="9446" width="16.5703125" style="1" customWidth="1"/>
    <col min="9447" max="9447" width="15.5703125" style="1" customWidth="1"/>
    <col min="9448" max="9448" width="18.28515625" style="1" customWidth="1"/>
    <col min="9449" max="9449" width="0" style="1" hidden="1" customWidth="1"/>
    <col min="9450" max="9450" width="4.140625" style="1" customWidth="1"/>
    <col min="9451" max="9451" width="1.7109375" style="1" customWidth="1"/>
    <col min="9452" max="9452" width="3.42578125" style="1" customWidth="1"/>
    <col min="9453" max="9455" width="1.7109375" style="1" customWidth="1"/>
    <col min="9456" max="9456" width="3" style="1" bestFit="1" customWidth="1"/>
    <col min="9457" max="9697" width="8.7109375" style="1"/>
    <col min="9698" max="9698" width="6.42578125" style="1" customWidth="1"/>
    <col min="9699" max="9699" width="22.28515625" style="1" customWidth="1"/>
    <col min="9700" max="9700" width="11.5703125" style="1" customWidth="1"/>
    <col min="9701" max="9701" width="11.85546875" style="1" customWidth="1"/>
    <col min="9702" max="9702" width="16.5703125" style="1" customWidth="1"/>
    <col min="9703" max="9703" width="15.5703125" style="1" customWidth="1"/>
    <col min="9704" max="9704" width="18.28515625" style="1" customWidth="1"/>
    <col min="9705" max="9705" width="0" style="1" hidden="1" customWidth="1"/>
    <col min="9706" max="9706" width="4.140625" style="1" customWidth="1"/>
    <col min="9707" max="9707" width="1.7109375" style="1" customWidth="1"/>
    <col min="9708" max="9708" width="3.42578125" style="1" customWidth="1"/>
    <col min="9709" max="9711" width="1.7109375" style="1" customWidth="1"/>
    <col min="9712" max="9712" width="3" style="1" bestFit="1" customWidth="1"/>
    <col min="9713" max="9953" width="8.7109375" style="1"/>
    <col min="9954" max="9954" width="6.42578125" style="1" customWidth="1"/>
    <col min="9955" max="9955" width="22.28515625" style="1" customWidth="1"/>
    <col min="9956" max="9956" width="11.5703125" style="1" customWidth="1"/>
    <col min="9957" max="9957" width="11.85546875" style="1" customWidth="1"/>
    <col min="9958" max="9958" width="16.5703125" style="1" customWidth="1"/>
    <col min="9959" max="9959" width="15.5703125" style="1" customWidth="1"/>
    <col min="9960" max="9960" width="18.28515625" style="1" customWidth="1"/>
    <col min="9961" max="9961" width="0" style="1" hidden="1" customWidth="1"/>
    <col min="9962" max="9962" width="4.140625" style="1" customWidth="1"/>
    <col min="9963" max="9963" width="1.7109375" style="1" customWidth="1"/>
    <col min="9964" max="9964" width="3.42578125" style="1" customWidth="1"/>
    <col min="9965" max="9967" width="1.7109375" style="1" customWidth="1"/>
    <col min="9968" max="9968" width="3" style="1" bestFit="1" customWidth="1"/>
    <col min="9969" max="10209" width="8.7109375" style="1"/>
    <col min="10210" max="10210" width="6.42578125" style="1" customWidth="1"/>
    <col min="10211" max="10211" width="22.28515625" style="1" customWidth="1"/>
    <col min="10212" max="10212" width="11.5703125" style="1" customWidth="1"/>
    <col min="10213" max="10213" width="11.85546875" style="1" customWidth="1"/>
    <col min="10214" max="10214" width="16.5703125" style="1" customWidth="1"/>
    <col min="10215" max="10215" width="15.5703125" style="1" customWidth="1"/>
    <col min="10216" max="10216" width="18.28515625" style="1" customWidth="1"/>
    <col min="10217" max="10217" width="0" style="1" hidden="1" customWidth="1"/>
    <col min="10218" max="10218" width="4.140625" style="1" customWidth="1"/>
    <col min="10219" max="10219" width="1.7109375" style="1" customWidth="1"/>
    <col min="10220" max="10220" width="3.42578125" style="1" customWidth="1"/>
    <col min="10221" max="10223" width="1.7109375" style="1" customWidth="1"/>
    <col min="10224" max="10224" width="3" style="1" bestFit="1" customWidth="1"/>
    <col min="10225" max="10465" width="8.7109375" style="1"/>
    <col min="10466" max="10466" width="6.42578125" style="1" customWidth="1"/>
    <col min="10467" max="10467" width="22.28515625" style="1" customWidth="1"/>
    <col min="10468" max="10468" width="11.5703125" style="1" customWidth="1"/>
    <col min="10469" max="10469" width="11.85546875" style="1" customWidth="1"/>
    <col min="10470" max="10470" width="16.5703125" style="1" customWidth="1"/>
    <col min="10471" max="10471" width="15.5703125" style="1" customWidth="1"/>
    <col min="10472" max="10472" width="18.28515625" style="1" customWidth="1"/>
    <col min="10473" max="10473" width="0" style="1" hidden="1" customWidth="1"/>
    <col min="10474" max="10474" width="4.140625" style="1" customWidth="1"/>
    <col min="10475" max="10475" width="1.7109375" style="1" customWidth="1"/>
    <col min="10476" max="10476" width="3.42578125" style="1" customWidth="1"/>
    <col min="10477" max="10479" width="1.7109375" style="1" customWidth="1"/>
    <col min="10480" max="10480" width="3" style="1" bestFit="1" customWidth="1"/>
    <col min="10481" max="10721" width="8.7109375" style="1"/>
    <col min="10722" max="10722" width="6.42578125" style="1" customWidth="1"/>
    <col min="10723" max="10723" width="22.28515625" style="1" customWidth="1"/>
    <col min="10724" max="10724" width="11.5703125" style="1" customWidth="1"/>
    <col min="10725" max="10725" width="11.85546875" style="1" customWidth="1"/>
    <col min="10726" max="10726" width="16.5703125" style="1" customWidth="1"/>
    <col min="10727" max="10727" width="15.5703125" style="1" customWidth="1"/>
    <col min="10728" max="10728" width="18.28515625" style="1" customWidth="1"/>
    <col min="10729" max="10729" width="0" style="1" hidden="1" customWidth="1"/>
    <col min="10730" max="10730" width="4.140625" style="1" customWidth="1"/>
    <col min="10731" max="10731" width="1.7109375" style="1" customWidth="1"/>
    <col min="10732" max="10732" width="3.42578125" style="1" customWidth="1"/>
    <col min="10733" max="10735" width="1.7109375" style="1" customWidth="1"/>
    <col min="10736" max="10736" width="3" style="1" bestFit="1" customWidth="1"/>
    <col min="10737" max="10977" width="8.7109375" style="1"/>
    <col min="10978" max="10978" width="6.42578125" style="1" customWidth="1"/>
    <col min="10979" max="10979" width="22.28515625" style="1" customWidth="1"/>
    <col min="10980" max="10980" width="11.5703125" style="1" customWidth="1"/>
    <col min="10981" max="10981" width="11.85546875" style="1" customWidth="1"/>
    <col min="10982" max="10982" width="16.5703125" style="1" customWidth="1"/>
    <col min="10983" max="10983" width="15.5703125" style="1" customWidth="1"/>
    <col min="10984" max="10984" width="18.28515625" style="1" customWidth="1"/>
    <col min="10985" max="10985" width="0" style="1" hidden="1" customWidth="1"/>
    <col min="10986" max="10986" width="4.140625" style="1" customWidth="1"/>
    <col min="10987" max="10987" width="1.7109375" style="1" customWidth="1"/>
    <col min="10988" max="10988" width="3.42578125" style="1" customWidth="1"/>
    <col min="10989" max="10991" width="1.7109375" style="1" customWidth="1"/>
    <col min="10992" max="10992" width="3" style="1" bestFit="1" customWidth="1"/>
    <col min="10993" max="11233" width="8.7109375" style="1"/>
    <col min="11234" max="11234" width="6.42578125" style="1" customWidth="1"/>
    <col min="11235" max="11235" width="22.28515625" style="1" customWidth="1"/>
    <col min="11236" max="11236" width="11.5703125" style="1" customWidth="1"/>
    <col min="11237" max="11237" width="11.85546875" style="1" customWidth="1"/>
    <col min="11238" max="11238" width="16.5703125" style="1" customWidth="1"/>
    <col min="11239" max="11239" width="15.5703125" style="1" customWidth="1"/>
    <col min="11240" max="11240" width="18.28515625" style="1" customWidth="1"/>
    <col min="11241" max="11241" width="0" style="1" hidden="1" customWidth="1"/>
    <col min="11242" max="11242" width="4.140625" style="1" customWidth="1"/>
    <col min="11243" max="11243" width="1.7109375" style="1" customWidth="1"/>
    <col min="11244" max="11244" width="3.42578125" style="1" customWidth="1"/>
    <col min="11245" max="11247" width="1.7109375" style="1" customWidth="1"/>
    <col min="11248" max="11248" width="3" style="1" bestFit="1" customWidth="1"/>
    <col min="11249" max="11489" width="8.7109375" style="1"/>
    <col min="11490" max="11490" width="6.42578125" style="1" customWidth="1"/>
    <col min="11491" max="11491" width="22.28515625" style="1" customWidth="1"/>
    <col min="11492" max="11492" width="11.5703125" style="1" customWidth="1"/>
    <col min="11493" max="11493" width="11.85546875" style="1" customWidth="1"/>
    <col min="11494" max="11494" width="16.5703125" style="1" customWidth="1"/>
    <col min="11495" max="11495" width="15.5703125" style="1" customWidth="1"/>
    <col min="11496" max="11496" width="18.28515625" style="1" customWidth="1"/>
    <col min="11497" max="11497" width="0" style="1" hidden="1" customWidth="1"/>
    <col min="11498" max="11498" width="4.140625" style="1" customWidth="1"/>
    <col min="11499" max="11499" width="1.7109375" style="1" customWidth="1"/>
    <col min="11500" max="11500" width="3.42578125" style="1" customWidth="1"/>
    <col min="11501" max="11503" width="1.7109375" style="1" customWidth="1"/>
    <col min="11504" max="11504" width="3" style="1" bestFit="1" customWidth="1"/>
    <col min="11505" max="11745" width="8.7109375" style="1"/>
    <col min="11746" max="11746" width="6.42578125" style="1" customWidth="1"/>
    <col min="11747" max="11747" width="22.28515625" style="1" customWidth="1"/>
    <col min="11748" max="11748" width="11.5703125" style="1" customWidth="1"/>
    <col min="11749" max="11749" width="11.85546875" style="1" customWidth="1"/>
    <col min="11750" max="11750" width="16.5703125" style="1" customWidth="1"/>
    <col min="11751" max="11751" width="15.5703125" style="1" customWidth="1"/>
    <col min="11752" max="11752" width="18.28515625" style="1" customWidth="1"/>
    <col min="11753" max="11753" width="0" style="1" hidden="1" customWidth="1"/>
    <col min="11754" max="11754" width="4.140625" style="1" customWidth="1"/>
    <col min="11755" max="11755" width="1.7109375" style="1" customWidth="1"/>
    <col min="11756" max="11756" width="3.42578125" style="1" customWidth="1"/>
    <col min="11757" max="11759" width="1.7109375" style="1" customWidth="1"/>
    <col min="11760" max="11760" width="3" style="1" bestFit="1" customWidth="1"/>
    <col min="11761" max="12001" width="8.7109375" style="1"/>
    <col min="12002" max="12002" width="6.42578125" style="1" customWidth="1"/>
    <col min="12003" max="12003" width="22.28515625" style="1" customWidth="1"/>
    <col min="12004" max="12004" width="11.5703125" style="1" customWidth="1"/>
    <col min="12005" max="12005" width="11.85546875" style="1" customWidth="1"/>
    <col min="12006" max="12006" width="16.5703125" style="1" customWidth="1"/>
    <col min="12007" max="12007" width="15.5703125" style="1" customWidth="1"/>
    <col min="12008" max="12008" width="18.28515625" style="1" customWidth="1"/>
    <col min="12009" max="12009" width="0" style="1" hidden="1" customWidth="1"/>
    <col min="12010" max="12010" width="4.140625" style="1" customWidth="1"/>
    <col min="12011" max="12011" width="1.7109375" style="1" customWidth="1"/>
    <col min="12012" max="12012" width="3.42578125" style="1" customWidth="1"/>
    <col min="12013" max="12015" width="1.7109375" style="1" customWidth="1"/>
    <col min="12016" max="12016" width="3" style="1" bestFit="1" customWidth="1"/>
    <col min="12017" max="12257" width="8.7109375" style="1"/>
    <col min="12258" max="12258" width="6.42578125" style="1" customWidth="1"/>
    <col min="12259" max="12259" width="22.28515625" style="1" customWidth="1"/>
    <col min="12260" max="12260" width="11.5703125" style="1" customWidth="1"/>
    <col min="12261" max="12261" width="11.85546875" style="1" customWidth="1"/>
    <col min="12262" max="12262" width="16.5703125" style="1" customWidth="1"/>
    <col min="12263" max="12263" width="15.5703125" style="1" customWidth="1"/>
    <col min="12264" max="12264" width="18.28515625" style="1" customWidth="1"/>
    <col min="12265" max="12265" width="0" style="1" hidden="1" customWidth="1"/>
    <col min="12266" max="12266" width="4.140625" style="1" customWidth="1"/>
    <col min="12267" max="12267" width="1.7109375" style="1" customWidth="1"/>
    <col min="12268" max="12268" width="3.42578125" style="1" customWidth="1"/>
    <col min="12269" max="12271" width="1.7109375" style="1" customWidth="1"/>
    <col min="12272" max="12272" width="3" style="1" bestFit="1" customWidth="1"/>
    <col min="12273" max="12513" width="8.7109375" style="1"/>
    <col min="12514" max="12514" width="6.42578125" style="1" customWidth="1"/>
    <col min="12515" max="12515" width="22.28515625" style="1" customWidth="1"/>
    <col min="12516" max="12516" width="11.5703125" style="1" customWidth="1"/>
    <col min="12517" max="12517" width="11.85546875" style="1" customWidth="1"/>
    <col min="12518" max="12518" width="16.5703125" style="1" customWidth="1"/>
    <col min="12519" max="12519" width="15.5703125" style="1" customWidth="1"/>
    <col min="12520" max="12520" width="18.28515625" style="1" customWidth="1"/>
    <col min="12521" max="12521" width="0" style="1" hidden="1" customWidth="1"/>
    <col min="12522" max="12522" width="4.140625" style="1" customWidth="1"/>
    <col min="12523" max="12523" width="1.7109375" style="1" customWidth="1"/>
    <col min="12524" max="12524" width="3.42578125" style="1" customWidth="1"/>
    <col min="12525" max="12527" width="1.7109375" style="1" customWidth="1"/>
    <col min="12528" max="12528" width="3" style="1" bestFit="1" customWidth="1"/>
    <col min="12529" max="12769" width="8.7109375" style="1"/>
    <col min="12770" max="12770" width="6.42578125" style="1" customWidth="1"/>
    <col min="12771" max="12771" width="22.28515625" style="1" customWidth="1"/>
    <col min="12772" max="12772" width="11.5703125" style="1" customWidth="1"/>
    <col min="12773" max="12773" width="11.85546875" style="1" customWidth="1"/>
    <col min="12774" max="12774" width="16.5703125" style="1" customWidth="1"/>
    <col min="12775" max="12775" width="15.5703125" style="1" customWidth="1"/>
    <col min="12776" max="12776" width="18.28515625" style="1" customWidth="1"/>
    <col min="12777" max="12777" width="0" style="1" hidden="1" customWidth="1"/>
    <col min="12778" max="12778" width="4.140625" style="1" customWidth="1"/>
    <col min="12779" max="12779" width="1.7109375" style="1" customWidth="1"/>
    <col min="12780" max="12780" width="3.42578125" style="1" customWidth="1"/>
    <col min="12781" max="12783" width="1.7109375" style="1" customWidth="1"/>
    <col min="12784" max="12784" width="3" style="1" bestFit="1" customWidth="1"/>
    <col min="12785" max="13025" width="8.7109375" style="1"/>
    <col min="13026" max="13026" width="6.42578125" style="1" customWidth="1"/>
    <col min="13027" max="13027" width="22.28515625" style="1" customWidth="1"/>
    <col min="13028" max="13028" width="11.5703125" style="1" customWidth="1"/>
    <col min="13029" max="13029" width="11.85546875" style="1" customWidth="1"/>
    <col min="13030" max="13030" width="16.5703125" style="1" customWidth="1"/>
    <col min="13031" max="13031" width="15.5703125" style="1" customWidth="1"/>
    <col min="13032" max="13032" width="18.28515625" style="1" customWidth="1"/>
    <col min="13033" max="13033" width="0" style="1" hidden="1" customWidth="1"/>
    <col min="13034" max="13034" width="4.140625" style="1" customWidth="1"/>
    <col min="13035" max="13035" width="1.7109375" style="1" customWidth="1"/>
    <col min="13036" max="13036" width="3.42578125" style="1" customWidth="1"/>
    <col min="13037" max="13039" width="1.7109375" style="1" customWidth="1"/>
    <col min="13040" max="13040" width="3" style="1" bestFit="1" customWidth="1"/>
    <col min="13041" max="13281" width="8.7109375" style="1"/>
    <col min="13282" max="13282" width="6.42578125" style="1" customWidth="1"/>
    <col min="13283" max="13283" width="22.28515625" style="1" customWidth="1"/>
    <col min="13284" max="13284" width="11.5703125" style="1" customWidth="1"/>
    <col min="13285" max="13285" width="11.85546875" style="1" customWidth="1"/>
    <col min="13286" max="13286" width="16.5703125" style="1" customWidth="1"/>
    <col min="13287" max="13287" width="15.5703125" style="1" customWidth="1"/>
    <col min="13288" max="13288" width="18.28515625" style="1" customWidth="1"/>
    <col min="13289" max="13289" width="0" style="1" hidden="1" customWidth="1"/>
    <col min="13290" max="13290" width="4.140625" style="1" customWidth="1"/>
    <col min="13291" max="13291" width="1.7109375" style="1" customWidth="1"/>
    <col min="13292" max="13292" width="3.42578125" style="1" customWidth="1"/>
    <col min="13293" max="13295" width="1.7109375" style="1" customWidth="1"/>
    <col min="13296" max="13296" width="3" style="1" bestFit="1" customWidth="1"/>
    <col min="13297" max="13537" width="8.7109375" style="1"/>
    <col min="13538" max="13538" width="6.42578125" style="1" customWidth="1"/>
    <col min="13539" max="13539" width="22.28515625" style="1" customWidth="1"/>
    <col min="13540" max="13540" width="11.5703125" style="1" customWidth="1"/>
    <col min="13541" max="13541" width="11.85546875" style="1" customWidth="1"/>
    <col min="13542" max="13542" width="16.5703125" style="1" customWidth="1"/>
    <col min="13543" max="13543" width="15.5703125" style="1" customWidth="1"/>
    <col min="13544" max="13544" width="18.28515625" style="1" customWidth="1"/>
    <col min="13545" max="13545" width="0" style="1" hidden="1" customWidth="1"/>
    <col min="13546" max="13546" width="4.140625" style="1" customWidth="1"/>
    <col min="13547" max="13547" width="1.7109375" style="1" customWidth="1"/>
    <col min="13548" max="13548" width="3.42578125" style="1" customWidth="1"/>
    <col min="13549" max="13551" width="1.7109375" style="1" customWidth="1"/>
    <col min="13552" max="13552" width="3" style="1" bestFit="1" customWidth="1"/>
    <col min="13553" max="13793" width="8.7109375" style="1"/>
    <col min="13794" max="13794" width="6.42578125" style="1" customWidth="1"/>
    <col min="13795" max="13795" width="22.28515625" style="1" customWidth="1"/>
    <col min="13796" max="13796" width="11.5703125" style="1" customWidth="1"/>
    <col min="13797" max="13797" width="11.85546875" style="1" customWidth="1"/>
    <col min="13798" max="13798" width="16.5703125" style="1" customWidth="1"/>
    <col min="13799" max="13799" width="15.5703125" style="1" customWidth="1"/>
    <col min="13800" max="13800" width="18.28515625" style="1" customWidth="1"/>
    <col min="13801" max="13801" width="0" style="1" hidden="1" customWidth="1"/>
    <col min="13802" max="13802" width="4.140625" style="1" customWidth="1"/>
    <col min="13803" max="13803" width="1.7109375" style="1" customWidth="1"/>
    <col min="13804" max="13804" width="3.42578125" style="1" customWidth="1"/>
    <col min="13805" max="13807" width="1.7109375" style="1" customWidth="1"/>
    <col min="13808" max="13808" width="3" style="1" bestFit="1" customWidth="1"/>
    <col min="13809" max="14049" width="8.7109375" style="1"/>
    <col min="14050" max="14050" width="6.42578125" style="1" customWidth="1"/>
    <col min="14051" max="14051" width="22.28515625" style="1" customWidth="1"/>
    <col min="14052" max="14052" width="11.5703125" style="1" customWidth="1"/>
    <col min="14053" max="14053" width="11.85546875" style="1" customWidth="1"/>
    <col min="14054" max="14054" width="16.5703125" style="1" customWidth="1"/>
    <col min="14055" max="14055" width="15.5703125" style="1" customWidth="1"/>
    <col min="14056" max="14056" width="18.28515625" style="1" customWidth="1"/>
    <col min="14057" max="14057" width="0" style="1" hidden="1" customWidth="1"/>
    <col min="14058" max="14058" width="4.140625" style="1" customWidth="1"/>
    <col min="14059" max="14059" width="1.7109375" style="1" customWidth="1"/>
    <col min="14060" max="14060" width="3.42578125" style="1" customWidth="1"/>
    <col min="14061" max="14063" width="1.7109375" style="1" customWidth="1"/>
    <col min="14064" max="14064" width="3" style="1" bestFit="1" customWidth="1"/>
    <col min="14065" max="14305" width="8.7109375" style="1"/>
    <col min="14306" max="14306" width="6.42578125" style="1" customWidth="1"/>
    <col min="14307" max="14307" width="22.28515625" style="1" customWidth="1"/>
    <col min="14308" max="14308" width="11.5703125" style="1" customWidth="1"/>
    <col min="14309" max="14309" width="11.85546875" style="1" customWidth="1"/>
    <col min="14310" max="14310" width="16.5703125" style="1" customWidth="1"/>
    <col min="14311" max="14311" width="15.5703125" style="1" customWidth="1"/>
    <col min="14312" max="14312" width="18.28515625" style="1" customWidth="1"/>
    <col min="14313" max="14313" width="0" style="1" hidden="1" customWidth="1"/>
    <col min="14314" max="14314" width="4.140625" style="1" customWidth="1"/>
    <col min="14315" max="14315" width="1.7109375" style="1" customWidth="1"/>
    <col min="14316" max="14316" width="3.42578125" style="1" customWidth="1"/>
    <col min="14317" max="14319" width="1.7109375" style="1" customWidth="1"/>
    <col min="14320" max="14320" width="3" style="1" bestFit="1" customWidth="1"/>
    <col min="14321" max="14561" width="8.7109375" style="1"/>
    <col min="14562" max="14562" width="6.42578125" style="1" customWidth="1"/>
    <col min="14563" max="14563" width="22.28515625" style="1" customWidth="1"/>
    <col min="14564" max="14564" width="11.5703125" style="1" customWidth="1"/>
    <col min="14565" max="14565" width="11.85546875" style="1" customWidth="1"/>
    <col min="14566" max="14566" width="16.5703125" style="1" customWidth="1"/>
    <col min="14567" max="14567" width="15.5703125" style="1" customWidth="1"/>
    <col min="14568" max="14568" width="18.28515625" style="1" customWidth="1"/>
    <col min="14569" max="14569" width="0" style="1" hidden="1" customWidth="1"/>
    <col min="14570" max="14570" width="4.140625" style="1" customWidth="1"/>
    <col min="14571" max="14571" width="1.7109375" style="1" customWidth="1"/>
    <col min="14572" max="14572" width="3.42578125" style="1" customWidth="1"/>
    <col min="14573" max="14575" width="1.7109375" style="1" customWidth="1"/>
    <col min="14576" max="14576" width="3" style="1" bestFit="1" customWidth="1"/>
    <col min="14577" max="14817" width="8.7109375" style="1"/>
    <col min="14818" max="14818" width="6.42578125" style="1" customWidth="1"/>
    <col min="14819" max="14819" width="22.28515625" style="1" customWidth="1"/>
    <col min="14820" max="14820" width="11.5703125" style="1" customWidth="1"/>
    <col min="14821" max="14821" width="11.85546875" style="1" customWidth="1"/>
    <col min="14822" max="14822" width="16.5703125" style="1" customWidth="1"/>
    <col min="14823" max="14823" width="15.5703125" style="1" customWidth="1"/>
    <col min="14824" max="14824" width="18.28515625" style="1" customWidth="1"/>
    <col min="14825" max="14825" width="0" style="1" hidden="1" customWidth="1"/>
    <col min="14826" max="14826" width="4.140625" style="1" customWidth="1"/>
    <col min="14827" max="14827" width="1.7109375" style="1" customWidth="1"/>
    <col min="14828" max="14828" width="3.42578125" style="1" customWidth="1"/>
    <col min="14829" max="14831" width="1.7109375" style="1" customWidth="1"/>
    <col min="14832" max="14832" width="3" style="1" bestFit="1" customWidth="1"/>
    <col min="14833" max="15073" width="8.7109375" style="1"/>
    <col min="15074" max="15074" width="6.42578125" style="1" customWidth="1"/>
    <col min="15075" max="15075" width="22.28515625" style="1" customWidth="1"/>
    <col min="15076" max="15076" width="11.5703125" style="1" customWidth="1"/>
    <col min="15077" max="15077" width="11.85546875" style="1" customWidth="1"/>
    <col min="15078" max="15078" width="16.5703125" style="1" customWidth="1"/>
    <col min="15079" max="15079" width="15.5703125" style="1" customWidth="1"/>
    <col min="15080" max="15080" width="18.28515625" style="1" customWidth="1"/>
    <col min="15081" max="15081" width="0" style="1" hidden="1" customWidth="1"/>
    <col min="15082" max="15082" width="4.140625" style="1" customWidth="1"/>
    <col min="15083" max="15083" width="1.7109375" style="1" customWidth="1"/>
    <col min="15084" max="15084" width="3.42578125" style="1" customWidth="1"/>
    <col min="15085" max="15087" width="1.7109375" style="1" customWidth="1"/>
    <col min="15088" max="15088" width="3" style="1" bestFit="1" customWidth="1"/>
    <col min="15089" max="15329" width="8.7109375" style="1"/>
    <col min="15330" max="15330" width="6.42578125" style="1" customWidth="1"/>
    <col min="15331" max="15331" width="22.28515625" style="1" customWidth="1"/>
    <col min="15332" max="15332" width="11.5703125" style="1" customWidth="1"/>
    <col min="15333" max="15333" width="11.85546875" style="1" customWidth="1"/>
    <col min="15334" max="15334" width="16.5703125" style="1" customWidth="1"/>
    <col min="15335" max="15335" width="15.5703125" style="1" customWidth="1"/>
    <col min="15336" max="15336" width="18.28515625" style="1" customWidth="1"/>
    <col min="15337" max="15337" width="0" style="1" hidden="1" customWidth="1"/>
    <col min="15338" max="15338" width="4.140625" style="1" customWidth="1"/>
    <col min="15339" max="15339" width="1.7109375" style="1" customWidth="1"/>
    <col min="15340" max="15340" width="3.42578125" style="1" customWidth="1"/>
    <col min="15341" max="15343" width="1.7109375" style="1" customWidth="1"/>
    <col min="15344" max="15344" width="3" style="1" bestFit="1" customWidth="1"/>
    <col min="15345" max="15585" width="8.7109375" style="1"/>
    <col min="15586" max="15586" width="6.42578125" style="1" customWidth="1"/>
    <col min="15587" max="15587" width="22.28515625" style="1" customWidth="1"/>
    <col min="15588" max="15588" width="11.5703125" style="1" customWidth="1"/>
    <col min="15589" max="15589" width="11.85546875" style="1" customWidth="1"/>
    <col min="15590" max="15590" width="16.5703125" style="1" customWidth="1"/>
    <col min="15591" max="15591" width="15.5703125" style="1" customWidth="1"/>
    <col min="15592" max="15592" width="18.28515625" style="1" customWidth="1"/>
    <col min="15593" max="15593" width="0" style="1" hidden="1" customWidth="1"/>
    <col min="15594" max="15594" width="4.140625" style="1" customWidth="1"/>
    <col min="15595" max="15595" width="1.7109375" style="1" customWidth="1"/>
    <col min="15596" max="15596" width="3.42578125" style="1" customWidth="1"/>
    <col min="15597" max="15599" width="1.7109375" style="1" customWidth="1"/>
    <col min="15600" max="15600" width="3" style="1" bestFit="1" customWidth="1"/>
    <col min="15601" max="15841" width="8.7109375" style="1"/>
    <col min="15842" max="15842" width="6.42578125" style="1" customWidth="1"/>
    <col min="15843" max="15843" width="22.28515625" style="1" customWidth="1"/>
    <col min="15844" max="15844" width="11.5703125" style="1" customWidth="1"/>
    <col min="15845" max="15845" width="11.85546875" style="1" customWidth="1"/>
    <col min="15846" max="15846" width="16.5703125" style="1" customWidth="1"/>
    <col min="15847" max="15847" width="15.5703125" style="1" customWidth="1"/>
    <col min="15848" max="15848" width="18.28515625" style="1" customWidth="1"/>
    <col min="15849" max="15849" width="0" style="1" hidden="1" customWidth="1"/>
    <col min="15850" max="15850" width="4.140625" style="1" customWidth="1"/>
    <col min="15851" max="15851" width="1.7109375" style="1" customWidth="1"/>
    <col min="15852" max="15852" width="3.42578125" style="1" customWidth="1"/>
    <col min="15853" max="15855" width="1.7109375" style="1" customWidth="1"/>
    <col min="15856" max="15856" width="3" style="1" bestFit="1" customWidth="1"/>
    <col min="15857" max="16097" width="8.7109375" style="1"/>
    <col min="16098" max="16098" width="6.42578125" style="1" customWidth="1"/>
    <col min="16099" max="16099" width="22.28515625" style="1" customWidth="1"/>
    <col min="16100" max="16100" width="11.5703125" style="1" customWidth="1"/>
    <col min="16101" max="16101" width="11.85546875" style="1" customWidth="1"/>
    <col min="16102" max="16102" width="16.5703125" style="1" customWidth="1"/>
    <col min="16103" max="16103" width="15.5703125" style="1" customWidth="1"/>
    <col min="16104" max="16104" width="18.28515625" style="1" customWidth="1"/>
    <col min="16105" max="16105" width="0" style="1" hidden="1" customWidth="1"/>
    <col min="16106" max="16106" width="4.140625" style="1" customWidth="1"/>
    <col min="16107" max="16107" width="1.7109375" style="1" customWidth="1"/>
    <col min="16108" max="16108" width="3.42578125" style="1" customWidth="1"/>
    <col min="16109" max="16111" width="1.7109375" style="1" customWidth="1"/>
    <col min="16112" max="16112" width="3" style="1" bestFit="1" customWidth="1"/>
    <col min="16113" max="16384" width="8.7109375" style="1"/>
  </cols>
  <sheetData>
    <row r="1" spans="1:10" ht="15.75" x14ac:dyDescent="0.25">
      <c r="A1" s="277"/>
      <c r="B1" s="277"/>
      <c r="C1" s="277"/>
      <c r="D1" s="277"/>
      <c r="E1" s="277"/>
      <c r="F1" s="277"/>
      <c r="G1" s="277"/>
    </row>
    <row r="2" spans="1:10" ht="15.75" x14ac:dyDescent="0.2">
      <c r="A2" s="482" t="s">
        <v>0</v>
      </c>
      <c r="B2" s="482"/>
      <c r="C2" s="482"/>
      <c r="D2" s="482"/>
      <c r="E2" s="482"/>
      <c r="F2" s="482"/>
      <c r="G2" s="482"/>
    </row>
    <row r="3" spans="1:10" ht="15.75" x14ac:dyDescent="0.2">
      <c r="A3" s="482" t="s">
        <v>6</v>
      </c>
      <c r="B3" s="482"/>
      <c r="C3" s="482"/>
      <c r="D3" s="482"/>
      <c r="E3" s="482"/>
      <c r="F3" s="482"/>
      <c r="G3" s="482"/>
    </row>
    <row r="4" spans="1:10" ht="15.75" x14ac:dyDescent="0.25">
      <c r="A4" s="277"/>
      <c r="B4" s="277"/>
      <c r="C4" s="277"/>
      <c r="D4" s="277"/>
      <c r="E4" s="277"/>
      <c r="F4" s="277"/>
      <c r="G4" s="277"/>
    </row>
    <row r="5" spans="1:10" ht="53.45" customHeight="1" x14ac:dyDescent="0.2">
      <c r="A5" s="483" t="s">
        <v>7</v>
      </c>
      <c r="B5" s="484"/>
      <c r="C5" s="488" t="str">
        <f>'ПД '!C4</f>
        <v>Всесезонный туристско-рекреационный комплекс «Эльбрус», Кабардино-Балкарская Республика. 
Благоустройство центральной части Поляны Азау 1 этап</v>
      </c>
      <c r="D5" s="488"/>
      <c r="E5" s="488"/>
      <c r="F5" s="488"/>
      <c r="G5" s="488"/>
      <c r="H5" s="15"/>
    </row>
    <row r="6" spans="1:10" s="2" customFormat="1" ht="35.25" customHeight="1" x14ac:dyDescent="0.25">
      <c r="A6" s="487" t="s">
        <v>8</v>
      </c>
      <c r="B6" s="487"/>
      <c r="C6" s="485"/>
      <c r="D6" s="485"/>
      <c r="E6" s="486"/>
      <c r="F6" s="486"/>
      <c r="G6" s="486"/>
    </row>
    <row r="7" spans="1:10" ht="29.25" customHeight="1" x14ac:dyDescent="0.2">
      <c r="A7" s="487" t="s">
        <v>1</v>
      </c>
      <c r="B7" s="487"/>
      <c r="C7" s="485" t="s">
        <v>48</v>
      </c>
      <c r="D7" s="485"/>
      <c r="E7" s="486"/>
      <c r="F7" s="486"/>
      <c r="G7" s="486"/>
    </row>
    <row r="8" spans="1:10" ht="15.75" x14ac:dyDescent="0.25">
      <c r="A8" s="278"/>
      <c r="B8" s="279"/>
      <c r="C8" s="278"/>
      <c r="D8" s="278"/>
      <c r="E8" s="278"/>
      <c r="F8" s="278"/>
      <c r="G8" s="280" t="s">
        <v>5</v>
      </c>
    </row>
    <row r="9" spans="1:10" ht="15.75" x14ac:dyDescent="0.25">
      <c r="A9" s="476" t="s">
        <v>2</v>
      </c>
      <c r="B9" s="476" t="s">
        <v>3</v>
      </c>
      <c r="C9" s="476" t="s">
        <v>9</v>
      </c>
      <c r="D9" s="476" t="s">
        <v>46</v>
      </c>
      <c r="E9" s="481" t="s">
        <v>102</v>
      </c>
      <c r="F9" s="481"/>
      <c r="G9" s="481"/>
      <c r="H9" s="478" t="s">
        <v>99</v>
      </c>
    </row>
    <row r="10" spans="1:10" ht="34.5" customHeight="1" x14ac:dyDescent="0.2">
      <c r="A10" s="480"/>
      <c r="B10" s="480"/>
      <c r="C10" s="480"/>
      <c r="D10" s="477"/>
      <c r="E10" s="281" t="s">
        <v>10</v>
      </c>
      <c r="F10" s="281" t="s">
        <v>11</v>
      </c>
      <c r="G10" s="281" t="s">
        <v>12</v>
      </c>
      <c r="H10" s="479"/>
    </row>
    <row r="11" spans="1:10" ht="15.75" x14ac:dyDescent="0.2">
      <c r="A11" s="282">
        <v>1</v>
      </c>
      <c r="B11" s="282">
        <v>2</v>
      </c>
      <c r="C11" s="282"/>
      <c r="D11" s="282"/>
      <c r="E11" s="282">
        <v>4</v>
      </c>
      <c r="F11" s="282">
        <v>5</v>
      </c>
      <c r="G11" s="282">
        <v>6</v>
      </c>
      <c r="H11" s="94">
        <v>7</v>
      </c>
    </row>
    <row r="12" spans="1:10" ht="15.75" x14ac:dyDescent="0.2">
      <c r="A12" s="473" t="s">
        <v>13</v>
      </c>
      <c r="B12" s="474"/>
      <c r="C12" s="474"/>
      <c r="D12" s="474"/>
      <c r="E12" s="474"/>
      <c r="F12" s="474"/>
      <c r="G12" s="475"/>
      <c r="H12" s="95"/>
    </row>
    <row r="13" spans="1:10" ht="32.25" customHeight="1" x14ac:dyDescent="0.2">
      <c r="A13" s="283" t="s">
        <v>4</v>
      </c>
      <c r="B13" s="284" t="s">
        <v>183</v>
      </c>
      <c r="C13" s="285" t="s">
        <v>118</v>
      </c>
      <c r="D13" s="283" t="s">
        <v>191</v>
      </c>
      <c r="E13" s="262">
        <v>1046992</v>
      </c>
      <c r="F13" s="286"/>
      <c r="G13" s="286">
        <f>E13</f>
        <v>1046992</v>
      </c>
      <c r="H13" s="95"/>
      <c r="J13" s="205"/>
    </row>
    <row r="14" spans="1:10" s="101" customFormat="1" ht="36.6" customHeight="1" x14ac:dyDescent="0.2">
      <c r="A14" s="283" t="s">
        <v>167</v>
      </c>
      <c r="B14" s="284" t="s">
        <v>184</v>
      </c>
      <c r="C14" s="285" t="s">
        <v>118</v>
      </c>
      <c r="D14" s="283" t="s">
        <v>190</v>
      </c>
      <c r="E14" s="287">
        <v>2364991</v>
      </c>
      <c r="F14" s="287"/>
      <c r="G14" s="287">
        <f>F14+E14</f>
        <v>2364991</v>
      </c>
      <c r="H14" s="95"/>
      <c r="J14" s="205"/>
    </row>
    <row r="15" spans="1:10" s="101" customFormat="1" ht="36.6" customHeight="1" x14ac:dyDescent="0.2">
      <c r="A15" s="283" t="s">
        <v>187</v>
      </c>
      <c r="B15" s="284" t="s">
        <v>341</v>
      </c>
      <c r="C15" s="285" t="s">
        <v>118</v>
      </c>
      <c r="D15" s="283" t="s">
        <v>192</v>
      </c>
      <c r="E15" s="287">
        <v>737283</v>
      </c>
      <c r="F15" s="287"/>
      <c r="G15" s="287">
        <f>F15+E15</f>
        <v>737283</v>
      </c>
      <c r="H15" s="95"/>
      <c r="J15" s="205"/>
    </row>
    <row r="16" spans="1:10" s="101" customFormat="1" ht="36.6" customHeight="1" x14ac:dyDescent="0.2">
      <c r="A16" s="283" t="s">
        <v>188</v>
      </c>
      <c r="B16" s="284" t="s">
        <v>185</v>
      </c>
      <c r="C16" s="285" t="s">
        <v>118</v>
      </c>
      <c r="D16" s="283" t="s">
        <v>193</v>
      </c>
      <c r="E16" s="287">
        <v>697582</v>
      </c>
      <c r="F16" s="287"/>
      <c r="G16" s="287">
        <f>E16</f>
        <v>697582</v>
      </c>
      <c r="H16" s="95"/>
      <c r="J16" s="205"/>
    </row>
    <row r="17" spans="1:10" s="101" customFormat="1" ht="36.6" customHeight="1" x14ac:dyDescent="0.2">
      <c r="A17" s="283" t="s">
        <v>342</v>
      </c>
      <c r="B17" s="284" t="s">
        <v>186</v>
      </c>
      <c r="C17" s="285" t="s">
        <v>118</v>
      </c>
      <c r="D17" s="283" t="s">
        <v>343</v>
      </c>
      <c r="E17" s="287">
        <v>1424028</v>
      </c>
      <c r="F17" s="287"/>
      <c r="G17" s="287">
        <f>E17</f>
        <v>1424028</v>
      </c>
      <c r="H17" s="95"/>
      <c r="J17" s="205"/>
    </row>
    <row r="18" spans="1:10" ht="25.5" customHeight="1" x14ac:dyDescent="0.2">
      <c r="A18" s="457" t="s">
        <v>14</v>
      </c>
      <c r="B18" s="458"/>
      <c r="C18" s="458"/>
      <c r="D18" s="458"/>
      <c r="E18" s="458"/>
      <c r="F18" s="459"/>
      <c r="G18" s="288">
        <f>SUM(G13:G17)</f>
        <v>6270876</v>
      </c>
      <c r="H18" s="95"/>
      <c r="J18" s="206"/>
    </row>
    <row r="19" spans="1:10" ht="25.5" customHeight="1" x14ac:dyDescent="0.2">
      <c r="A19" s="471" t="s">
        <v>128</v>
      </c>
      <c r="B19" s="472"/>
      <c r="C19" s="472"/>
      <c r="D19" s="472"/>
      <c r="E19" s="472"/>
      <c r="F19" s="472"/>
      <c r="G19" s="472"/>
      <c r="H19" s="95"/>
    </row>
    <row r="20" spans="1:10" s="101" customFormat="1" ht="29.25" customHeight="1" x14ac:dyDescent="0.2">
      <c r="A20" s="283" t="s">
        <v>136</v>
      </c>
      <c r="B20" s="289" t="s">
        <v>81</v>
      </c>
      <c r="C20" s="285"/>
      <c r="D20" s="283" t="s">
        <v>120</v>
      </c>
      <c r="E20" s="290"/>
      <c r="F20" s="286">
        <f>'ПД '!J83</f>
        <v>6016803</v>
      </c>
      <c r="G20" s="286">
        <f t="shared" ref="G20" si="0">F20</f>
        <v>6016803</v>
      </c>
      <c r="H20" s="95"/>
    </row>
    <row r="21" spans="1:10" s="101" customFormat="1" ht="29.25" customHeight="1" x14ac:dyDescent="0.2">
      <c r="A21" s="457" t="s">
        <v>15</v>
      </c>
      <c r="B21" s="458"/>
      <c r="C21" s="458"/>
      <c r="D21" s="458"/>
      <c r="E21" s="458"/>
      <c r="F21" s="459"/>
      <c r="G21" s="288">
        <f>G20</f>
        <v>6016803</v>
      </c>
      <c r="H21" s="95"/>
    </row>
    <row r="22" spans="1:10" s="101" customFormat="1" ht="29.25" customHeight="1" x14ac:dyDescent="0.2">
      <c r="A22" s="471" t="s">
        <v>161</v>
      </c>
      <c r="B22" s="472"/>
      <c r="C22" s="472"/>
      <c r="D22" s="472"/>
      <c r="E22" s="472"/>
      <c r="F22" s="472"/>
      <c r="G22" s="472"/>
      <c r="H22" s="95"/>
    </row>
    <row r="23" spans="1:10" ht="65.25" customHeight="1" x14ac:dyDescent="0.2">
      <c r="A23" s="283" t="s">
        <v>121</v>
      </c>
      <c r="B23" s="289" t="s">
        <v>162</v>
      </c>
      <c r="C23" s="285"/>
      <c r="D23" s="283" t="s">
        <v>117</v>
      </c>
      <c r="E23" s="290"/>
      <c r="F23" s="291"/>
      <c r="G23" s="286">
        <f>'Экспертиза ПД и ИЗ'!H21</f>
        <v>1760612</v>
      </c>
      <c r="H23" s="96"/>
    </row>
    <row r="24" spans="1:10" ht="19.5" customHeight="1" x14ac:dyDescent="0.2">
      <c r="A24" s="457" t="s">
        <v>122</v>
      </c>
      <c r="B24" s="458"/>
      <c r="C24" s="458"/>
      <c r="D24" s="458"/>
      <c r="E24" s="458"/>
      <c r="F24" s="459"/>
      <c r="G24" s="288">
        <f>G23</f>
        <v>1760612</v>
      </c>
      <c r="H24" s="96"/>
    </row>
    <row r="25" spans="1:10" s="101" customFormat="1" ht="19.5" customHeight="1" x14ac:dyDescent="0.2">
      <c r="A25" s="292"/>
      <c r="B25" s="292"/>
      <c r="C25" s="292"/>
      <c r="D25" s="292"/>
      <c r="E25" s="292"/>
      <c r="F25" s="292" t="s">
        <v>129</v>
      </c>
      <c r="G25" s="294">
        <f>G18+G21+G24</f>
        <v>14048291</v>
      </c>
      <c r="H25" s="107"/>
    </row>
    <row r="26" spans="1:10" s="101" customFormat="1" ht="19.5" customHeight="1" x14ac:dyDescent="0.2">
      <c r="A26" s="292"/>
      <c r="B26" s="292"/>
      <c r="C26" s="292"/>
      <c r="D26" s="292"/>
      <c r="E26" s="292"/>
      <c r="F26" s="292"/>
      <c r="G26" s="293"/>
      <c r="H26" s="107"/>
    </row>
    <row r="27" spans="1:10" s="101" customFormat="1" ht="19.5" customHeight="1" x14ac:dyDescent="0.2">
      <c r="A27" s="292"/>
      <c r="B27" s="292"/>
      <c r="C27" s="292"/>
      <c r="D27" s="292"/>
      <c r="E27" s="292"/>
      <c r="F27" s="292"/>
      <c r="G27" s="293"/>
      <c r="H27" s="107"/>
    </row>
    <row r="28" spans="1:10" s="101" customFormat="1" ht="19.5" customHeight="1" x14ac:dyDescent="0.2">
      <c r="A28" s="292"/>
      <c r="B28" s="292"/>
      <c r="C28" s="292"/>
      <c r="D28" s="292"/>
      <c r="E28" s="292"/>
      <c r="F28" s="292"/>
      <c r="G28" s="293"/>
      <c r="H28" s="107"/>
    </row>
    <row r="29" spans="1:10" s="101" customFormat="1" ht="19.5" customHeight="1" x14ac:dyDescent="0.2">
      <c r="A29" s="292"/>
      <c r="B29" s="292"/>
      <c r="C29" s="292"/>
      <c r="D29" s="292"/>
      <c r="E29" s="292"/>
      <c r="F29" s="292"/>
      <c r="G29" s="293"/>
      <c r="H29" s="107"/>
    </row>
    <row r="30" spans="1:10" s="101" customFormat="1" ht="19.5" customHeight="1" x14ac:dyDescent="0.2">
      <c r="A30" s="292"/>
      <c r="B30" s="292"/>
      <c r="C30" s="292"/>
      <c r="D30" s="292"/>
      <c r="E30" s="292"/>
      <c r="F30" s="292"/>
      <c r="G30" s="293"/>
      <c r="H30" s="107"/>
    </row>
    <row r="31" spans="1:10" s="101" customFormat="1" ht="19.5" customHeight="1" x14ac:dyDescent="0.2">
      <c r="A31" s="292"/>
      <c r="B31" s="292"/>
      <c r="C31" s="292"/>
      <c r="D31" s="292"/>
      <c r="E31" s="292"/>
      <c r="F31" s="292"/>
      <c r="G31" s="293"/>
      <c r="H31" s="107"/>
    </row>
    <row r="32" spans="1:10" s="101" customFormat="1" ht="19.5" customHeight="1" x14ac:dyDescent="0.2">
      <c r="A32" s="292"/>
      <c r="B32" s="292"/>
      <c r="C32" s="292"/>
      <c r="D32" s="292"/>
      <c r="E32" s="292"/>
      <c r="F32" s="292"/>
      <c r="G32" s="293"/>
      <c r="H32" s="107"/>
    </row>
    <row r="33" spans="1:8" s="101" customFormat="1" ht="19.5" customHeight="1" x14ac:dyDescent="0.2">
      <c r="A33" s="292"/>
      <c r="B33" s="292"/>
      <c r="C33" s="292"/>
      <c r="D33" s="292"/>
      <c r="E33" s="292"/>
      <c r="F33" s="292"/>
      <c r="G33" s="293"/>
      <c r="H33" s="107"/>
    </row>
    <row r="34" spans="1:8" s="101" customFormat="1" ht="50.25" customHeight="1" x14ac:dyDescent="0.2">
      <c r="A34" s="460" t="s">
        <v>130</v>
      </c>
      <c r="B34" s="460"/>
      <c r="C34" s="460"/>
      <c r="D34" s="460"/>
      <c r="E34" s="460"/>
      <c r="F34" s="105"/>
      <c r="G34" s="106"/>
      <c r="H34" s="107"/>
    </row>
    <row r="35" spans="1:8" x14ac:dyDescent="0.2">
      <c r="A35" s="101"/>
      <c r="B35" s="101"/>
      <c r="C35" s="101"/>
      <c r="D35" s="101"/>
      <c r="E35" s="101"/>
      <c r="F35" s="101"/>
      <c r="G35" s="101"/>
    </row>
    <row r="36" spans="1:8" x14ac:dyDescent="0.2">
      <c r="A36" s="126" t="s">
        <v>106</v>
      </c>
      <c r="B36" s="126"/>
      <c r="C36" s="126"/>
      <c r="D36" s="147" t="s">
        <v>194</v>
      </c>
      <c r="E36" s="126"/>
      <c r="F36" s="101"/>
      <c r="G36" s="101"/>
    </row>
    <row r="37" spans="1:8" x14ac:dyDescent="0.2">
      <c r="A37" s="126" t="s">
        <v>103</v>
      </c>
      <c r="B37" s="126"/>
      <c r="C37" s="126"/>
      <c r="D37" s="149" t="s">
        <v>196</v>
      </c>
      <c r="E37" s="126"/>
      <c r="F37" s="101"/>
      <c r="G37" s="101"/>
    </row>
    <row r="38" spans="1:8" x14ac:dyDescent="0.2">
      <c r="A38" s="126" t="s">
        <v>104</v>
      </c>
      <c r="B38" s="126"/>
      <c r="C38" s="126"/>
      <c r="D38" s="147" t="s">
        <v>197</v>
      </c>
      <c r="E38" s="126"/>
      <c r="F38" s="101"/>
      <c r="G38" s="101"/>
    </row>
    <row r="39" spans="1:8" x14ac:dyDescent="0.2">
      <c r="A39" s="101"/>
      <c r="B39" s="101"/>
      <c r="C39" s="101"/>
      <c r="D39" s="101"/>
      <c r="E39" s="101"/>
      <c r="F39" s="101"/>
      <c r="G39" s="101"/>
    </row>
    <row r="40" spans="1:8" x14ac:dyDescent="0.2">
      <c r="A40" s="461" t="s">
        <v>139</v>
      </c>
      <c r="B40" s="461"/>
      <c r="C40" s="461"/>
      <c r="D40" s="461"/>
      <c r="E40" s="461"/>
      <c r="F40" s="101"/>
      <c r="G40" s="101"/>
    </row>
    <row r="41" spans="1:8" x14ac:dyDescent="0.2">
      <c r="A41" s="465" t="s">
        <v>148</v>
      </c>
      <c r="B41" s="465"/>
      <c r="C41" s="465"/>
      <c r="D41" s="465"/>
      <c r="E41" s="465"/>
      <c r="F41" s="101"/>
      <c r="G41" s="101"/>
    </row>
    <row r="42" spans="1:8" ht="76.5" x14ac:dyDescent="0.2">
      <c r="A42" s="127" t="s">
        <v>2</v>
      </c>
      <c r="B42" s="128" t="s">
        <v>140</v>
      </c>
      <c r="C42" s="128" t="s">
        <v>141</v>
      </c>
      <c r="D42" s="128" t="s">
        <v>142</v>
      </c>
      <c r="E42" s="128" t="s">
        <v>143</v>
      </c>
      <c r="F42" s="101"/>
      <c r="G42" s="101"/>
    </row>
    <row r="43" spans="1:8" x14ac:dyDescent="0.2">
      <c r="A43" s="129">
        <v>1</v>
      </c>
      <c r="B43" s="130">
        <v>105</v>
      </c>
      <c r="C43" s="130">
        <v>2.5</v>
      </c>
      <c r="D43" s="131">
        <f>(B43-100)/100*C43/12</f>
        <v>0.01</v>
      </c>
      <c r="E43" s="131">
        <f>1+D43</f>
        <v>1.01</v>
      </c>
      <c r="F43" s="101"/>
      <c r="G43" s="101"/>
    </row>
    <row r="44" spans="1:8" x14ac:dyDescent="0.2">
      <c r="A44" s="465" t="s">
        <v>148</v>
      </c>
      <c r="B44" s="465"/>
      <c r="C44" s="465"/>
      <c r="D44" s="465"/>
      <c r="E44" s="465"/>
      <c r="F44" s="101"/>
      <c r="G44" s="101"/>
    </row>
    <row r="45" spans="1:8" ht="63.75" x14ac:dyDescent="0.2">
      <c r="A45" s="129"/>
      <c r="B45" s="128" t="s">
        <v>144</v>
      </c>
      <c r="C45" s="128" t="s">
        <v>145</v>
      </c>
      <c r="D45" s="128" t="s">
        <v>146</v>
      </c>
      <c r="E45" s="128" t="s">
        <v>147</v>
      </c>
      <c r="F45" s="101"/>
      <c r="G45" s="101"/>
    </row>
    <row r="46" spans="1:8" x14ac:dyDescent="0.2">
      <c r="A46" s="130">
        <v>2</v>
      </c>
      <c r="B46" s="130">
        <v>105</v>
      </c>
      <c r="C46" s="130">
        <v>0.5</v>
      </c>
      <c r="D46" s="131">
        <f>(B46-100)/100*C46/12</f>
        <v>2E-3</v>
      </c>
      <c r="E46" s="131">
        <f>1+D46</f>
        <v>1.002</v>
      </c>
      <c r="F46" s="101"/>
      <c r="G46" s="101"/>
    </row>
    <row r="47" spans="1:8" x14ac:dyDescent="0.2">
      <c r="A47" s="465" t="s">
        <v>169</v>
      </c>
      <c r="B47" s="465"/>
      <c r="C47" s="465"/>
      <c r="D47" s="465"/>
      <c r="E47" s="465"/>
      <c r="F47" s="101"/>
      <c r="G47" s="101"/>
    </row>
    <row r="48" spans="1:8" ht="63.75" x14ac:dyDescent="0.2">
      <c r="A48" s="129"/>
      <c r="B48" s="128" t="s">
        <v>149</v>
      </c>
      <c r="C48" s="128" t="s">
        <v>170</v>
      </c>
      <c r="D48" s="128" t="s">
        <v>150</v>
      </c>
      <c r="E48" s="128" t="s">
        <v>151</v>
      </c>
      <c r="F48" s="101"/>
      <c r="G48" s="101"/>
    </row>
    <row r="49" spans="1:7" x14ac:dyDescent="0.2">
      <c r="A49" s="130">
        <v>2</v>
      </c>
      <c r="B49" s="130">
        <v>105.1</v>
      </c>
      <c r="C49" s="130">
        <v>1.5</v>
      </c>
      <c r="D49" s="131">
        <f>(B49-100)/100*C49/12</f>
        <v>6.0000000000000001E-3</v>
      </c>
      <c r="E49" s="131">
        <f>1+0.5*D49</f>
        <v>1.0029999999999999</v>
      </c>
      <c r="F49" s="101"/>
      <c r="G49" s="101"/>
    </row>
    <row r="50" spans="1:7" ht="15" x14ac:dyDescent="0.25">
      <c r="A50" s="137"/>
      <c r="B50" s="138" t="s">
        <v>171</v>
      </c>
      <c r="C50" s="137"/>
      <c r="D50" s="118" t="s">
        <v>173</v>
      </c>
      <c r="E50" s="119" t="s">
        <v>172</v>
      </c>
      <c r="F50" s="101"/>
      <c r="G50" s="101"/>
    </row>
    <row r="51" spans="1:7" x14ac:dyDescent="0.2">
      <c r="A51" s="138"/>
      <c r="B51" s="138"/>
      <c r="C51" s="138"/>
      <c r="D51" s="139">
        <f>D46+D49</f>
        <v>8.0000000000000002E-3</v>
      </c>
      <c r="E51" s="140">
        <f>(1+0.5*D51)</f>
        <v>1.004</v>
      </c>
      <c r="F51" s="101"/>
      <c r="G51" s="101"/>
    </row>
    <row r="52" spans="1:7" x14ac:dyDescent="0.2">
      <c r="A52" s="130">
        <v>3</v>
      </c>
      <c r="B52" s="132" t="s">
        <v>152</v>
      </c>
      <c r="C52" s="132"/>
      <c r="D52" s="128" t="s">
        <v>153</v>
      </c>
      <c r="E52" s="131">
        <f>E43*E51</f>
        <v>1.014</v>
      </c>
      <c r="F52" s="101"/>
      <c r="G52" s="101"/>
    </row>
    <row r="53" spans="1:7" s="101" customFormat="1" x14ac:dyDescent="0.2">
      <c r="A53" s="466" t="s">
        <v>154</v>
      </c>
      <c r="B53" s="466"/>
      <c r="C53" s="466"/>
      <c r="D53" s="466"/>
      <c r="E53" s="466"/>
    </row>
    <row r="54" spans="1:7" x14ac:dyDescent="0.2">
      <c r="A54" s="467" t="s">
        <v>155</v>
      </c>
      <c r="B54" s="467"/>
      <c r="C54" s="467"/>
      <c r="D54" s="123"/>
      <c r="E54" s="133">
        <f>G18</f>
        <v>6270876</v>
      </c>
      <c r="F54" s="101"/>
      <c r="G54" s="101"/>
    </row>
    <row r="55" spans="1:7" x14ac:dyDescent="0.2">
      <c r="A55" s="468" t="s">
        <v>156</v>
      </c>
      <c r="B55" s="469"/>
      <c r="C55" s="470"/>
      <c r="D55" s="123"/>
      <c r="E55" s="131">
        <f>E51</f>
        <v>1.004</v>
      </c>
      <c r="F55" s="101"/>
      <c r="G55" s="101"/>
    </row>
    <row r="56" spans="1:7" x14ac:dyDescent="0.2">
      <c r="A56" s="468" t="s">
        <v>157</v>
      </c>
      <c r="B56" s="469"/>
      <c r="C56" s="470"/>
      <c r="D56" s="132"/>
      <c r="E56" s="133">
        <f>E54*E55</f>
        <v>6295960</v>
      </c>
      <c r="F56" s="101"/>
      <c r="G56" s="101"/>
    </row>
    <row r="57" spans="1:7" ht="25.5" x14ac:dyDescent="0.2">
      <c r="A57" s="462" t="s">
        <v>158</v>
      </c>
      <c r="B57" s="463"/>
      <c r="C57" s="464"/>
      <c r="D57" s="134" t="s">
        <v>159</v>
      </c>
      <c r="E57" s="135">
        <f>E54+(E56-E54)*(1-30/100)</f>
        <v>6288435</v>
      </c>
      <c r="F57" s="101">
        <f>E57/E54</f>
        <v>1.00280008726054</v>
      </c>
      <c r="G57" s="101"/>
    </row>
    <row r="58" spans="1:7" s="101" customFormat="1" x14ac:dyDescent="0.2">
      <c r="A58" s="136"/>
      <c r="B58" s="136"/>
      <c r="D58" s="124" t="s">
        <v>160</v>
      </c>
      <c r="E58" s="125">
        <f>E57-E54</f>
        <v>17559</v>
      </c>
    </row>
    <row r="59" spans="1:7" s="101" customFormat="1" ht="15" x14ac:dyDescent="0.25">
      <c r="A59"/>
      <c r="B59"/>
      <c r="D59" s="120"/>
      <c r="E59" s="121"/>
    </row>
    <row r="60" spans="1:7" s="101" customFormat="1" x14ac:dyDescent="0.2">
      <c r="A60" s="126" t="s">
        <v>106</v>
      </c>
      <c r="B60" s="126"/>
      <c r="C60" s="126"/>
      <c r="D60" s="126" t="s">
        <v>201</v>
      </c>
      <c r="E60" s="126"/>
    </row>
    <row r="61" spans="1:7" s="101" customFormat="1" x14ac:dyDescent="0.2">
      <c r="A61" s="126" t="s">
        <v>103</v>
      </c>
      <c r="B61" s="126"/>
      <c r="C61" s="126"/>
      <c r="D61" s="148" t="s">
        <v>196</v>
      </c>
      <c r="E61" s="126" t="s">
        <v>199</v>
      </c>
    </row>
    <row r="62" spans="1:7" x14ac:dyDescent="0.2">
      <c r="A62" s="126" t="s">
        <v>104</v>
      </c>
      <c r="B62" s="126"/>
      <c r="C62" s="126"/>
      <c r="D62" s="147" t="s">
        <v>200</v>
      </c>
      <c r="E62" s="126"/>
      <c r="F62" s="101"/>
      <c r="G62" s="101"/>
    </row>
    <row r="63" spans="1:7" x14ac:dyDescent="0.2">
      <c r="A63" s="101"/>
      <c r="B63" s="101"/>
      <c r="C63" s="101"/>
      <c r="D63" s="101"/>
      <c r="E63" s="101"/>
      <c r="F63" s="101"/>
    </row>
    <row r="64" spans="1:7" x14ac:dyDescent="0.2">
      <c r="A64" s="461" t="s">
        <v>198</v>
      </c>
      <c r="B64" s="461"/>
      <c r="C64" s="461"/>
      <c r="D64" s="461"/>
      <c r="E64" s="461"/>
      <c r="F64" s="101"/>
    </row>
    <row r="65" spans="1:6" x14ac:dyDescent="0.2">
      <c r="A65" s="465" t="s">
        <v>148</v>
      </c>
      <c r="B65" s="465"/>
      <c r="C65" s="465"/>
      <c r="D65" s="465"/>
      <c r="E65" s="465"/>
      <c r="F65" s="101"/>
    </row>
    <row r="66" spans="1:6" ht="76.5" x14ac:dyDescent="0.2">
      <c r="A66" s="127" t="s">
        <v>2</v>
      </c>
      <c r="B66" s="128" t="s">
        <v>140</v>
      </c>
      <c r="C66" s="128" t="s">
        <v>141</v>
      </c>
      <c r="D66" s="128" t="s">
        <v>142</v>
      </c>
      <c r="E66" s="128" t="s">
        <v>143</v>
      </c>
      <c r="F66" s="101"/>
    </row>
    <row r="67" spans="1:6" x14ac:dyDescent="0.2">
      <c r="A67" s="129">
        <v>1</v>
      </c>
      <c r="B67" s="130">
        <v>105</v>
      </c>
      <c r="C67" s="130">
        <v>2.5</v>
      </c>
      <c r="D67" s="131">
        <f>(B67-100)/100*C67/12</f>
        <v>0.01</v>
      </c>
      <c r="E67" s="131">
        <f>1+D67</f>
        <v>1.01</v>
      </c>
      <c r="F67" s="101"/>
    </row>
    <row r="68" spans="1:6" x14ac:dyDescent="0.2">
      <c r="A68" s="465" t="s">
        <v>148</v>
      </c>
      <c r="B68" s="465"/>
      <c r="C68" s="465"/>
      <c r="D68" s="465"/>
      <c r="E68" s="465"/>
      <c r="F68" s="101"/>
    </row>
    <row r="69" spans="1:6" ht="63.75" x14ac:dyDescent="0.2">
      <c r="A69" s="129"/>
      <c r="B69" s="128" t="s">
        <v>144</v>
      </c>
      <c r="C69" s="128" t="s">
        <v>145</v>
      </c>
      <c r="D69" s="128" t="s">
        <v>146</v>
      </c>
      <c r="E69" s="128" t="s">
        <v>147</v>
      </c>
      <c r="F69" s="101"/>
    </row>
    <row r="70" spans="1:6" x14ac:dyDescent="0.2">
      <c r="A70" s="130">
        <v>2</v>
      </c>
      <c r="B70" s="130">
        <v>105</v>
      </c>
      <c r="C70" s="130">
        <v>0.5</v>
      </c>
      <c r="D70" s="131">
        <f>(B70-100)/100*C70/12</f>
        <v>2E-3</v>
      </c>
      <c r="E70" s="131">
        <f>1+D70</f>
        <v>1.002</v>
      </c>
      <c r="F70" s="101"/>
    </row>
    <row r="71" spans="1:6" x14ac:dyDescent="0.2">
      <c r="A71" s="465" t="s">
        <v>169</v>
      </c>
      <c r="B71" s="465"/>
      <c r="C71" s="465"/>
      <c r="D71" s="465"/>
      <c r="E71" s="465"/>
      <c r="F71" s="101"/>
    </row>
    <row r="72" spans="1:6" ht="63.75" x14ac:dyDescent="0.2">
      <c r="A72" s="129"/>
      <c r="B72" s="128" t="s">
        <v>149</v>
      </c>
      <c r="C72" s="128" t="s">
        <v>170</v>
      </c>
      <c r="D72" s="128" t="s">
        <v>150</v>
      </c>
      <c r="E72" s="128" t="s">
        <v>151</v>
      </c>
      <c r="F72" s="101"/>
    </row>
    <row r="73" spans="1:6" x14ac:dyDescent="0.2">
      <c r="A73" s="130">
        <v>2</v>
      </c>
      <c r="B73" s="130">
        <v>105.1</v>
      </c>
      <c r="C73" s="130">
        <v>5.4</v>
      </c>
      <c r="D73" s="131">
        <f>(B73-100)/100*C73/12</f>
        <v>2.3E-2</v>
      </c>
      <c r="E73" s="131">
        <f>1+0.5*D73</f>
        <v>1.012</v>
      </c>
      <c r="F73" s="101"/>
    </row>
    <row r="74" spans="1:6" ht="15" x14ac:dyDescent="0.25">
      <c r="A74" s="137"/>
      <c r="B74" s="138" t="s">
        <v>171</v>
      </c>
      <c r="C74" s="137"/>
      <c r="D74" s="118" t="s">
        <v>173</v>
      </c>
      <c r="E74" s="119" t="s">
        <v>172</v>
      </c>
      <c r="F74" s="101"/>
    </row>
    <row r="75" spans="1:6" x14ac:dyDescent="0.2">
      <c r="A75" s="138"/>
      <c r="B75" s="138"/>
      <c r="C75" s="138"/>
      <c r="D75" s="139">
        <f>D70+D73</f>
        <v>2.5000000000000001E-2</v>
      </c>
      <c r="E75" s="140">
        <f>(1+0.5*D75)</f>
        <v>1.0129999999999999</v>
      </c>
      <c r="F75" s="101"/>
    </row>
    <row r="76" spans="1:6" x14ac:dyDescent="0.2">
      <c r="A76" s="130">
        <v>3</v>
      </c>
      <c r="B76" s="132" t="s">
        <v>152</v>
      </c>
      <c r="C76" s="132"/>
      <c r="D76" s="128" t="s">
        <v>153</v>
      </c>
      <c r="E76" s="131">
        <f>E67*E75</f>
        <v>1.0229999999999999</v>
      </c>
      <c r="F76" s="101"/>
    </row>
    <row r="77" spans="1:6" x14ac:dyDescent="0.2">
      <c r="A77" s="466" t="s">
        <v>154</v>
      </c>
      <c r="B77" s="466"/>
      <c r="C77" s="466"/>
      <c r="D77" s="466"/>
      <c r="E77" s="466"/>
      <c r="F77" s="101"/>
    </row>
    <row r="78" spans="1:6" x14ac:dyDescent="0.2">
      <c r="A78" s="467" t="s">
        <v>155</v>
      </c>
      <c r="B78" s="467"/>
      <c r="C78" s="467"/>
      <c r="D78" s="123"/>
      <c r="E78" s="133">
        <f>G21</f>
        <v>6016803</v>
      </c>
      <c r="F78" s="101"/>
    </row>
    <row r="79" spans="1:6" x14ac:dyDescent="0.2">
      <c r="A79" s="468" t="s">
        <v>156</v>
      </c>
      <c r="B79" s="469"/>
      <c r="C79" s="470"/>
      <c r="D79" s="123"/>
      <c r="E79" s="131">
        <f>E75</f>
        <v>1.0129999999999999</v>
      </c>
      <c r="F79" s="101"/>
    </row>
    <row r="80" spans="1:6" x14ac:dyDescent="0.2">
      <c r="A80" s="468" t="s">
        <v>157</v>
      </c>
      <c r="B80" s="469"/>
      <c r="C80" s="470"/>
      <c r="D80" s="132"/>
      <c r="E80" s="133">
        <f>E78*E79</f>
        <v>6095021</v>
      </c>
      <c r="F80" s="101"/>
    </row>
    <row r="81" spans="1:6" ht="25.5" x14ac:dyDescent="0.2">
      <c r="A81" s="462" t="s">
        <v>158</v>
      </c>
      <c r="B81" s="463"/>
      <c r="C81" s="464"/>
      <c r="D81" s="134" t="s">
        <v>159</v>
      </c>
      <c r="E81" s="135">
        <f>E78+(E80-E78)*(1-30/100)</f>
        <v>6071556</v>
      </c>
      <c r="F81" s="101">
        <f>E81/E78</f>
        <v>1.0091000154068499</v>
      </c>
    </row>
    <row r="82" spans="1:6" x14ac:dyDescent="0.2">
      <c r="A82" s="136"/>
      <c r="B82" s="136"/>
      <c r="C82" s="101"/>
      <c r="D82" s="124" t="s">
        <v>160</v>
      </c>
      <c r="E82" s="125">
        <f>E81-E78</f>
        <v>54753</v>
      </c>
      <c r="F82" s="101"/>
    </row>
  </sheetData>
  <mergeCells count="39">
    <mergeCell ref="A78:C78"/>
    <mergeCell ref="A79:C79"/>
    <mergeCell ref="A80:C80"/>
    <mergeCell ref="A81:C81"/>
    <mergeCell ref="A64:E64"/>
    <mergeCell ref="A65:E65"/>
    <mergeCell ref="A68:E68"/>
    <mergeCell ref="A71:E71"/>
    <mergeCell ref="A77:E77"/>
    <mergeCell ref="A2:G2"/>
    <mergeCell ref="A3:G3"/>
    <mergeCell ref="A5:B5"/>
    <mergeCell ref="C7:G7"/>
    <mergeCell ref="A6:B6"/>
    <mergeCell ref="C6:G6"/>
    <mergeCell ref="C5:G5"/>
    <mergeCell ref="A7:B7"/>
    <mergeCell ref="H9:H10"/>
    <mergeCell ref="A9:A10"/>
    <mergeCell ref="B9:B10"/>
    <mergeCell ref="C9:C10"/>
    <mergeCell ref="E9:G9"/>
    <mergeCell ref="A21:F21"/>
    <mergeCell ref="A22:G22"/>
    <mergeCell ref="A12:G12"/>
    <mergeCell ref="A18:F18"/>
    <mergeCell ref="D9:D10"/>
    <mergeCell ref="A19:G19"/>
    <mergeCell ref="A24:F24"/>
    <mergeCell ref="A34:E34"/>
    <mergeCell ref="A40:E40"/>
    <mergeCell ref="A57:C57"/>
    <mergeCell ref="A44:E44"/>
    <mergeCell ref="A47:E47"/>
    <mergeCell ref="A53:E53"/>
    <mergeCell ref="A41:E41"/>
    <mergeCell ref="A54:C54"/>
    <mergeCell ref="A55:C55"/>
    <mergeCell ref="A56:C56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дендрология</vt:lpstr>
      <vt:lpstr>График работ</vt:lpstr>
      <vt:lpstr>УНЦС</vt:lpstr>
      <vt:lpstr>Ориентировочная сумма КВЛ</vt:lpstr>
      <vt:lpstr>Пояснительная</vt:lpstr>
      <vt:lpstr>Протокол</vt:lpstr>
      <vt:lpstr>НМЦ</vt:lpstr>
      <vt:lpstr>НМЦК</vt:lpstr>
      <vt:lpstr>Cводная смета ПИР</vt:lpstr>
      <vt:lpstr>ПД </vt:lpstr>
      <vt:lpstr>Экспертиза ПД и ИЗ</vt:lpstr>
      <vt:lpstr>'Cводная смета ПИР'!Область_печати</vt:lpstr>
      <vt:lpstr>НМЦ!Область_печати</vt:lpstr>
      <vt:lpstr>НМЦК!Область_печати</vt:lpstr>
      <vt:lpstr>'ПД '!Область_печати</vt:lpstr>
      <vt:lpstr>Пояснительная!Область_печати</vt:lpstr>
      <vt:lpstr>Протокол!Область_печати</vt:lpstr>
      <vt:lpstr>'Экспертиза ПД и ИЗ'!Область_печати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2020-11-06T10:54:09Z</dcterms:modified>
</cp:coreProperties>
</file>