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ДРИ\Сметный\НМЦ\3. Эльбрус\СИС Стройка\"/>
    </mc:Choice>
  </mc:AlternateContent>
  <bookViews>
    <workbookView xWindow="0" yWindow="0" windowWidth="38400" windowHeight="14610" activeTab="2"/>
  </bookViews>
  <sheets>
    <sheet name="Пояснительная" sheetId="9" r:id="rId1"/>
    <sheet name="Протокол" sheetId="8" r:id="rId2"/>
    <sheet name="НМЦ" sheetId="7" r:id="rId3"/>
    <sheet name="Смета контракта" sheetId="6" r:id="rId4"/>
    <sheet name="ВОР" sheetId="5" r:id="rId5"/>
    <sheet name="НМЦК" sheetId="4" r:id="rId6"/>
    <sheet name="ССРСС т.ц.   3кв 2022г" sheetId="1" r:id="rId7"/>
  </sheets>
  <externalReferences>
    <externalReference r:id="rId8"/>
  </externalReferences>
  <definedNames>
    <definedName name="_xlnm.Print_Titles" localSheetId="6">'ССРСС т.ц.   3кв 2022г'!$24:$24</definedName>
    <definedName name="_xlnm.Print_Area" localSheetId="2">НМЦ!$A$1:$E$51</definedName>
  </definedNames>
  <calcPr calcId="162913" fullPrecision="0"/>
</workbook>
</file>

<file path=xl/calcChain.xml><?xml version="1.0" encoding="utf-8"?>
<calcChain xmlns="http://schemas.openxmlformats.org/spreadsheetml/2006/main">
  <c r="F158" i="4" l="1"/>
  <c r="D158" i="4"/>
  <c r="F156" i="4"/>
  <c r="F160" i="4" s="1"/>
  <c r="D156" i="4"/>
  <c r="F152" i="4"/>
  <c r="F153" i="4" s="1"/>
  <c r="F154" i="4" l="1"/>
  <c r="C159" i="4"/>
  <c r="F159" i="4"/>
  <c r="C160" i="4"/>
  <c r="F161" i="4" l="1"/>
  <c r="C161" i="4"/>
  <c r="J42" i="7" l="1"/>
  <c r="I42" i="7"/>
  <c r="H42" i="7"/>
  <c r="J32" i="7" l="1"/>
  <c r="J17" i="7"/>
  <c r="C7" i="7" l="1"/>
  <c r="F186" i="4" l="1"/>
  <c r="D186" i="4"/>
  <c r="F184" i="4"/>
  <c r="F188" i="4" s="1"/>
  <c r="D184" i="4"/>
  <c r="F180" i="4"/>
  <c r="F181" i="4" s="1"/>
  <c r="F182" i="4" l="1"/>
  <c r="C187" i="4"/>
  <c r="F187" i="4"/>
  <c r="C188" i="4"/>
  <c r="F189" i="4" l="1"/>
  <c r="C189" i="4"/>
  <c r="F139" i="4" l="1"/>
  <c r="A3" i="9" l="1"/>
  <c r="A3" i="4" l="1"/>
  <c r="A2" i="5"/>
  <c r="A2" i="6"/>
  <c r="A4" i="8"/>
  <c r="C6" i="7"/>
  <c r="H75" i="6"/>
  <c r="G32" i="7" s="1"/>
  <c r="H27" i="6"/>
  <c r="G17" i="7" s="1"/>
  <c r="G42" i="7" l="1"/>
  <c r="C5" i="7"/>
  <c r="I73" i="4" l="1"/>
  <c r="I20" i="4"/>
  <c r="I71" i="4" l="1"/>
  <c r="I18" i="4"/>
  <c r="L98" i="4"/>
  <c r="F172" i="4"/>
  <c r="C173" i="4" s="1"/>
  <c r="D172" i="4"/>
  <c r="F170" i="4"/>
  <c r="L89" i="4" l="1"/>
  <c r="L92" i="4"/>
  <c r="L82" i="4"/>
  <c r="L102" i="4"/>
  <c r="L96" i="4"/>
  <c r="L105" i="4"/>
  <c r="L79" i="4"/>
  <c r="L99" i="4"/>
  <c r="L80" i="4"/>
  <c r="L90" i="4"/>
  <c r="L100" i="4"/>
  <c r="L81" i="4"/>
  <c r="L101" i="4"/>
  <c r="L93" i="4"/>
  <c r="L83" i="4"/>
  <c r="L94" i="4"/>
  <c r="L103" i="4"/>
  <c r="L75" i="4"/>
  <c r="L84" i="4"/>
  <c r="L77" i="4"/>
  <c r="L86" i="4"/>
  <c r="L97" i="4"/>
  <c r="L106" i="4"/>
  <c r="L78" i="4"/>
  <c r="L88" i="4"/>
  <c r="F173" i="4"/>
  <c r="P127" i="4"/>
  <c r="A132" i="4" s="1"/>
  <c r="O127" i="4"/>
  <c r="N127" i="4"/>
  <c r="M127" i="4"/>
  <c r="L127" i="4"/>
  <c r="K127" i="4"/>
  <c r="J127" i="4"/>
  <c r="I127" i="4"/>
  <c r="H127" i="4"/>
  <c r="G127" i="4"/>
  <c r="F127" i="4"/>
  <c r="E127" i="4"/>
  <c r="D127" i="4"/>
  <c r="F144" i="4"/>
  <c r="D144" i="4"/>
  <c r="F142" i="4"/>
  <c r="L55" i="4" l="1"/>
  <c r="F131" i="4"/>
  <c r="M118" i="4"/>
  <c r="L73" i="4"/>
  <c r="L72" i="4"/>
  <c r="L64" i="4"/>
  <c r="L45" i="4"/>
  <c r="L35" i="4"/>
  <c r="L27" i="4"/>
  <c r="L34" i="4"/>
  <c r="L26" i="4"/>
  <c r="L24" i="4"/>
  <c r="L52" i="4"/>
  <c r="L23" i="4"/>
  <c r="L57" i="4"/>
  <c r="M117" i="4"/>
  <c r="L63" i="4"/>
  <c r="L54" i="4"/>
  <c r="L44" i="4"/>
  <c r="L60" i="4"/>
  <c r="L32" i="4"/>
  <c r="L48" i="4"/>
  <c r="L36" i="4"/>
  <c r="L61" i="4"/>
  <c r="L53" i="4"/>
  <c r="L43" i="4"/>
  <c r="L33" i="4"/>
  <c r="L42" i="4"/>
  <c r="L39" i="4"/>
  <c r="L29" i="4"/>
  <c r="L47" i="4"/>
  <c r="L59" i="4"/>
  <c r="L51" i="4"/>
  <c r="L40" i="4"/>
  <c r="L31" i="4"/>
  <c r="L22" i="4"/>
  <c r="L58" i="4"/>
  <c r="L49" i="4"/>
  <c r="L30" i="4"/>
  <c r="L28" i="4"/>
  <c r="L38" i="4"/>
  <c r="L56" i="4"/>
  <c r="F145" i="4"/>
  <c r="C145" i="4"/>
  <c r="J99" i="4" l="1"/>
  <c r="J88" i="4"/>
  <c r="J78" i="4"/>
  <c r="J60" i="4"/>
  <c r="J52" i="4"/>
  <c r="J42" i="4"/>
  <c r="J32" i="4"/>
  <c r="J23" i="4"/>
  <c r="J82" i="4"/>
  <c r="H72" i="6" s="1"/>
  <c r="J64" i="4"/>
  <c r="M119" i="4"/>
  <c r="J103" i="4"/>
  <c r="J98" i="4"/>
  <c r="J86" i="4"/>
  <c r="J77" i="4"/>
  <c r="J59" i="4"/>
  <c r="J51" i="4"/>
  <c r="J40" i="4"/>
  <c r="J31" i="4"/>
  <c r="H21" i="6" s="1"/>
  <c r="J22" i="4"/>
  <c r="J97" i="4"/>
  <c r="J75" i="4"/>
  <c r="J39" i="4"/>
  <c r="J93" i="4"/>
  <c r="H83" i="6" s="1"/>
  <c r="H81" i="6" s="1"/>
  <c r="J47" i="4"/>
  <c r="J105" i="4"/>
  <c r="J81" i="4"/>
  <c r="H71" i="6" s="1"/>
  <c r="J35" i="4"/>
  <c r="J102" i="4"/>
  <c r="J84" i="4"/>
  <c r="H74" i="6" s="1"/>
  <c r="J49" i="4"/>
  <c r="J30" i="4"/>
  <c r="H20" i="6" s="1"/>
  <c r="J72" i="4"/>
  <c r="K72" i="4" s="1"/>
  <c r="J45" i="4"/>
  <c r="J80" i="4"/>
  <c r="H70" i="6" s="1"/>
  <c r="J44" i="4"/>
  <c r="H34" i="6" s="1"/>
  <c r="J26" i="4"/>
  <c r="J94" i="4"/>
  <c r="J96" i="4"/>
  <c r="J83" i="4"/>
  <c r="J73" i="4"/>
  <c r="K73" i="4" s="1"/>
  <c r="M73" i="4" s="1"/>
  <c r="F63" i="6" s="1"/>
  <c r="G63" i="6" s="1"/>
  <c r="C30" i="7" s="1"/>
  <c r="D30" i="7" s="1"/>
  <c r="E30" i="7" s="1"/>
  <c r="J57" i="4"/>
  <c r="J48" i="4"/>
  <c r="K48" i="4" s="1"/>
  <c r="M48" i="4" s="1"/>
  <c r="F38" i="6" s="1"/>
  <c r="G38" i="6" s="1"/>
  <c r="J38" i="4"/>
  <c r="J29" i="4"/>
  <c r="J19" i="4"/>
  <c r="K19" i="4" s="1"/>
  <c r="J36" i="4"/>
  <c r="H26" i="6" s="1"/>
  <c r="J101" i="4"/>
  <c r="J54" i="4"/>
  <c r="J100" i="4"/>
  <c r="J89" i="4"/>
  <c r="H79" i="6" s="1"/>
  <c r="J79" i="4"/>
  <c r="J61" i="4"/>
  <c r="J53" i="4"/>
  <c r="J43" i="4"/>
  <c r="H33" i="6" s="1"/>
  <c r="J33" i="4"/>
  <c r="H23" i="6" s="1"/>
  <c r="J24" i="4"/>
  <c r="J58" i="4"/>
  <c r="J20" i="4"/>
  <c r="K20" i="4" s="1"/>
  <c r="J106" i="4"/>
  <c r="J56" i="4"/>
  <c r="J28" i="4"/>
  <c r="J92" i="4"/>
  <c r="J55" i="4"/>
  <c r="J27" i="4"/>
  <c r="H17" i="6" s="1"/>
  <c r="J90" i="4"/>
  <c r="H80" i="6" s="1"/>
  <c r="J63" i="4"/>
  <c r="J34" i="4"/>
  <c r="L19" i="4"/>
  <c r="M19" i="4" s="1"/>
  <c r="M116" i="4"/>
  <c r="L20" i="4"/>
  <c r="H107" i="4"/>
  <c r="I107" i="4" s="1"/>
  <c r="K107" i="4" s="1"/>
  <c r="M107" i="4" s="1"/>
  <c r="F97" i="6" s="1"/>
  <c r="G97" i="6" s="1"/>
  <c r="H106" i="4"/>
  <c r="I106" i="4" s="1"/>
  <c r="H105" i="4"/>
  <c r="H103" i="4"/>
  <c r="I103" i="4" s="1"/>
  <c r="K103" i="4" s="1"/>
  <c r="M103" i="4" s="1"/>
  <c r="F93" i="6" s="1"/>
  <c r="G93" i="6" s="1"/>
  <c r="H102" i="4"/>
  <c r="I102" i="4" s="1"/>
  <c r="H101" i="4"/>
  <c r="I101" i="4" s="1"/>
  <c r="H100" i="4"/>
  <c r="I100" i="4" s="1"/>
  <c r="H99" i="4"/>
  <c r="I99" i="4" s="1"/>
  <c r="K99" i="4" s="1"/>
  <c r="M99" i="4" s="1"/>
  <c r="F89" i="6" s="1"/>
  <c r="G89" i="6" s="1"/>
  <c r="H98" i="4"/>
  <c r="I98" i="4" s="1"/>
  <c r="H97" i="4"/>
  <c r="I97" i="4" s="1"/>
  <c r="H96" i="4"/>
  <c r="H94" i="4"/>
  <c r="I94" i="4" s="1"/>
  <c r="H93" i="4"/>
  <c r="I93" i="4" s="1"/>
  <c r="H92" i="4"/>
  <c r="H88" i="4"/>
  <c r="H86" i="4"/>
  <c r="I86" i="4" s="1"/>
  <c r="K86" i="4" s="1"/>
  <c r="M86" i="4" s="1"/>
  <c r="F76" i="6" s="1"/>
  <c r="G76" i="6" s="1"/>
  <c r="H85" i="4"/>
  <c r="I85" i="4" s="1"/>
  <c r="K85" i="4" s="1"/>
  <c r="M85" i="4" s="1"/>
  <c r="F75" i="6" s="1"/>
  <c r="G75" i="6" s="1"/>
  <c r="H83" i="4"/>
  <c r="I83" i="4" s="1"/>
  <c r="H79" i="4"/>
  <c r="I79" i="4" s="1"/>
  <c r="K79" i="4" s="1"/>
  <c r="M79" i="4" s="1"/>
  <c r="F69" i="6" s="1"/>
  <c r="H78" i="4"/>
  <c r="I78" i="4" s="1"/>
  <c r="K78" i="4" s="1"/>
  <c r="M78" i="4" s="1"/>
  <c r="F68" i="6" s="1"/>
  <c r="G68" i="6" s="1"/>
  <c r="H77" i="4"/>
  <c r="H75" i="4"/>
  <c r="I75" i="4" s="1"/>
  <c r="K75" i="4" s="1"/>
  <c r="M75" i="4" s="1"/>
  <c r="F65" i="6" s="1"/>
  <c r="G65" i="6" s="1"/>
  <c r="H65" i="4"/>
  <c r="I65" i="4" s="1"/>
  <c r="K65" i="4" s="1"/>
  <c r="M65" i="4" s="1"/>
  <c r="F55" i="6" s="1"/>
  <c r="G55" i="6" s="1"/>
  <c r="H64" i="4"/>
  <c r="I64" i="4" s="1"/>
  <c r="H63" i="4"/>
  <c r="H61" i="4"/>
  <c r="I61" i="4" s="1"/>
  <c r="H60" i="4"/>
  <c r="I60" i="4" s="1"/>
  <c r="K60" i="4" s="1"/>
  <c r="M60" i="4" s="1"/>
  <c r="F50" i="6" s="1"/>
  <c r="G50" i="6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K53" i="4" s="1"/>
  <c r="M53" i="4" s="1"/>
  <c r="F43" i="6" s="1"/>
  <c r="G43" i="6" s="1"/>
  <c r="H52" i="4"/>
  <c r="I52" i="4" s="1"/>
  <c r="H51" i="4"/>
  <c r="H49" i="4"/>
  <c r="I49" i="4" s="1"/>
  <c r="H48" i="4"/>
  <c r="I48" i="4" s="1"/>
  <c r="H47" i="4"/>
  <c r="H45" i="4"/>
  <c r="I45" i="4" s="1"/>
  <c r="H44" i="4"/>
  <c r="I44" i="4" s="1"/>
  <c r="H42" i="4"/>
  <c r="H40" i="4"/>
  <c r="I40" i="4" s="1"/>
  <c r="K40" i="4" s="1"/>
  <c r="M40" i="4" s="1"/>
  <c r="F30" i="6" s="1"/>
  <c r="G30" i="6" s="1"/>
  <c r="H39" i="4"/>
  <c r="I39" i="4" s="1"/>
  <c r="H38" i="4"/>
  <c r="I38" i="4" s="1"/>
  <c r="H37" i="4"/>
  <c r="I37" i="4" s="1"/>
  <c r="K37" i="4" s="1"/>
  <c r="M37" i="4" s="1"/>
  <c r="F27" i="6" s="1"/>
  <c r="G27" i="6" s="1"/>
  <c r="H35" i="4"/>
  <c r="I35" i="4" s="1"/>
  <c r="H34" i="4"/>
  <c r="I34" i="4" s="1"/>
  <c r="H32" i="4"/>
  <c r="I32" i="4" s="1"/>
  <c r="K32" i="4" s="1"/>
  <c r="M32" i="4" s="1"/>
  <c r="F22" i="6" s="1"/>
  <c r="G22" i="6" s="1"/>
  <c r="H29" i="4"/>
  <c r="I29" i="4" s="1"/>
  <c r="H28" i="4"/>
  <c r="I28" i="4" s="1"/>
  <c r="K28" i="4" s="1"/>
  <c r="M28" i="4" s="1"/>
  <c r="F18" i="6" s="1"/>
  <c r="G18" i="6" s="1"/>
  <c r="H27" i="4"/>
  <c r="I27" i="4" s="1"/>
  <c r="K27" i="4" s="1"/>
  <c r="M27" i="4" s="1"/>
  <c r="F17" i="6" s="1"/>
  <c r="G17" i="6" s="1"/>
  <c r="H26" i="4"/>
  <c r="H24" i="4"/>
  <c r="I24" i="4" s="1"/>
  <c r="K24" i="4" s="1"/>
  <c r="M24" i="4" s="1"/>
  <c r="F14" i="6" s="1"/>
  <c r="G14" i="6" s="1"/>
  <c r="H23" i="4"/>
  <c r="I23" i="4" s="1"/>
  <c r="K23" i="4" s="1"/>
  <c r="M23" i="4" s="1"/>
  <c r="F13" i="6" s="1"/>
  <c r="G13" i="6" s="1"/>
  <c r="H22" i="4"/>
  <c r="I22" i="4" s="1"/>
  <c r="K39" i="4" l="1"/>
  <c r="M39" i="4" s="1"/>
  <c r="F29" i="6" s="1"/>
  <c r="G29" i="6" s="1"/>
  <c r="H66" i="6"/>
  <c r="K101" i="4"/>
  <c r="M101" i="4" s="1"/>
  <c r="F91" i="6" s="1"/>
  <c r="G91" i="6" s="1"/>
  <c r="K93" i="4"/>
  <c r="M93" i="4" s="1"/>
  <c r="F83" i="6" s="1"/>
  <c r="G83" i="6" s="1"/>
  <c r="K59" i="4"/>
  <c r="M59" i="4" s="1"/>
  <c r="F49" i="6" s="1"/>
  <c r="G49" i="6" s="1"/>
  <c r="K83" i="4"/>
  <c r="M83" i="4" s="1"/>
  <c r="F73" i="6" s="1"/>
  <c r="G73" i="6" s="1"/>
  <c r="K55" i="4"/>
  <c r="M55" i="4" s="1"/>
  <c r="F45" i="6" s="1"/>
  <c r="G45" i="6" s="1"/>
  <c r="H77" i="6"/>
  <c r="H98" i="6" s="1"/>
  <c r="H64" i="6" s="1"/>
  <c r="K45" i="4"/>
  <c r="M45" i="4" s="1"/>
  <c r="F35" i="6" s="1"/>
  <c r="G35" i="6" s="1"/>
  <c r="K100" i="4"/>
  <c r="M100" i="4" s="1"/>
  <c r="F90" i="6" s="1"/>
  <c r="G90" i="6" s="1"/>
  <c r="K57" i="4"/>
  <c r="M57" i="4" s="1"/>
  <c r="F47" i="6" s="1"/>
  <c r="G47" i="6" s="1"/>
  <c r="K58" i="4"/>
  <c r="M58" i="4" s="1"/>
  <c r="F48" i="6" s="1"/>
  <c r="G48" i="6" s="1"/>
  <c r="H31" i="6"/>
  <c r="H15" i="6"/>
  <c r="K61" i="4"/>
  <c r="M61" i="4" s="1"/>
  <c r="F51" i="6" s="1"/>
  <c r="G51" i="6" s="1"/>
  <c r="K38" i="4"/>
  <c r="M38" i="4" s="1"/>
  <c r="F28" i="6" s="1"/>
  <c r="G28" i="6" s="1"/>
  <c r="K102" i="4"/>
  <c r="M102" i="4" s="1"/>
  <c r="F92" i="6" s="1"/>
  <c r="G92" i="6" s="1"/>
  <c r="K18" i="4"/>
  <c r="K94" i="4"/>
  <c r="M94" i="4" s="1"/>
  <c r="F84" i="6" s="1"/>
  <c r="G84" i="6" s="1"/>
  <c r="K52" i="4"/>
  <c r="M52" i="4" s="1"/>
  <c r="F42" i="6" s="1"/>
  <c r="G42" i="6" s="1"/>
  <c r="K29" i="4"/>
  <c r="M29" i="4" s="1"/>
  <c r="F19" i="6" s="1"/>
  <c r="G19" i="6" s="1"/>
  <c r="K97" i="4"/>
  <c r="M97" i="4" s="1"/>
  <c r="F87" i="6" s="1"/>
  <c r="G87" i="6" s="1"/>
  <c r="K44" i="4"/>
  <c r="M44" i="4" s="1"/>
  <c r="F34" i="6" s="1"/>
  <c r="G34" i="6" s="1"/>
  <c r="K54" i="4"/>
  <c r="M54" i="4" s="1"/>
  <c r="F44" i="6" s="1"/>
  <c r="G44" i="6" s="1"/>
  <c r="K98" i="4"/>
  <c r="M98" i="4" s="1"/>
  <c r="F88" i="6" s="1"/>
  <c r="G88" i="6" s="1"/>
  <c r="K64" i="4"/>
  <c r="M64" i="4" s="1"/>
  <c r="F54" i="6" s="1"/>
  <c r="G54" i="6" s="1"/>
  <c r="K88" i="4"/>
  <c r="M88" i="4" s="1"/>
  <c r="F78" i="6" s="1"/>
  <c r="G78" i="6" s="1"/>
  <c r="K22" i="4"/>
  <c r="M22" i="4" s="1"/>
  <c r="F12" i="6" s="1"/>
  <c r="G12" i="6" s="1"/>
  <c r="K71" i="4"/>
  <c r="M72" i="4"/>
  <c r="K34" i="4"/>
  <c r="M34" i="4" s="1"/>
  <c r="F24" i="6" s="1"/>
  <c r="G24" i="6" s="1"/>
  <c r="K35" i="4"/>
  <c r="M35" i="4" s="1"/>
  <c r="F25" i="6" s="1"/>
  <c r="G25" i="6" s="1"/>
  <c r="K56" i="4"/>
  <c r="M56" i="4" s="1"/>
  <c r="F46" i="6" s="1"/>
  <c r="G46" i="6" s="1"/>
  <c r="K106" i="4"/>
  <c r="M106" i="4" s="1"/>
  <c r="F96" i="6" s="1"/>
  <c r="G96" i="6" s="1"/>
  <c r="M20" i="4"/>
  <c r="F10" i="6" s="1"/>
  <c r="G10" i="6" s="1"/>
  <c r="C15" i="7" s="1"/>
  <c r="D15" i="7" s="1"/>
  <c r="E15" i="7" s="1"/>
  <c r="K49" i="4"/>
  <c r="M49" i="4" s="1"/>
  <c r="F39" i="6" s="1"/>
  <c r="H38" i="6"/>
  <c r="H36" i="6" s="1"/>
  <c r="H56" i="6" s="1"/>
  <c r="H11" i="6" s="1"/>
  <c r="G69" i="6"/>
  <c r="F9" i="6"/>
  <c r="M18" i="4"/>
  <c r="C16" i="7" s="1"/>
  <c r="I26" i="4"/>
  <c r="K26" i="4" s="1"/>
  <c r="H62" i="4"/>
  <c r="I63" i="4"/>
  <c r="I62" i="4" s="1"/>
  <c r="I92" i="4"/>
  <c r="H91" i="4"/>
  <c r="H46" i="4"/>
  <c r="I47" i="4"/>
  <c r="I46" i="4" s="1"/>
  <c r="H95" i="4"/>
  <c r="I96" i="4"/>
  <c r="H104" i="4"/>
  <c r="I105" i="4"/>
  <c r="I77" i="4"/>
  <c r="K77" i="4" s="1"/>
  <c r="I51" i="4"/>
  <c r="H50" i="4"/>
  <c r="I42" i="4"/>
  <c r="K42" i="4" s="1"/>
  <c r="I88" i="4"/>
  <c r="C34" i="7" l="1"/>
  <c r="F32" i="7"/>
  <c r="H57" i="6"/>
  <c r="F17" i="7"/>
  <c r="F42" i="7" s="1"/>
  <c r="K63" i="4"/>
  <c r="K47" i="4"/>
  <c r="C19" i="7"/>
  <c r="D19" i="7" s="1"/>
  <c r="E19" i="7" s="1"/>
  <c r="G39" i="6"/>
  <c r="J39" i="6"/>
  <c r="M71" i="4"/>
  <c r="C31" i="7" s="1"/>
  <c r="D31" i="7" s="1"/>
  <c r="E31" i="7" s="1"/>
  <c r="F62" i="6"/>
  <c r="H99" i="6"/>
  <c r="H102" i="6" s="1"/>
  <c r="C39" i="7"/>
  <c r="D39" i="7" s="1"/>
  <c r="E39" i="7" s="1"/>
  <c r="D34" i="7"/>
  <c r="E34" i="7" s="1"/>
  <c r="H58" i="6"/>
  <c r="D16" i="7"/>
  <c r="E16" i="7" s="1"/>
  <c r="F8" i="6"/>
  <c r="J8" i="6" s="1"/>
  <c r="G9" i="6"/>
  <c r="G8" i="6" s="1"/>
  <c r="I50" i="4"/>
  <c r="K51" i="4"/>
  <c r="I104" i="4"/>
  <c r="K105" i="4"/>
  <c r="M77" i="4"/>
  <c r="F67" i="6" s="1"/>
  <c r="I91" i="4"/>
  <c r="K92" i="4"/>
  <c r="M42" i="4"/>
  <c r="F32" i="6" s="1"/>
  <c r="I95" i="4"/>
  <c r="K96" i="4"/>
  <c r="M26" i="4"/>
  <c r="F16" i="6" s="1"/>
  <c r="F104" i="4"/>
  <c r="G107" i="4"/>
  <c r="F62" i="4"/>
  <c r="G65" i="4"/>
  <c r="G64" i="4"/>
  <c r="G106" i="4"/>
  <c r="G105" i="4"/>
  <c r="G63" i="4"/>
  <c r="G103" i="4"/>
  <c r="G61" i="4"/>
  <c r="G102" i="4"/>
  <c r="G60" i="4"/>
  <c r="C24" i="7" l="1"/>
  <c r="D24" i="7" s="1"/>
  <c r="E24" i="7" s="1"/>
  <c r="F61" i="6"/>
  <c r="J61" i="6" s="1"/>
  <c r="G62" i="6"/>
  <c r="G61" i="6" s="1"/>
  <c r="C28" i="7" s="1"/>
  <c r="D28" i="7" s="1"/>
  <c r="K46" i="4"/>
  <c r="M47" i="4"/>
  <c r="K62" i="4"/>
  <c r="M63" i="4"/>
  <c r="H100" i="6"/>
  <c r="H101" i="6" s="1"/>
  <c r="G67" i="6"/>
  <c r="G32" i="6"/>
  <c r="H59" i="6"/>
  <c r="G16" i="6"/>
  <c r="C13" i="7"/>
  <c r="M105" i="4"/>
  <c r="K104" i="4"/>
  <c r="M51" i="4"/>
  <c r="K50" i="4"/>
  <c r="M92" i="4"/>
  <c r="K91" i="4"/>
  <c r="M96" i="4"/>
  <c r="K95" i="4"/>
  <c r="G104" i="4"/>
  <c r="G62" i="4"/>
  <c r="C44" i="7" l="1"/>
  <c r="D44" i="7" s="1"/>
  <c r="E44" i="7" s="1"/>
  <c r="F37" i="6"/>
  <c r="M46" i="4"/>
  <c r="M62" i="4"/>
  <c r="F53" i="6"/>
  <c r="H104" i="6"/>
  <c r="H103" i="6"/>
  <c r="M104" i="4"/>
  <c r="F95" i="6"/>
  <c r="M95" i="4"/>
  <c r="F86" i="6"/>
  <c r="M91" i="4"/>
  <c r="F82" i="6"/>
  <c r="E28" i="7"/>
  <c r="M50" i="4"/>
  <c r="F41" i="6"/>
  <c r="D13" i="7"/>
  <c r="F95" i="4"/>
  <c r="G101" i="4"/>
  <c r="G100" i="4"/>
  <c r="G99" i="4"/>
  <c r="G98" i="4"/>
  <c r="G97" i="4"/>
  <c r="G96" i="4"/>
  <c r="F50" i="4"/>
  <c r="G59" i="4"/>
  <c r="G58" i="4"/>
  <c r="G57" i="4"/>
  <c r="G56" i="4"/>
  <c r="G55" i="4"/>
  <c r="G54" i="4"/>
  <c r="G53" i="4"/>
  <c r="G52" i="4"/>
  <c r="G51" i="4"/>
  <c r="G94" i="4"/>
  <c r="G49" i="4"/>
  <c r="E91" i="4"/>
  <c r="D91" i="4"/>
  <c r="G93" i="4"/>
  <c r="G92" i="4"/>
  <c r="E46" i="4"/>
  <c r="D46" i="4"/>
  <c r="G48" i="4"/>
  <c r="G47" i="4"/>
  <c r="E87" i="4"/>
  <c r="D90" i="4"/>
  <c r="D89" i="4"/>
  <c r="G88" i="4"/>
  <c r="E41" i="4"/>
  <c r="G45" i="4"/>
  <c r="G44" i="4"/>
  <c r="D43" i="4"/>
  <c r="G42" i="4"/>
  <c r="E76" i="4"/>
  <c r="G86" i="4"/>
  <c r="G85" i="4"/>
  <c r="D84" i="4"/>
  <c r="G83" i="4"/>
  <c r="D82" i="4"/>
  <c r="D81" i="4"/>
  <c r="D80" i="4"/>
  <c r="H80" i="4" s="1"/>
  <c r="G79" i="4"/>
  <c r="G78" i="4"/>
  <c r="G77" i="4"/>
  <c r="G26" i="4"/>
  <c r="E25" i="4"/>
  <c r="G40" i="4"/>
  <c r="G39" i="4"/>
  <c r="G38" i="4"/>
  <c r="G37" i="4"/>
  <c r="D36" i="4"/>
  <c r="G35" i="4"/>
  <c r="G34" i="4"/>
  <c r="D33" i="4"/>
  <c r="G32" i="4"/>
  <c r="D31" i="4"/>
  <c r="D30" i="4"/>
  <c r="G29" i="4"/>
  <c r="G28" i="4"/>
  <c r="G27" i="4"/>
  <c r="G24" i="4"/>
  <c r="G23" i="4"/>
  <c r="G75" i="4"/>
  <c r="G22" i="4"/>
  <c r="F52" i="6" l="1"/>
  <c r="G53" i="6"/>
  <c r="G37" i="6"/>
  <c r="G36" i="6" s="1"/>
  <c r="F36" i="6"/>
  <c r="J36" i="6" s="1"/>
  <c r="G82" i="6"/>
  <c r="G81" i="6" s="1"/>
  <c r="F81" i="6"/>
  <c r="J81" i="6" s="1"/>
  <c r="F85" i="6"/>
  <c r="J85" i="6" s="1"/>
  <c r="G86" i="6"/>
  <c r="G85" i="6" s="1"/>
  <c r="G95" i="6"/>
  <c r="G94" i="6" s="1"/>
  <c r="F94" i="6"/>
  <c r="J94" i="6" s="1"/>
  <c r="G41" i="6"/>
  <c r="F40" i="6"/>
  <c r="E13" i="7"/>
  <c r="G89" i="4"/>
  <c r="G87" i="4" s="1"/>
  <c r="H89" i="4"/>
  <c r="G90" i="4"/>
  <c r="H90" i="4"/>
  <c r="I90" i="4" s="1"/>
  <c r="K90" i="4" s="1"/>
  <c r="M90" i="4" s="1"/>
  <c r="F80" i="6" s="1"/>
  <c r="G80" i="6" s="1"/>
  <c r="I80" i="4"/>
  <c r="K80" i="4" s="1"/>
  <c r="G81" i="4"/>
  <c r="H81" i="4"/>
  <c r="I81" i="4" s="1"/>
  <c r="K81" i="4" s="1"/>
  <c r="M81" i="4" s="1"/>
  <c r="F71" i="6" s="1"/>
  <c r="G71" i="6" s="1"/>
  <c r="G31" i="4"/>
  <c r="H31" i="4"/>
  <c r="I31" i="4" s="1"/>
  <c r="K31" i="4" s="1"/>
  <c r="M31" i="4" s="1"/>
  <c r="F21" i="6" s="1"/>
  <c r="G21" i="6" s="1"/>
  <c r="G36" i="4"/>
  <c r="H36" i="4"/>
  <c r="I36" i="4" s="1"/>
  <c r="K36" i="4" s="1"/>
  <c r="M36" i="4" s="1"/>
  <c r="F26" i="6" s="1"/>
  <c r="G26" i="6" s="1"/>
  <c r="D41" i="4"/>
  <c r="H43" i="4"/>
  <c r="G30" i="4"/>
  <c r="H30" i="4"/>
  <c r="G82" i="4"/>
  <c r="H82" i="4"/>
  <c r="I82" i="4" s="1"/>
  <c r="K82" i="4" s="1"/>
  <c r="M82" i="4" s="1"/>
  <c r="F72" i="6" s="1"/>
  <c r="G72" i="6" s="1"/>
  <c r="G33" i="4"/>
  <c r="H33" i="4"/>
  <c r="I33" i="4" s="1"/>
  <c r="K33" i="4" s="1"/>
  <c r="M33" i="4" s="1"/>
  <c r="F23" i="6" s="1"/>
  <c r="G23" i="6" s="1"/>
  <c r="G84" i="4"/>
  <c r="H84" i="4"/>
  <c r="I84" i="4" s="1"/>
  <c r="K84" i="4" s="1"/>
  <c r="M84" i="4" s="1"/>
  <c r="F74" i="6" s="1"/>
  <c r="G74" i="6" s="1"/>
  <c r="G46" i="4"/>
  <c r="D76" i="4"/>
  <c r="G95" i="4"/>
  <c r="G91" i="4"/>
  <c r="G50" i="4"/>
  <c r="D25" i="4"/>
  <c r="G80" i="4"/>
  <c r="G43" i="4"/>
  <c r="G41" i="4" s="1"/>
  <c r="D87" i="4"/>
  <c r="H188" i="1"/>
  <c r="G52" i="6" l="1"/>
  <c r="J52" i="6"/>
  <c r="G40" i="6"/>
  <c r="J40" i="6"/>
  <c r="M80" i="4"/>
  <c r="K76" i="4"/>
  <c r="G25" i="4"/>
  <c r="G76" i="4"/>
  <c r="H76" i="4"/>
  <c r="I76" i="4"/>
  <c r="I30" i="4"/>
  <c r="H25" i="4"/>
  <c r="I43" i="4"/>
  <c r="H41" i="4"/>
  <c r="I89" i="4"/>
  <c r="H87" i="4"/>
  <c r="G198" i="1"/>
  <c r="G135" i="1"/>
  <c r="G134" i="1"/>
  <c r="G133" i="1"/>
  <c r="G132" i="1"/>
  <c r="M76" i="4" l="1"/>
  <c r="F70" i="6"/>
  <c r="I25" i="4"/>
  <c r="K30" i="4"/>
  <c r="I87" i="4"/>
  <c r="I108" i="4" s="1"/>
  <c r="I74" i="4" s="1"/>
  <c r="I109" i="4" s="1"/>
  <c r="K89" i="4"/>
  <c r="I41" i="4"/>
  <c r="K43" i="4"/>
  <c r="G127" i="1"/>
  <c r="E57" i="1"/>
  <c r="F57" i="1"/>
  <c r="D57" i="1"/>
  <c r="E51" i="1"/>
  <c r="F51" i="1"/>
  <c r="D51" i="1"/>
  <c r="E45" i="1"/>
  <c r="F45" i="1"/>
  <c r="D45" i="1"/>
  <c r="G120" i="1"/>
  <c r="G119" i="1"/>
  <c r="G118" i="1"/>
  <c r="G117" i="1"/>
  <c r="H145" i="1"/>
  <c r="H146" i="1"/>
  <c r="H147" i="1"/>
  <c r="H148" i="1"/>
  <c r="H149" i="1"/>
  <c r="H150" i="1"/>
  <c r="H151" i="1"/>
  <c r="H144" i="1"/>
  <c r="H107" i="1"/>
  <c r="H108" i="1"/>
  <c r="H109" i="1"/>
  <c r="H110" i="1"/>
  <c r="H111" i="1"/>
  <c r="H112" i="1"/>
  <c r="H113" i="1"/>
  <c r="H114" i="1"/>
  <c r="H95" i="1"/>
  <c r="H96" i="1"/>
  <c r="H97" i="1"/>
  <c r="H98" i="1"/>
  <c r="H99" i="1"/>
  <c r="H100" i="1"/>
  <c r="H101" i="1"/>
  <c r="H102" i="1"/>
  <c r="H103" i="1"/>
  <c r="H104" i="1"/>
  <c r="H105" i="1"/>
  <c r="H106" i="1"/>
  <c r="H94" i="1"/>
  <c r="H198" i="1"/>
  <c r="H60" i="1"/>
  <c r="H61" i="1"/>
  <c r="H62" i="1"/>
  <c r="H59" i="1"/>
  <c r="D70" i="1"/>
  <c r="H70" i="1" s="1"/>
  <c r="F67" i="1"/>
  <c r="F82" i="1" s="1"/>
  <c r="F124" i="1" s="1"/>
  <c r="F161" i="1" s="1"/>
  <c r="F68" i="1"/>
  <c r="F83" i="1" s="1"/>
  <c r="F125" i="1" s="1"/>
  <c r="F162" i="1" s="1"/>
  <c r="F171" i="1" s="1"/>
  <c r="F177" i="1" s="1"/>
  <c r="F69" i="1"/>
  <c r="F84" i="1" s="1"/>
  <c r="F126" i="1" s="1"/>
  <c r="F163" i="1" s="1"/>
  <c r="F172" i="1" s="1"/>
  <c r="F178" i="1" s="1"/>
  <c r="F187" i="1" s="1"/>
  <c r="F195" i="1" s="1"/>
  <c r="E67" i="1"/>
  <c r="E68" i="1"/>
  <c r="E69" i="1"/>
  <c r="D67" i="1"/>
  <c r="D68" i="1"/>
  <c r="D69" i="1"/>
  <c r="D78" i="1" s="1"/>
  <c r="F66" i="1"/>
  <c r="F81" i="1" s="1"/>
  <c r="F123" i="1" s="1"/>
  <c r="F160" i="1" s="1"/>
  <c r="F169" i="1" s="1"/>
  <c r="F175" i="1" s="1"/>
  <c r="D66" i="1"/>
  <c r="D75" i="1" s="1"/>
  <c r="D63" i="1"/>
  <c r="H63" i="1" s="1"/>
  <c r="H54" i="1"/>
  <c r="H55" i="1"/>
  <c r="H56" i="1"/>
  <c r="H53" i="1"/>
  <c r="H48" i="1"/>
  <c r="H49" i="1"/>
  <c r="H50" i="1"/>
  <c r="H47" i="1"/>
  <c r="H42" i="1"/>
  <c r="H43" i="1"/>
  <c r="H44" i="1"/>
  <c r="H41" i="1"/>
  <c r="H27" i="1"/>
  <c r="H28" i="1"/>
  <c r="H29" i="1"/>
  <c r="H30" i="1"/>
  <c r="H31" i="1"/>
  <c r="H32" i="1"/>
  <c r="H26" i="1"/>
  <c r="G39" i="1"/>
  <c r="G71" i="1" s="1"/>
  <c r="G86" i="1" s="1"/>
  <c r="E39" i="1"/>
  <c r="D39" i="1"/>
  <c r="G38" i="1"/>
  <c r="H38" i="1" s="1"/>
  <c r="G35" i="1"/>
  <c r="G66" i="1" s="1"/>
  <c r="G81" i="1" s="1"/>
  <c r="D33" i="1"/>
  <c r="G37" i="1"/>
  <c r="H37" i="1" s="1"/>
  <c r="G36" i="1"/>
  <c r="H36" i="1" s="1"/>
  <c r="E35" i="1"/>
  <c r="E33" i="1" s="1"/>
  <c r="I66" i="4" l="1"/>
  <c r="I21" i="4" s="1"/>
  <c r="I67" i="4" s="1"/>
  <c r="G70" i="6"/>
  <c r="G66" i="6" s="1"/>
  <c r="F66" i="6"/>
  <c r="M89" i="4"/>
  <c r="K87" i="4"/>
  <c r="K108" i="4" s="1"/>
  <c r="K74" i="4" s="1"/>
  <c r="K109" i="4" s="1"/>
  <c r="K110" i="4" s="1"/>
  <c r="K111" i="4" s="1"/>
  <c r="M43" i="4"/>
  <c r="K41" i="4"/>
  <c r="M30" i="4"/>
  <c r="K25" i="4"/>
  <c r="I110" i="4"/>
  <c r="I111" i="4" s="1"/>
  <c r="I68" i="4"/>
  <c r="I112" i="4"/>
  <c r="E71" i="1"/>
  <c r="F158" i="1"/>
  <c r="H51" i="1"/>
  <c r="H57" i="1"/>
  <c r="F170" i="1"/>
  <c r="F176" i="1" s="1"/>
  <c r="F185" i="1" s="1"/>
  <c r="F193" i="1" s="1"/>
  <c r="F71" i="1"/>
  <c r="F86" i="1" s="1"/>
  <c r="F128" i="1" s="1"/>
  <c r="F165" i="1" s="1"/>
  <c r="H45" i="1"/>
  <c r="G123" i="1"/>
  <c r="G128" i="1"/>
  <c r="F186" i="1"/>
  <c r="F194" i="1" s="1"/>
  <c r="F184" i="1"/>
  <c r="D81" i="1"/>
  <c r="F121" i="1"/>
  <c r="G115" i="1"/>
  <c r="D77" i="1"/>
  <c r="D84" i="1"/>
  <c r="D76" i="1"/>
  <c r="H39" i="1"/>
  <c r="E78" i="1"/>
  <c r="H78" i="1" s="1"/>
  <c r="E77" i="1"/>
  <c r="E83" i="1" s="1"/>
  <c r="E76" i="1"/>
  <c r="E82" i="1" s="1"/>
  <c r="F79" i="1"/>
  <c r="E66" i="1"/>
  <c r="F64" i="1"/>
  <c r="D64" i="1"/>
  <c r="D71" i="1"/>
  <c r="G68" i="1"/>
  <c r="G69" i="1"/>
  <c r="G67" i="1"/>
  <c r="G82" i="1" s="1"/>
  <c r="G124" i="1" s="1"/>
  <c r="H35" i="1"/>
  <c r="G33" i="1"/>
  <c r="H33" i="1" s="1"/>
  <c r="M87" i="4" l="1"/>
  <c r="M108" i="4" s="1"/>
  <c r="F79" i="6"/>
  <c r="J66" i="6"/>
  <c r="M25" i="4"/>
  <c r="F20" i="6"/>
  <c r="M41" i="4"/>
  <c r="F33" i="6"/>
  <c r="K66" i="4"/>
  <c r="K21" i="4" s="1"/>
  <c r="K67" i="4" s="1"/>
  <c r="I113" i="4"/>
  <c r="I69" i="4"/>
  <c r="I114" i="4" s="1"/>
  <c r="F167" i="1"/>
  <c r="F179" i="1" s="1"/>
  <c r="F180" i="1" s="1"/>
  <c r="F182" i="1"/>
  <c r="F188" i="1" s="1"/>
  <c r="F173" i="1"/>
  <c r="F192" i="1"/>
  <c r="D90" i="1"/>
  <c r="D117" i="1" s="1"/>
  <c r="E92" i="1"/>
  <c r="E91" i="1"/>
  <c r="D93" i="1"/>
  <c r="D120" i="1" s="1"/>
  <c r="H76" i="1"/>
  <c r="H69" i="1"/>
  <c r="G84" i="1"/>
  <c r="G126" i="1" s="1"/>
  <c r="H77" i="1"/>
  <c r="H68" i="1"/>
  <c r="G83" i="1"/>
  <c r="G125" i="1" s="1"/>
  <c r="D73" i="1"/>
  <c r="D85" i="1" s="1"/>
  <c r="E64" i="1"/>
  <c r="E75" i="1"/>
  <c r="E81" i="1" s="1"/>
  <c r="E84" i="1"/>
  <c r="D83" i="1"/>
  <c r="H71" i="1"/>
  <c r="D82" i="1"/>
  <c r="H66" i="1"/>
  <c r="G64" i="1"/>
  <c r="H67" i="1"/>
  <c r="G79" i="6" l="1"/>
  <c r="G77" i="6" s="1"/>
  <c r="F77" i="6"/>
  <c r="M74" i="4"/>
  <c r="F98" i="6"/>
  <c r="G98" i="6" s="1"/>
  <c r="C35" i="7" s="1"/>
  <c r="G20" i="6"/>
  <c r="G15" i="6" s="1"/>
  <c r="F15" i="6"/>
  <c r="G33" i="6"/>
  <c r="G31" i="6" s="1"/>
  <c r="F31" i="6"/>
  <c r="J31" i="6" s="1"/>
  <c r="M66" i="4"/>
  <c r="K68" i="4"/>
  <c r="K112" i="4"/>
  <c r="F190" i="1"/>
  <c r="F189" i="1"/>
  <c r="E118" i="1"/>
  <c r="E124" i="1" s="1"/>
  <c r="E161" i="1" s="1"/>
  <c r="E170" i="1" s="1"/>
  <c r="E176" i="1" s="1"/>
  <c r="E119" i="1"/>
  <c r="E125" i="1" s="1"/>
  <c r="E162" i="1" s="1"/>
  <c r="E171" i="1" s="1"/>
  <c r="E177" i="1" s="1"/>
  <c r="E186" i="1" s="1"/>
  <c r="E194" i="1" s="1"/>
  <c r="G121" i="1"/>
  <c r="H82" i="1"/>
  <c r="D91" i="1"/>
  <c r="D118" i="1" s="1"/>
  <c r="E90" i="1"/>
  <c r="E117" i="1" s="1"/>
  <c r="H83" i="1"/>
  <c r="D92" i="1"/>
  <c r="D119" i="1" s="1"/>
  <c r="E93" i="1"/>
  <c r="H84" i="1"/>
  <c r="G79" i="1"/>
  <c r="E79" i="1"/>
  <c r="H81" i="1"/>
  <c r="D197" i="1"/>
  <c r="E73" i="1"/>
  <c r="E85" i="1" s="1"/>
  <c r="H75" i="1"/>
  <c r="H64" i="1"/>
  <c r="D79" i="1"/>
  <c r="D35" i="7" l="1"/>
  <c r="E35" i="7" s="1"/>
  <c r="C40" i="7"/>
  <c r="D40" i="7" s="1"/>
  <c r="E40" i="7" s="1"/>
  <c r="M109" i="4"/>
  <c r="C36" i="7"/>
  <c r="J77" i="6"/>
  <c r="F64" i="6"/>
  <c r="J64" i="6" s="1"/>
  <c r="G64" i="6"/>
  <c r="M21" i="4"/>
  <c r="F56" i="6"/>
  <c r="G56" i="6" s="1"/>
  <c r="C20" i="7" s="1"/>
  <c r="J15" i="6"/>
  <c r="K69" i="4"/>
  <c r="K114" i="4" s="1"/>
  <c r="K113" i="4"/>
  <c r="E185" i="1"/>
  <c r="E193" i="1" s="1"/>
  <c r="E120" i="1"/>
  <c r="E126" i="1" s="1"/>
  <c r="E163" i="1" s="1"/>
  <c r="D88" i="1"/>
  <c r="D127" i="1" s="1"/>
  <c r="H90" i="1"/>
  <c r="H117" i="1"/>
  <c r="E88" i="1"/>
  <c r="E127" i="1" s="1"/>
  <c r="D123" i="1"/>
  <c r="D160" i="1" s="1"/>
  <c r="H91" i="1"/>
  <c r="H93" i="1"/>
  <c r="H92" i="1"/>
  <c r="H120" i="1"/>
  <c r="D126" i="1"/>
  <c r="D163" i="1" s="1"/>
  <c r="E86" i="1"/>
  <c r="E197" i="1"/>
  <c r="H197" i="1" s="1"/>
  <c r="H79" i="1"/>
  <c r="H73" i="1"/>
  <c r="H85" i="1"/>
  <c r="D86" i="1"/>
  <c r="G11" i="6" l="1"/>
  <c r="G115" i="6" s="1"/>
  <c r="G118" i="6" s="1"/>
  <c r="F11" i="6"/>
  <c r="J11" i="6" s="1"/>
  <c r="C32" i="7"/>
  <c r="D32" i="7" s="1"/>
  <c r="G120" i="6"/>
  <c r="G122" i="6" s="1"/>
  <c r="G99" i="6"/>
  <c r="G100" i="6" s="1"/>
  <c r="D36" i="7"/>
  <c r="E36" i="7" s="1"/>
  <c r="C41" i="7"/>
  <c r="D41" i="7" s="1"/>
  <c r="E41" i="7" s="1"/>
  <c r="M110" i="4"/>
  <c r="M111" i="4" s="1"/>
  <c r="C17" i="7"/>
  <c r="D20" i="7"/>
  <c r="E20" i="7" s="1"/>
  <c r="C25" i="7"/>
  <c r="M67" i="4"/>
  <c r="C21" i="7"/>
  <c r="D172" i="1"/>
  <c r="D169" i="1"/>
  <c r="D175" i="1" s="1"/>
  <c r="E172" i="1"/>
  <c r="E178" i="1" s="1"/>
  <c r="E187" i="1" s="1"/>
  <c r="E195" i="1" s="1"/>
  <c r="H126" i="1"/>
  <c r="H135" i="1" s="1"/>
  <c r="E128" i="1"/>
  <c r="E165" i="1" s="1"/>
  <c r="H119" i="1"/>
  <c r="D125" i="1"/>
  <c r="H118" i="1"/>
  <c r="D124" i="1"/>
  <c r="D115" i="1"/>
  <c r="H86" i="1"/>
  <c r="D128" i="1"/>
  <c r="E123" i="1"/>
  <c r="E115" i="1"/>
  <c r="H88" i="1"/>
  <c r="H127" i="1"/>
  <c r="J99" i="6" l="1"/>
  <c r="G57" i="6"/>
  <c r="J57" i="6" s="1"/>
  <c r="G101" i="6"/>
  <c r="J101" i="6" s="1"/>
  <c r="J100" i="6"/>
  <c r="G123" i="6"/>
  <c r="D37" i="7"/>
  <c r="C37" i="7"/>
  <c r="D21" i="7"/>
  <c r="E21" i="7" s="1"/>
  <c r="C26" i="7"/>
  <c r="M68" i="4"/>
  <c r="M69" i="4" s="1"/>
  <c r="M114" i="4" s="1"/>
  <c r="M112" i="4"/>
  <c r="D25" i="7"/>
  <c r="E25" i="7" s="1"/>
  <c r="C45" i="7"/>
  <c r="D45" i="7" s="1"/>
  <c r="E45" i="7" s="1"/>
  <c r="D17" i="7"/>
  <c r="D22" i="7" s="1"/>
  <c r="C22" i="7"/>
  <c r="H115" i="1"/>
  <c r="D184" i="1"/>
  <c r="G143" i="1"/>
  <c r="G157" i="1" s="1"/>
  <c r="E121" i="1"/>
  <c r="E160" i="1"/>
  <c r="H125" i="1"/>
  <c r="H134" i="1" s="1"/>
  <c r="D162" i="1"/>
  <c r="H124" i="1"/>
  <c r="H133" i="1" s="1"/>
  <c r="D161" i="1"/>
  <c r="D178" i="1"/>
  <c r="D121" i="1"/>
  <c r="H121" i="1" s="1"/>
  <c r="H128" i="1"/>
  <c r="D165" i="1"/>
  <c r="H123" i="1"/>
  <c r="G102" i="6" l="1"/>
  <c r="G58" i="6"/>
  <c r="J102" i="6"/>
  <c r="E32" i="7"/>
  <c r="E37" i="7" s="1"/>
  <c r="C42" i="7"/>
  <c r="D42" i="7"/>
  <c r="E17" i="7"/>
  <c r="E22" i="7" s="1"/>
  <c r="J58" i="6"/>
  <c r="M113" i="4"/>
  <c r="D26" i="7"/>
  <c r="E26" i="7" s="1"/>
  <c r="C46" i="7"/>
  <c r="D46" i="7" s="1"/>
  <c r="E46" i="7" s="1"/>
  <c r="G59" i="6"/>
  <c r="G103" i="6"/>
  <c r="H157" i="1"/>
  <c r="G163" i="1"/>
  <c r="D170" i="1"/>
  <c r="D158" i="1"/>
  <c r="E169" i="1"/>
  <c r="E158" i="1"/>
  <c r="G142" i="1"/>
  <c r="H142" i="1" s="1"/>
  <c r="G141" i="1"/>
  <c r="G155" i="1" s="1"/>
  <c r="D187" i="1"/>
  <c r="D171" i="1"/>
  <c r="D192" i="1"/>
  <c r="H143" i="1"/>
  <c r="G140" i="1"/>
  <c r="J103" i="6" l="1"/>
  <c r="E42" i="7"/>
  <c r="G104" i="6"/>
  <c r="J104" i="6" s="1"/>
  <c r="J59" i="6"/>
  <c r="H141" i="1"/>
  <c r="H155" i="1"/>
  <c r="G161" i="1"/>
  <c r="D177" i="1"/>
  <c r="D195" i="1"/>
  <c r="G156" i="1"/>
  <c r="E175" i="1"/>
  <c r="E167" i="1"/>
  <c r="E179" i="1" s="1"/>
  <c r="E180" i="1" s="1"/>
  <c r="D176" i="1"/>
  <c r="D167" i="1"/>
  <c r="G172" i="1"/>
  <c r="H163" i="1"/>
  <c r="G130" i="1"/>
  <c r="H132" i="1"/>
  <c r="H140" i="1"/>
  <c r="G138" i="1"/>
  <c r="H138" i="1" s="1"/>
  <c r="G154" i="1"/>
  <c r="G160" i="1" s="1"/>
  <c r="G6" i="8" l="1"/>
  <c r="B16" i="9"/>
  <c r="G169" i="1"/>
  <c r="H160" i="1"/>
  <c r="D186" i="1"/>
  <c r="D179" i="1"/>
  <c r="D180" i="1" s="1"/>
  <c r="E184" i="1"/>
  <c r="E173" i="1"/>
  <c r="H156" i="1"/>
  <c r="G162" i="1"/>
  <c r="G170" i="1"/>
  <c r="H161" i="1"/>
  <c r="D185" i="1"/>
  <c r="D193" i="1" s="1"/>
  <c r="D173" i="1"/>
  <c r="G178" i="1"/>
  <c r="H172" i="1"/>
  <c r="H154" i="1"/>
  <c r="G152" i="1"/>
  <c r="H130" i="1"/>
  <c r="G136" i="1"/>
  <c r="H136" i="1" s="1"/>
  <c r="A7" i="8"/>
  <c r="D194" i="1" l="1"/>
  <c r="G176" i="1"/>
  <c r="H170" i="1"/>
  <c r="E182" i="1"/>
  <c r="E188" i="1" s="1"/>
  <c r="E189" i="1" s="1"/>
  <c r="G171" i="1"/>
  <c r="H162" i="1"/>
  <c r="E192" i="1"/>
  <c r="G158" i="1"/>
  <c r="H158" i="1" s="1"/>
  <c r="G175" i="1"/>
  <c r="G167" i="1"/>
  <c r="H167" i="1" s="1"/>
  <c r="H169" i="1"/>
  <c r="G187" i="1"/>
  <c r="H178" i="1"/>
  <c r="D182" i="1"/>
  <c r="G164" i="1"/>
  <c r="H152" i="1"/>
  <c r="D190" i="1" l="1"/>
  <c r="G195" i="1"/>
  <c r="H187" i="1"/>
  <c r="E190" i="1"/>
  <c r="G185" i="1"/>
  <c r="H185" i="1" s="1"/>
  <c r="H176" i="1"/>
  <c r="G184" i="1"/>
  <c r="H175" i="1"/>
  <c r="G177" i="1"/>
  <c r="H171" i="1"/>
  <c r="D188" i="1"/>
  <c r="D189" i="1" s="1"/>
  <c r="G165" i="1"/>
  <c r="H164" i="1"/>
  <c r="H195" i="1" l="1"/>
  <c r="G186" i="1"/>
  <c r="G194" i="1" s="1"/>
  <c r="H177" i="1"/>
  <c r="H184" i="1"/>
  <c r="G192" i="1"/>
  <c r="G173" i="1"/>
  <c r="H173" i="1" s="1"/>
  <c r="G193" i="1"/>
  <c r="H165" i="1"/>
  <c r="G182" i="1" l="1"/>
  <c r="H193" i="1"/>
  <c r="H192" i="1"/>
  <c r="G188" i="1"/>
  <c r="H182" i="1"/>
  <c r="H186" i="1"/>
  <c r="G179" i="1"/>
  <c r="H194" i="1" l="1"/>
  <c r="G190" i="1"/>
  <c r="H190" i="1" s="1"/>
  <c r="H179" i="1"/>
  <c r="G180" i="1"/>
  <c r="G189" i="1" l="1"/>
  <c r="H189" i="1" s="1"/>
  <c r="D8" i="1" s="1"/>
  <c r="H180" i="1"/>
</calcChain>
</file>

<file path=xl/sharedStrings.xml><?xml version="1.0" encoding="utf-8"?>
<sst xmlns="http://schemas.openxmlformats.org/spreadsheetml/2006/main" count="1493" uniqueCount="631">
  <si>
    <t>Приложение № 6</t>
  </si>
  <si>
    <t>Утверждено приказом № 421 от 4 августа 2020 г. Минстроя РФ</t>
  </si>
  <si>
    <t>Заказчик</t>
  </si>
  <si>
    <t>(наименование организации)</t>
  </si>
  <si>
    <t>"Утвержден" "___"______________________2023г</t>
  </si>
  <si>
    <t>(ссылка на документ об утверждении)</t>
  </si>
  <si>
    <t>СВОДНЫЙ СМЕТНЫЙ РАСЧЕТ СТОИМОСТИ СТРОИТЕЛЬСТВА № ССРСС-1</t>
  </si>
  <si>
    <t>«Всесезонный туристско- рекреационный комплекс «Эльбрус», Кабардино-Балкарская Республика. Система искусственного снегообразования»</t>
  </si>
  <si>
    <t>(наименование стройки)</t>
  </si>
  <si>
    <t>№ п/п</t>
  </si>
  <si>
    <t>Обоснование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</si>
  <si>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</si>
  <si>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</si>
  <si>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</si>
  <si>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монтажных работ</t>
  </si>
  <si>
    <t>оборудования</t>
  </si>
  <si>
    <t>прочих затрат</t>
  </si>
  <si>
    <t>всего</t>
  </si>
  <si>
    <t>Глава 1. Подготовка территории строительства</t>
  </si>
  <si>
    <t>СР №01_ ГРО</t>
  </si>
  <si>
    <t>Создание  геодезической разбивочной основы. 1 Этап</t>
  </si>
  <si>
    <t>СР №02_ ГРО</t>
  </si>
  <si>
    <t>Создание  геодезической разбивочной основы. 2 Этап</t>
  </si>
  <si>
    <t>СР №03_ ГРО</t>
  </si>
  <si>
    <t>Создание  геодезической разбивочной основы. 3 Этап</t>
  </si>
  <si>
    <t>Создание  геодезической разбивочной основы. 4 Этап</t>
  </si>
  <si>
    <t>СТУ</t>
  </si>
  <si>
    <t>Разработка и согласование в уполномоченных структурах МЧС России СТУ по пожарной безопасности</t>
  </si>
  <si>
    <t>СР№7</t>
  </si>
  <si>
    <t>Затраты на возмещение ущерба, нанесенного водным биологическим ресурсам</t>
  </si>
  <si>
    <t>01-01-01</t>
  </si>
  <si>
    <t>Проект организации работ по сносу или демонтажу объектов капитального строительства</t>
  </si>
  <si>
    <t>Итого по Главе 1. "Подготовка территории строительства"</t>
  </si>
  <si>
    <t>в том числе:</t>
  </si>
  <si>
    <t>Стоимость СМР по Главе 1 -  1 ЭТАП</t>
  </si>
  <si>
    <t>Стоимость СМР по Главе 1 -   2 ЭТАП</t>
  </si>
  <si>
    <t>Стоимость СМР по Главе 1 -  3 ЭТАП</t>
  </si>
  <si>
    <t>Стоимость СМР по Главе 1 -   4 ЭТАП</t>
  </si>
  <si>
    <t>Глава 2. Основные объекты строительства</t>
  </si>
  <si>
    <t>02-01</t>
  </si>
  <si>
    <t>«Строительство основных зданий и сооружений. Система искусственного снегообразования»  1 ЭТАП</t>
  </si>
  <si>
    <t>02-02</t>
  </si>
  <si>
    <t>«Строительство основных зданий и сооружений. Система искусственного снегообразования»  2 ЭТАП</t>
  </si>
  <si>
    <t>02-03</t>
  </si>
  <si>
    <t>«Строительство основных зданий и сооружений. Система искусственного снегообразования»  3 ЭТАП</t>
  </si>
  <si>
    <t>02-04</t>
  </si>
  <si>
    <t>«Строительство основных зданий и сооружений. Система искусственного снегообразования»  4 ЭТАП</t>
  </si>
  <si>
    <t>Итого по Главе 2. "Основные объекты строительства"</t>
  </si>
  <si>
    <t>Глава 4. Объекты энергетического хозяйства</t>
  </si>
  <si>
    <t>04-01</t>
  </si>
  <si>
    <t>«Наружные сети электроснабжения 0,4кВ/10кВ»  1 ЭТАП</t>
  </si>
  <si>
    <t>04-02</t>
  </si>
  <si>
    <t>«Наружные сети электроснабжения 0,4кВ/10кВ»  2 ЭТАП</t>
  </si>
  <si>
    <t>04-03</t>
  </si>
  <si>
    <t>«Наружные сети электроснабжения 0,4кВ/10кВ»  3 ЭТАП</t>
  </si>
  <si>
    <t>04-04</t>
  </si>
  <si>
    <t>«Наружные сети электроснабжения 0,4кВ/10кВ»  4 ЭТАП</t>
  </si>
  <si>
    <t>Итого по Главе 4. "Объекты энергетического хозяйства"</t>
  </si>
  <si>
    <t>Глава 5. Объекты транспортного хозяйства и связи</t>
  </si>
  <si>
    <t>05-01</t>
  </si>
  <si>
    <t>«Наружные сети связи системы искусскусвенного снегообразования»  1 ЭТАП</t>
  </si>
  <si>
    <t>05-02</t>
  </si>
  <si>
    <t>«Наружные сети связи системы искусскусвенного снегообразования»  2 ЭТАП</t>
  </si>
  <si>
    <t>05-03</t>
  </si>
  <si>
    <t>«Наружные сети связи системы искусскусвенного снегообразования»  3 ЭТАП</t>
  </si>
  <si>
    <t>05-04</t>
  </si>
  <si>
    <t>«Наружные сети связи системы искусскусвенного снегообразования»  4 ЭТАП</t>
  </si>
  <si>
    <t>Итого по Главе 5. "Объекты транспортного хозяйства и связи"</t>
  </si>
  <si>
    <t>Глава 7. Благоустройство и озеленение территории</t>
  </si>
  <si>
    <t>07-01-01</t>
  </si>
  <si>
    <t>Благоустройство. 1 ЭТАП</t>
  </si>
  <si>
    <t>07-02-01</t>
  </si>
  <si>
    <t>Благоустройство. 2 ЭТАП</t>
  </si>
  <si>
    <t>07-03-01</t>
  </si>
  <si>
    <t>Благоустройство. 3 ЭТАП</t>
  </si>
  <si>
    <t>07-04-01</t>
  </si>
  <si>
    <t>Благоустройство. 4 ЭТАП</t>
  </si>
  <si>
    <t>Итого по Главе 7. "Благоустройство и озеленение территории"</t>
  </si>
  <si>
    <t>Итого по Главам 1-7:</t>
  </si>
  <si>
    <t>стоимость СМР по Главам 1-7 1 ЭТАП</t>
  </si>
  <si>
    <t>стоимость СМР по Главам 1-7 2 ЭТАП</t>
  </si>
  <si>
    <t>стоимость СМР по Главам 1-7  3 ЭТАП</t>
  </si>
  <si>
    <t>стоимость СМР по Главам 1-7 4 ЭТАП</t>
  </si>
  <si>
    <t>Итого по Главам 1-7</t>
  </si>
  <si>
    <t>Глава 8. Временные здания и сооружения</t>
  </si>
  <si>
    <t>Приказ Минстроя России от 19.06.2020 N 332/пр, Прил.1, Раздел 3 п.55</t>
  </si>
  <si>
    <t>Временные здания и сооружения 3,1%</t>
  </si>
  <si>
    <t>Временные здания и сооружения 3,1% - 1 ЭТАП</t>
  </si>
  <si>
    <t>Временные здания и сооружения 3,1% - 2 ЭТАП</t>
  </si>
  <si>
    <t>Временные здания и сооружения 3,1% - 3 ЭТАП</t>
  </si>
  <si>
    <t>Временные здания и сооружения 3,1% - 4 ЭТАП</t>
  </si>
  <si>
    <t>ИТОГО стоимость СМР по Главам 1-8</t>
  </si>
  <si>
    <t>стоимость СМР по Главам 1-8  1 ЭТАП</t>
  </si>
  <si>
    <t>стоимость СМР по Главам 1-8  2 ЭТАП</t>
  </si>
  <si>
    <t>стоимость СМР  по Главам 1-8  3 ЭТАП</t>
  </si>
  <si>
    <t>стоимость СМР  по Главам 1-8  4 ЭТАП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</si>
  <si>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</si>
  <si>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</si>
  <si>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</si>
  <si>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Методика от 25.05.2021 № 325/пр</t>
  </si>
  <si>
    <t>Производство работ в зимнее время 0,5%</t>
  </si>
  <si>
    <t>Производство работ в зимнее время 0,5% - 1 ЭТАП</t>
  </si>
  <si>
    <t>Производство работ в зимнее время 0,5% - 2 ЭТАП</t>
  </si>
  <si>
    <t>Производство работ в зимнее время 0,5% - 3 ЭТАП</t>
  </si>
  <si>
    <t>Производство работ в зимнее время 0,5% - 4 ЭТАП</t>
  </si>
  <si>
    <t>09-01</t>
  </si>
  <si>
    <t>Пусконаладочные работы инженерных систем и сетей. 1 ЭТАП</t>
  </si>
  <si>
    <t>09-02</t>
  </si>
  <si>
    <t>Пусконаладочные работы инженерных систем и сетей. 2 ЭТАП</t>
  </si>
  <si>
    <t>09-03</t>
  </si>
  <si>
    <t>Пусконаладочные работы инженерных систем и сетей. 3 ЭТАП</t>
  </si>
  <si>
    <t>09-04</t>
  </si>
  <si>
    <t>Пусконаладочные работы инженерных систем и сетей. 4 ЭТАП</t>
  </si>
  <si>
    <t>СР№1.1</t>
  </si>
  <si>
    <t>Затраты на подготовку технических планов сооружений.  1 ЭТАП</t>
  </si>
  <si>
    <t>СР№1.2</t>
  </si>
  <si>
    <t>Затраты на подготовку технических планов сооружений.  2 ЭТАП</t>
  </si>
  <si>
    <t>СР№1.3</t>
  </si>
  <si>
    <t>Затраты на подготовку технических планов сооружений.  3 ЭТАП</t>
  </si>
  <si>
    <t>СР№1.4</t>
  </si>
  <si>
    <t>Затраты на подготовку технических планов сооружений.  4 ЭТАП</t>
  </si>
  <si>
    <t>СР№2.1</t>
  </si>
  <si>
    <t>Стоимость экологического мониторинга на период строительства. 1 ЭТАП</t>
  </si>
  <si>
    <t>СР№2.2</t>
  </si>
  <si>
    <t>Стоимость экологического мониторинга на период строительства. 2 ЭТАП</t>
  </si>
  <si>
    <t>СР№2.3</t>
  </si>
  <si>
    <t>Стоимость экологического мониторинга на период строительства. 3 ЭТАП</t>
  </si>
  <si>
    <t>СР№2.4</t>
  </si>
  <si>
    <t>Стоимость экологического мониторинга на период строительства. 4 ЭТАП</t>
  </si>
  <si>
    <t>СР№3.1</t>
  </si>
  <si>
    <t>Затраты по размещению  отходов строительного производства. 1 ЭТАП</t>
  </si>
  <si>
    <t>СР№3.2</t>
  </si>
  <si>
    <t>Затраты по размещению  отходов строительного производства. 2 ЭТАП</t>
  </si>
  <si>
    <t>СР№3.3</t>
  </si>
  <si>
    <t>Затраты по размещению  отходов строительного производства. 3 ЭТАП</t>
  </si>
  <si>
    <t>СР№3.4</t>
  </si>
  <si>
    <t>Затраты по размещению  отходов строительного производства. 4 ЭТАП</t>
  </si>
  <si>
    <t>СР№4</t>
  </si>
  <si>
    <t>Плата за негативное воздействие выбросов загрязняющих веществ в атмосферный воздух.               (1-4 этапы)</t>
  </si>
  <si>
    <t>СР№5.1</t>
  </si>
  <si>
    <t>Расходы на командировки рабочих и пусконаладочного персонала, привлекаемых для строительства. 1 ЭТАП</t>
  </si>
  <si>
    <t>СР№5.2</t>
  </si>
  <si>
    <t>Расходы на командировки рабочих и пусконаладочного персонала, привлекаемых для строительства. 2 ЭТАП</t>
  </si>
  <si>
    <t>СР№5.3</t>
  </si>
  <si>
    <t>Расходы на командировки рабочих и пусконаладочного персонала, привлекаемых для строительства. 3 ЭТАП</t>
  </si>
  <si>
    <t>СР№5.4</t>
  </si>
  <si>
    <t>Расходы на командировки рабочих и пусконаладочного персонала, привлекаемых для строительства. 4 ЭТАП</t>
  </si>
  <si>
    <t>Итого по Главе 9. "Прочие работы и затраты":</t>
  </si>
  <si>
    <t>стоимость СМР по Главе 9. "Прочие работы и затраты"  1 ЭТАП</t>
  </si>
  <si>
    <t>стоимость СМР по Главе 9. "Прочие работы и затраты"  2 ЭТАП</t>
  </si>
  <si>
    <t>стоимость СМР по Главе 9. "Прочие работы и затраты"  3 ЭТАП</t>
  </si>
  <si>
    <t>стоимость СМР по Главе 9. "Прочие работы и затраты"  4 ЭТАП</t>
  </si>
  <si>
    <t>Итого по Главам 1-9:</t>
  </si>
  <si>
    <t>стоимость СМР по Главам 1-9  1 ЭТАП</t>
  </si>
  <si>
    <t>стоимость СМР по Главам 1-9  2 ЭТАП</t>
  </si>
  <si>
    <t>стоимость СМР по Главам 1-9  3 ЭТАП</t>
  </si>
  <si>
    <t>стоимость СМР по Главам 1-9  4 ЭТАП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</si>
  <si>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</si>
  <si>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</si>
  <si>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</si>
  <si>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ПП №468 от 21.06.2010, прил.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</si>
  <si>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</si>
  <si>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</si>
  <si>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Приказ от 4.08.2020 № 421/пр.</t>
  </si>
  <si>
    <t>Авторский надзор 0,2%</t>
  </si>
  <si>
    <t>Авторский надзор 0,2% - 1 ЭТАП</t>
  </si>
  <si>
    <t>Авторский надзор 0,2% - 2 ЭТАП</t>
  </si>
  <si>
    <t>Авторский надзор 0,2% - 3 ЭТАП</t>
  </si>
  <si>
    <t>Авторский надзор 0,2% - 4 ЭТАП</t>
  </si>
  <si>
    <t>СР№9</t>
  </si>
  <si>
    <t>Разработка проектной документации</t>
  </si>
  <si>
    <t>СР№8</t>
  </si>
  <si>
    <t>Затраты на изыскательские работы</t>
  </si>
  <si>
    <t>СР№10</t>
  </si>
  <si>
    <t>Разработка рабочей документации</t>
  </si>
  <si>
    <t>СР№11</t>
  </si>
  <si>
    <t>Стоимость проведения экспертизы проектно-изыскательских работ</t>
  </si>
  <si>
    <t>СР№12.1</t>
  </si>
  <si>
    <t>Расходы на проезд специалистов, осуществляющих авторский надзор. 1 ЭТАП</t>
  </si>
  <si>
    <t>СР№12.2</t>
  </si>
  <si>
    <t>Расходы на проезд специалистов, осуществляющих авторский надзор. 2 ЭТАП</t>
  </si>
  <si>
    <t>СР№12.3</t>
  </si>
  <si>
    <t>Расходы на проезд специалистов, осуществляющих авторский надзор. 3 ЭТАП</t>
  </si>
  <si>
    <t>СР№12.4</t>
  </si>
  <si>
    <t>Расходы на проезд специалистов, осуществляющих авторский надзор. 4 ЭТАП</t>
  </si>
  <si>
    <t>Итого по Главе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работы":</t>
  </si>
  <si>
    <t>стоимость СМР по Главе 12  -   1 ЭТАП</t>
  </si>
  <si>
    <t>стоимость СМР по Главе 12 -   2 ЭТАП</t>
  </si>
  <si>
    <t>стоимость СМР по Главе 12 -   3 ЭТАП</t>
  </si>
  <si>
    <t>стоимость СМР по Главе 12 -   4 ЭТАП</t>
  </si>
  <si>
    <t>Итого по Главам 1-12:</t>
  </si>
  <si>
    <t>стоимость СМР по Главам 1-12  1 ЭТАП</t>
  </si>
  <si>
    <t>стоимость СМР по Главам 1-12  2 ЭТАП</t>
  </si>
  <si>
    <t>стоимость СМР по Главам 1-12  3 ЭТАП</t>
  </si>
  <si>
    <t>стоимость СМР по Главам 1-12  4 ЭТАП</t>
  </si>
  <si>
    <t>Итого по Главам 1-12</t>
  </si>
  <si>
    <t>Непредвиденные затраты</t>
  </si>
  <si>
    <t>Приказ от 4.08.2020 № 421/пр п.179</t>
  </si>
  <si>
    <t>Непредвиденные затраты для объектов капитального строительства линейных объектов - 3%</t>
  </si>
  <si>
    <t>Непредвиденные затраты для объектов капитального строительства линейных объектов - 3% -   1 ЭТАП</t>
  </si>
  <si>
    <t>Непредвиденные затраты для объектов капитального строительства линейных объектов - 3% -  2 ЭТАП</t>
  </si>
  <si>
    <t>Непредвиденные затраты для объектов капитального строительства линейных объектов - 3% -   3 ЭТАП</t>
  </si>
  <si>
    <t>Непредвиденные затраты для объектов капитального строительства линейных объектов - 3% -   4 ЭТАП</t>
  </si>
  <si>
    <t>Итого с учетом "Непредвиденные затраты":</t>
  </si>
  <si>
    <t>Итого с учетом "Непредвиденные затраты" - 1 ЭТАП</t>
  </si>
  <si>
    <t>Итого с учетом "Непредвиденные затраты" -  2 ЭТАП</t>
  </si>
  <si>
    <t>Итого с учетом "Непредвиденные затраты" -  3 ЭТАП</t>
  </si>
  <si>
    <t>Итого с учетом "Непредвиденные затраты" -  4 ЭТАП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</si>
  <si>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</si>
  <si>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</si>
  <si>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</si>
  <si>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ФЗ от 03.08.2018 № 303-ФЗ</t>
  </si>
  <si>
    <t>Итого "Налоги и обязательные платежи" (20%)</t>
  </si>
  <si>
    <t>"Налоги и обязательные платежи" (20%) - 1 ЭТАП</t>
  </si>
  <si>
    <t>"Налоги и обязательные платежи" (20%) -  2 ЭТАП</t>
  </si>
  <si>
    <t>"Налоги и обязательные платежи" (20%) -  3 ЭТАП</t>
  </si>
  <si>
    <t>"Налоги и обязательные платежи" (20%) -  4 ЭТАП</t>
  </si>
  <si>
    <t>Итого "Налоги и обязательные платежи"</t>
  </si>
  <si>
    <t>Итого по сводному расчету</t>
  </si>
  <si>
    <t>Итого по сводному расчету - 1 ЭТАП</t>
  </si>
  <si>
    <t>Итого по сводному расчету -  2 ЭТАП</t>
  </si>
  <si>
    <t>Итого по сводному расчету -  3 ЭТАП</t>
  </si>
  <si>
    <t>Итого по сводному расчету -  4 ЭТАП</t>
  </si>
  <si>
    <t>в том числе</t>
  </si>
  <si>
    <t>возвратные суммы в текущих ценах с НДС (без непредвиденных затрат)</t>
  </si>
  <si>
    <t>ПИР в текущих ценах без НДС (без непредвиденных затрат)</t>
  </si>
  <si>
    <t>[подпись (инициалы, фамилия)]</t>
  </si>
  <si>
    <t>Главный инженер проекта</t>
  </si>
  <si>
    <t>(Шумаков Д.Ю.)</t>
  </si>
  <si>
    <t>СР №04_ ГРО</t>
  </si>
  <si>
    <t>Составлен  в  текущем  уровне цен   3 кв. 2022 г.</t>
  </si>
  <si>
    <t>(Шлом Б.Г.)</t>
  </si>
  <si>
    <t>Генеральный директор ООО "НКД"</t>
  </si>
  <si>
    <t>Итого по Главе 12</t>
  </si>
  <si>
    <t>АО  "КАВКАЗ.РФ"</t>
  </si>
  <si>
    <t>Сводный сметный расчет сметной стоимостью, тыс. руб.</t>
  </si>
  <si>
    <t>Затраты на проведение строительного контроля (1,28 % от глав 1-9 граф 4,5,6,7)</t>
  </si>
  <si>
    <t>Затраты на проведение строительного контроля (1,28 % от глав 1-9 граф 4,5,6,7) - 1 ЭТАП</t>
  </si>
  <si>
    <t>Затраты на проведение строительного контроля (1,28 % от глав 1-9 граф 4,5,6,7) - 2 ЭТАП</t>
  </si>
  <si>
    <t>Затраты на проведение строительного контроля (1,28 % от глав 1-9 граф 4,5,6,7) - 3 ЭТАП</t>
  </si>
  <si>
    <t>Затраты на проведение строительного контроля (1,28 % от глав 1-9 граф 4,5,6,7) - 4 ЭТАП</t>
  </si>
  <si>
    <t>Заказчик:  АО"КАВКАЗ.РФ"</t>
  </si>
  <si>
    <t>Директор Департамента развития инфраструктуры</t>
  </si>
  <si>
    <t>(Лапухин В.В..)</t>
  </si>
  <si>
    <t>(по доверенности №77 от 14.12.2021 г.)</t>
  </si>
  <si>
    <t xml:space="preserve"> [должность, подпись (инициалы, фамилия)]</t>
  </si>
  <si>
    <t>Начальник сметного отдела</t>
  </si>
  <si>
    <t>(Юров Ю.Ю.)</t>
  </si>
  <si>
    <t>Расчет начальной (максимальной) цены контракта при осуществлении закупки на выполнение подрядных работ по строительству</t>
  </si>
  <si>
    <t>Основания для расчета:</t>
  </si>
  <si>
    <t>№ пп</t>
  </si>
  <si>
    <t>Наименование работ и затрат</t>
  </si>
  <si>
    <t>СМР</t>
  </si>
  <si>
    <t>Оборудование</t>
  </si>
  <si>
    <t>Прочие</t>
  </si>
  <si>
    <t>Всего</t>
  </si>
  <si>
    <t xml:space="preserve">Индекс фактической инфляции* </t>
  </si>
  <si>
    <t xml:space="preserve">Стоимость работ в ценах на дату формирования начальной (максимальной) цены контракта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</si>
  <si>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</si>
  <si>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</si>
  <si>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1.1</t>
  </si>
  <si>
    <t>1.2</t>
  </si>
  <si>
    <t>2.1</t>
  </si>
  <si>
    <t>2.2</t>
  </si>
  <si>
    <t>02-01-01</t>
  </si>
  <si>
    <t>02-01-02</t>
  </si>
  <si>
    <t>02-01-04</t>
  </si>
  <si>
    <t>02-01-05</t>
  </si>
  <si>
    <t>02-01-06</t>
  </si>
  <si>
    <t>02-01-07</t>
  </si>
  <si>
    <t>02-01-08</t>
  </si>
  <si>
    <t>02-01-09</t>
  </si>
  <si>
    <t>02-01-10</t>
  </si>
  <si>
    <t>02-02-01</t>
  </si>
  <si>
    <t>09-01-01</t>
  </si>
  <si>
    <t>НДС-20%</t>
  </si>
  <si>
    <t/>
  </si>
  <si>
    <t>2022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</si>
  <si>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</si>
  <si>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</si>
  <si>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</si>
  <si>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</si>
  <si>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</si>
  <si>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</si>
  <si>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</si>
  <si>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</si>
  <si>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</si>
  <si>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</si>
  <si>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</si>
  <si>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 виде коэффициента</t>
  </si>
  <si>
    <t>Дата формирования НМЦК</t>
  </si>
  <si>
    <t>*Индекс фактической инфляции по данным Росстата ("Строительство ", Российская Федерация) от цен утверждения сметной документации до даты формирования НМЦК  :</t>
  </si>
  <si>
    <t>Прогнозный индекс для РД на период выполнения работ:</t>
  </si>
  <si>
    <t>Начало работ</t>
  </si>
  <si>
    <t>Окончание работ</t>
  </si>
  <si>
    <t>Период от даты определения НМЦК до даты окончания работ, мес.</t>
  </si>
  <si>
    <t>Индекс Минэкономразвития РФ на 2023 г. (Письмо Минэкономразвития России от 28.09.2022 № 36804-ПК/Д03и)</t>
  </si>
  <si>
    <t>ежемесячный прогнозный индекс на 2023 год</t>
  </si>
  <si>
    <t>^(1/12)</t>
  </si>
  <si>
    <t>Индекс прогнозной инфляции</t>
  </si>
  <si>
    <t>Прогнозный индекс для Стройки на период выполнения работ:</t>
  </si>
  <si>
    <t>3. Утвержденный сводный сметный расчет стоимости строительства  в ценах 3 квартала 2022 г. на сумму  2 392 204,83 тыс. руб., в том числе:</t>
  </si>
  <si>
    <r>
      <t xml:space="preserve">Стоимость работ в ценах утверждения сметной документации- </t>
    </r>
    <r>
      <rPr>
        <b/>
        <sz val="12"/>
        <color rgb="FFFF0000"/>
        <rFont val="Times New Roman"/>
        <family val="1"/>
        <charset val="204"/>
      </rPr>
      <t>3 квартала 2022 г.</t>
    </r>
  </si>
  <si>
    <t>Этап 1</t>
  </si>
  <si>
    <t>Этап 2</t>
  </si>
  <si>
    <t>Этап 3</t>
  </si>
  <si>
    <t>Этап 4</t>
  </si>
  <si>
    <t>тыс. руб.</t>
  </si>
  <si>
    <t>Всего с учетом ВЗИС-3,1% и возврата ВЗИС 15%, зимнего удорожания - 0,5%.</t>
  </si>
  <si>
    <t>Конструктивные решения. Резервуар (насосная станция НС 1). 1 ЭТАП</t>
  </si>
  <si>
    <t>02-01-1.1</t>
  </si>
  <si>
    <t>Конструктивные решения и объемно-планировочные решения. 1 ЭТАП</t>
  </si>
  <si>
    <t>Внутреннее электроснабжение и электроосвещение.Заземление и молниезащита. (Насосная станция НС 1). 1 ЭТАП</t>
  </si>
  <si>
    <t>02-01-03</t>
  </si>
  <si>
    <t>Земляные и подготовительные работы при строительстве БКТП-1.1 1250кВА , 1000 кВА; БКТП-1.2  630кВА; Строительство БКТП-1.3 400кВА. 1 ЭТАП</t>
  </si>
  <si>
    <t>Внутренние сети связи. Операторская СИС, НСКД "Азау-Кругозор".  1 ЭТАП</t>
  </si>
  <si>
    <t>Комплексная система безопасности.  Операторская СИС, Насосная НС-1; ТП1.2; ТП1.3.   1 ЭТАП</t>
  </si>
  <si>
    <t>Ограждение котлована НС ВЗУ. 1 ЭТАП</t>
  </si>
  <si>
    <t>Автоматика. Насосная станция ВЗУ ,НС 1, Градирня. 1 ЭТАП</t>
  </si>
  <si>
    <t>Технологические решения.  Система искусственного снегообразования.   1 ЭТАП.</t>
  </si>
  <si>
    <t>Отопление, вентиляция, кондиционирование операторской СИС.  1 ЭТАП.</t>
  </si>
  <si>
    <t>Система Пожарной Сигнализации. Система оповещения и управления эвакуацией. 1 Этап</t>
  </si>
  <si>
    <t>02-01-11</t>
  </si>
  <si>
    <t>Поставка комплекта системы исскуственного снегообразования.  1 ЭТАП.</t>
  </si>
  <si>
    <t>02-01-12</t>
  </si>
  <si>
    <t>Устройство временной грунтовой перемычки. ПОС. 1 ЭТАП</t>
  </si>
  <si>
    <t>02-01-14</t>
  </si>
  <si>
    <t>Технологические решения. Водозаборный узел.  1 ЭТАП</t>
  </si>
  <si>
    <t>02-01-15</t>
  </si>
  <si>
    <t>Дополнительные затраты при получении электроэнергии от передвижных электростанций. 1 ЭТАП</t>
  </si>
  <si>
    <t>Конструктивные решения. Резервуар (насосная станция НС 2). 2 ЭТАП</t>
  </si>
  <si>
    <t>02-02-02</t>
  </si>
  <si>
    <t>Внутреннее электроснабжение и электроосвещение.Заземление и молниезащита. (Насосная станция НС 2). 2 ЭТАП</t>
  </si>
  <si>
    <t>02-02-03</t>
  </si>
  <si>
    <t>Земляные и подготовительные работы при строительстве БКТП-2.1 1600кВА; БКТП-2.2  1250кВА. 2 ЭТАП</t>
  </si>
  <si>
    <t>02-02-04</t>
  </si>
  <si>
    <t>Внутренние сети связи. Насосная НС2.  2 ЭТАП.</t>
  </si>
  <si>
    <t>02-02-05</t>
  </si>
  <si>
    <t>Комплексная система безопасности.  Насосная станция НС2, ТП2.1.   2 ЭТАП</t>
  </si>
  <si>
    <t>02-02-07</t>
  </si>
  <si>
    <t>Автоматика. Насосная станция  НС 2. 2 ЭТАП</t>
  </si>
  <si>
    <t>02-02-08</t>
  </si>
  <si>
    <t>Технологические решения.  Система искусственного снегообразования.   2 ЭТАП.</t>
  </si>
  <si>
    <t>02-02-10</t>
  </si>
  <si>
    <t>Система Пожарной Сигнализации. Система оповещения и управления эвакуацией. 2 Этап</t>
  </si>
  <si>
    <t>02-02-11</t>
  </si>
  <si>
    <t>Поставка комплекта системы исскуственного снегообразования.  2 ЭТАП.</t>
  </si>
  <si>
    <t>02-02-15</t>
  </si>
  <si>
    <t>Дополнительные затраты при получении электроэнергии от передвижных электростанций. 2 ЭТАП</t>
  </si>
  <si>
    <t>04-01-01</t>
  </si>
  <si>
    <t>Наружные сети электроснабжения 0,4кВ. 1 ЭТАП</t>
  </si>
  <si>
    <t>04-01-02</t>
  </si>
  <si>
    <t>Наружные сети электроснабжения 10кВ. 1 ЭТАП</t>
  </si>
  <si>
    <t>04-01-03</t>
  </si>
  <si>
    <t>Монтаж  БКТП-1.1; БКТП-1.2; БКТП-1.3.  1 ЭТАП.</t>
  </si>
  <si>
    <t>04-01-04</t>
  </si>
  <si>
    <t>Наружные сети электроснабжения 0,4кВ. Водозаборный узел (ВЗУ), операторская СИС.  1 ЭТАП</t>
  </si>
  <si>
    <t>04-02-01</t>
  </si>
  <si>
    <t>Наружные сети электроснабжения 0,4кВ. 2 ЭТАП</t>
  </si>
  <si>
    <t>04-02-02</t>
  </si>
  <si>
    <t>Наружные сети электроснабжения 10кВ. 2 ЭТАП</t>
  </si>
  <si>
    <t>04-02-03</t>
  </si>
  <si>
    <t>Монтаж  БКТП-2.1; БКТП-2.2.  2 ЭТАП.</t>
  </si>
  <si>
    <t>05-01-01</t>
  </si>
  <si>
    <t>Наружные сети связи системы искусственного снегообразования</t>
  </si>
  <si>
    <t>05-01-02</t>
  </si>
  <si>
    <t>Сети связи. Автоматизация системы технического водоснабжения.  1 ЭТАП.</t>
  </si>
  <si>
    <t>05-02-01</t>
  </si>
  <si>
    <t>05-02-02</t>
  </si>
  <si>
    <t>Сети связи. Автоматизация системы технического водоснабжения.  2 ЭТАП.</t>
  </si>
  <si>
    <t>ПНР. Наружные сети электроснабжения 0,4кВ. 1 ЭТАП</t>
  </si>
  <si>
    <t>09-01-02</t>
  </si>
  <si>
    <t>ПНР.Заземление и молниезащита. (Насосная станция НС 1). 1 ЭТАП</t>
  </si>
  <si>
    <t>09-01-04</t>
  </si>
  <si>
    <t>ПНР. Наружные сети электроснабжения 10кВ.  1 ЭТАП.</t>
  </si>
  <si>
    <t>09-01-05</t>
  </si>
  <si>
    <t>ПНР. Оборудования  БКТП-1.1; БКТП-1.2; БКТП-1.3.  1 ЭТАП.</t>
  </si>
  <si>
    <t>09-01-06</t>
  </si>
  <si>
    <t>ПНР. Наружные сети электроснабжения 0,4кВ. ВЗУ, операторская СИС.  1 ЭТАП</t>
  </si>
  <si>
    <t>09-01-07</t>
  </si>
  <si>
    <t>ПНР. Внутренние сети связи. Операторская СИС, НСКД  Азау-Кругозор.  1 ЭТАП.</t>
  </si>
  <si>
    <t>09-01-08</t>
  </si>
  <si>
    <t>ПНР. Сети связи. Автоматизация системы технического водоснабжения.  1 ЭТАП.</t>
  </si>
  <si>
    <t>09-01-09</t>
  </si>
  <si>
    <t>ПНР. Система вентиляции и кондиционирования операторской СИС.  1 ЭТАП.</t>
  </si>
  <si>
    <t>09-01-10</t>
  </si>
  <si>
    <t>ПНР. Система Пожарной Сигнализации. Система оповещения и управления эвакуацией. 1 Этап</t>
  </si>
  <si>
    <t>09-02-01</t>
  </si>
  <si>
    <t>ПНР. Наружные сети электроснабжения 0,4кВ. 2 ЭТАП</t>
  </si>
  <si>
    <t>09-02-02</t>
  </si>
  <si>
    <t>ПНР.Заземление и молниезащита. (Насосная станция НС 2). 2 ЭТАП</t>
  </si>
  <si>
    <t>09-02-04</t>
  </si>
  <si>
    <t>ПНР. Наружные сети электроснабжения 10кВ. 2 ЭТАП</t>
  </si>
  <si>
    <t>09-02-05</t>
  </si>
  <si>
    <t>ПНР. Оборудования  БКТП-2.1; БКТП-2.2.  2 ЭТАП.</t>
  </si>
  <si>
    <t>09-02-08</t>
  </si>
  <si>
    <t>ПНР. Сети связи. Автоматизация системы технического водоснабжения.  2 ЭТАП.</t>
  </si>
  <si>
    <t>09-02-10</t>
  </si>
  <si>
    <t>ПНР. Система Пожарной Сигнализации. Система оповещения и управления эвакуацией. 2 Этап</t>
  </si>
  <si>
    <t>Затраты на перевозку работников к месту командирования и обратно</t>
  </si>
  <si>
    <t>Затраты на оплату суточных(100 руб в сутки на 1 чел)</t>
  </si>
  <si>
    <t xml:space="preserve">Затраты на оплату проживания </t>
  </si>
  <si>
    <t>Разработка рабочей документации 1 ЭТАП</t>
  </si>
  <si>
    <t>разделить на 4 этапа !!!</t>
  </si>
  <si>
    <t>СР№10, 1 ЭТАП</t>
  </si>
  <si>
    <t>Строительство</t>
  </si>
  <si>
    <t>1.1.1</t>
  </si>
  <si>
    <t>1.1.2</t>
  </si>
  <si>
    <t>Непредвиденные затраты для рабочей документации - 3%</t>
  </si>
  <si>
    <t>Непредвиденные затраты для строительства - 3%</t>
  </si>
  <si>
    <t>1.2.1</t>
  </si>
  <si>
    <t>1.2.2</t>
  </si>
  <si>
    <t>1.2.3</t>
  </si>
  <si>
    <t>1.2.4</t>
  </si>
  <si>
    <t>1.2.4.1</t>
  </si>
  <si>
    <t>1.2.4.2</t>
  </si>
  <si>
    <t>1.2.4.3</t>
  </si>
  <si>
    <t>1.2.4.4</t>
  </si>
  <si>
    <t>1.2.4.5</t>
  </si>
  <si>
    <t>1.2.4.6</t>
  </si>
  <si>
    <t>1.2.4.7</t>
  </si>
  <si>
    <t>1.2.4.8</t>
  </si>
  <si>
    <t>1.2.4.9</t>
  </si>
  <si>
    <t>1.2.4.10</t>
  </si>
  <si>
    <t>1.2.4.11</t>
  </si>
  <si>
    <t>1.2.4.12</t>
  </si>
  <si>
    <t>1.2.4.13</t>
  </si>
  <si>
    <t>1.2.4.14</t>
  </si>
  <si>
    <t>1.2.4.15</t>
  </si>
  <si>
    <t>1.2.5</t>
  </si>
  <si>
    <t>1.2.7</t>
  </si>
  <si>
    <t>1.2.8</t>
  </si>
  <si>
    <t>1.2.5.1</t>
  </si>
  <si>
    <t>1.2.5.2</t>
  </si>
  <si>
    <t>1.2.5.3</t>
  </si>
  <si>
    <t>1.2.5.4</t>
  </si>
  <si>
    <t>1.2.6</t>
  </si>
  <si>
    <t>1.2.6.1</t>
  </si>
  <si>
    <t>1.2.6.2</t>
  </si>
  <si>
    <t>1.2.8.1</t>
  </si>
  <si>
    <t>1.2.8.2</t>
  </si>
  <si>
    <t>1.2.8.3</t>
  </si>
  <si>
    <t>1.2.8.4</t>
  </si>
  <si>
    <t>1.2.8.5</t>
  </si>
  <si>
    <t>1.2.8.6</t>
  </si>
  <si>
    <t>1.2.8.7</t>
  </si>
  <si>
    <t>1.2.8.8</t>
  </si>
  <si>
    <t>1.2.8.9</t>
  </si>
  <si>
    <t>1.2.9</t>
  </si>
  <si>
    <t>1.2.10</t>
  </si>
  <si>
    <t>1.2.11</t>
  </si>
  <si>
    <t>1.2.11.1</t>
  </si>
  <si>
    <t>1.2.11.2</t>
  </si>
  <si>
    <t>1.2.11.3</t>
  </si>
  <si>
    <t>1.2.12</t>
  </si>
  <si>
    <t>Итого Этап 1</t>
  </si>
  <si>
    <t>Итого Этап 1 с учетом НДС</t>
  </si>
  <si>
    <t>СР№10, 2 ЭТАП</t>
  </si>
  <si>
    <t>Разработка рабочей документации 2 ЭТАП</t>
  </si>
  <si>
    <t>2</t>
  </si>
  <si>
    <t>2.1.1</t>
  </si>
  <si>
    <t>2.1.2</t>
  </si>
  <si>
    <t>2.2.1</t>
  </si>
  <si>
    <t>2.2.2</t>
  </si>
  <si>
    <t>2.2.2.1</t>
  </si>
  <si>
    <t>2.2.2.2</t>
  </si>
  <si>
    <t>2.2.2.3</t>
  </si>
  <si>
    <t>2.2.2.4</t>
  </si>
  <si>
    <t>2.2.2.5</t>
  </si>
  <si>
    <t>2.2.2.6</t>
  </si>
  <si>
    <t>2.2.2.7</t>
  </si>
  <si>
    <t>2.2.2.8</t>
  </si>
  <si>
    <t>2.2.2.9</t>
  </si>
  <si>
    <t>2.2.2.10</t>
  </si>
  <si>
    <t>2.2.3</t>
  </si>
  <si>
    <t>2.2.3.1</t>
  </si>
  <si>
    <t>2.2.3.2</t>
  </si>
  <si>
    <t>2.2.3.3</t>
  </si>
  <si>
    <t>2.2.4</t>
  </si>
  <si>
    <t>2.2.4.1</t>
  </si>
  <si>
    <t>2.2.4.2</t>
  </si>
  <si>
    <t>2.2.5</t>
  </si>
  <si>
    <t>2.2.6</t>
  </si>
  <si>
    <t>2.2.6.1</t>
  </si>
  <si>
    <t>2.2.6.2</t>
  </si>
  <si>
    <t>2.2.6.3</t>
  </si>
  <si>
    <t>2.2.6.4</t>
  </si>
  <si>
    <t>2.2.6.5</t>
  </si>
  <si>
    <t>2.2.6.6</t>
  </si>
  <si>
    <t>2.2.7</t>
  </si>
  <si>
    <t>2.2.8</t>
  </si>
  <si>
    <t>2.2.9</t>
  </si>
  <si>
    <t>2.2.9.1</t>
  </si>
  <si>
    <t>2.2.9.2</t>
  </si>
  <si>
    <t>2.2.9.3</t>
  </si>
  <si>
    <t>2.2.10</t>
  </si>
  <si>
    <t>Итого Этап 2</t>
  </si>
  <si>
    <t>Итого Этап 2 с учетом НДС</t>
  </si>
  <si>
    <t>ВСЕГО Этап 1 и Этап 2</t>
  </si>
  <si>
    <t>ВСЕГО Этап 1 и Этап 2 с учетом НДС</t>
  </si>
  <si>
    <t>Сводный индекс цен на продукцию (затраты, услуги) инвестиционного назначения 
по Российской Федерации в 2022 году</t>
  </si>
  <si>
    <t>на конец периода, в % к предыдущему месяцу</t>
  </si>
  <si>
    <t>ОКВЭД2</t>
  </si>
  <si>
    <t>2023</t>
  </si>
  <si>
    <t>декабрь</t>
  </si>
  <si>
    <r>
      <t xml:space="preserve">**поскольку индексы Росстата </t>
    </r>
    <r>
      <rPr>
        <sz val="11"/>
        <color rgb="FFFF0000"/>
        <rFont val="Calibri"/>
        <family val="2"/>
        <charset val="204"/>
      </rPr>
      <t>за февраль 2023 и март 2023</t>
    </r>
    <r>
      <rPr>
        <sz val="11"/>
        <color rgb="FF000000"/>
        <rFont val="Calibri"/>
        <family val="2"/>
        <charset val="204"/>
      </rPr>
      <t xml:space="preserve"> на момент выполнения расчета отсутствуют, для расчета принимается индекс фактической инфляции в размере, установленном для последнего опубликованного месяца.</t>
    </r>
  </si>
  <si>
    <t>РАСЧЕТ ИНДЕКСОВ ФАКТИЧЕСКОЙ ИНФЛЯЦИИ</t>
  </si>
  <si>
    <t>РАСЧЕТ ИНДЕКСОВ ПРОГНОЗНОЙ ИНФЛЯЦИИ ДЛЯ ЭТАПА 1</t>
  </si>
  <si>
    <t>Ведомость объемов конструктивных решений (элементов) и комплексов (видов) работ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</si>
  <si>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</si>
  <si>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</si>
  <si>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</si>
  <si>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</si>
  <si>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 xml:space="preserve">комплекс </t>
  </si>
  <si>
    <t>РАСЧЕТ ИНДЕКСОВ ПРОГНОЗНОЙ ИНФЛЯЦИИ ДЛЯ ЭТАПА 2</t>
  </si>
  <si>
    <t>Усредненный индекс- дефлятор  РД 1 этапа</t>
  </si>
  <si>
    <t>Усредненный индекс- дефлятор для стройки 1 этапа</t>
  </si>
  <si>
    <t>Усредненный индекс- дефлятор  РД 2 этапа</t>
  </si>
  <si>
    <t>Усредненный индекс- дефлятор для стройки 2 этапа</t>
  </si>
  <si>
    <t>2. Заключение Федерального автономного учреждения "Главное управление государственной экспертизы"от 30.03.2023 № 07-1-1-3-015780-2023</t>
  </si>
  <si>
    <t>Проект сметы контракта</t>
  </si>
  <si>
    <t>Цена, руб</t>
  </si>
  <si>
    <t>В том числе оборудование, руб.</t>
  </si>
  <si>
    <t>На единицу измерения</t>
  </si>
  <si>
    <t>РАСЧЕТ НАЧАЛЬНОЙ МАКСИМАЛЬНОЙ ЦЕНЫ ДОГОВОРА</t>
  </si>
  <si>
    <t>по объекту:</t>
  </si>
  <si>
    <t xml:space="preserve">Продолжительность работ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</si>
  <si>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</si>
  <si>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</si>
  <si>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</si>
  <si>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</si>
  <si>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</si>
  <si>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</si>
  <si>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</si>
  <si>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</si>
  <si>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1</t>
  </si>
  <si>
    <t xml:space="preserve">Разработка рабочей документации </t>
  </si>
  <si>
    <t>В том числе:</t>
  </si>
  <si>
    <t xml:space="preserve">Инфляционная составляющая </t>
  </si>
  <si>
    <t>Строительство (строительные работы, оборудование, прочие затраты)</t>
  </si>
  <si>
    <t xml:space="preserve">Оборудование </t>
  </si>
  <si>
    <t xml:space="preserve">Непредвиденные расходы </t>
  </si>
  <si>
    <t>Татаринова Е.А.</t>
  </si>
  <si>
    <t>по объекту «Всесезонный туристско- рекреационный комплекс «Эльбрус», Кабардино-Балкарская Республика. Система искусственного снегообразования» (Этап 1, Этап 2)</t>
  </si>
  <si>
    <t>ВСЕГО Этап 1:</t>
  </si>
  <si>
    <t>ВСЕГО Этап 1 и Этап 2:</t>
  </si>
  <si>
    <t>ВСЕГО Этап 2:</t>
  </si>
  <si>
    <t>Протокол</t>
  </si>
  <si>
    <t>начальной (максимальной) цены контракта</t>
  </si>
  <si>
    <t xml:space="preserve">Начальная (максимальная ) цена контракта составляет </t>
  </si>
  <si>
    <t>руб. с учетом НДС</t>
  </si>
  <si>
    <t>Начальная (максимальная ) цена контракта включает в себя расходы:</t>
  </si>
  <si>
    <t>1.</t>
  </si>
  <si>
    <t>2.</t>
  </si>
  <si>
    <t>Создание геодезической разбивочной основы</t>
  </si>
  <si>
    <t>3.</t>
  </si>
  <si>
    <t>Затраты на оплату труда рабочих-строителей и рабочих, обслуживающих строительные машины и механизмы</t>
  </si>
  <si>
    <t>4.</t>
  </si>
  <si>
    <t>Затраты на эксплуатацию машин и механизмов</t>
  </si>
  <si>
    <t>5.</t>
  </si>
  <si>
    <t>Затраты на приобретение материалов, изделий и конструкций.</t>
  </si>
  <si>
    <t>6.</t>
  </si>
  <si>
    <t>Затраты на приобретение оборудования</t>
  </si>
  <si>
    <t>7.</t>
  </si>
  <si>
    <t xml:space="preserve">Накладные расходы </t>
  </si>
  <si>
    <t>8.</t>
  </si>
  <si>
    <t>Сметную прибыль</t>
  </si>
  <si>
    <t>9.</t>
  </si>
  <si>
    <t>Затраты на строительство временных зданий и сооружений (ВЗИС) с учетом возврата от разборки ВЗИС в размере 15 % от суммы затрат на их возведение</t>
  </si>
  <si>
    <t>10.</t>
  </si>
  <si>
    <t>Пусконаладочные работы (вхолостую)</t>
  </si>
  <si>
    <t>11.</t>
  </si>
  <si>
    <t>Затраты, связанные с командированием рабочих (перевозка рабочих, проживание, суточные)</t>
  </si>
  <si>
    <t>12.</t>
  </si>
  <si>
    <t xml:space="preserve">Резерв средств на непредвиденные работы и затраты </t>
  </si>
  <si>
    <t>13.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</si>
  <si>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</t>
  </si>
  <si>
    <t>14.</t>
  </si>
  <si>
    <t>Индексы прогнозной инфляции для пересчета из уровня цен на дату определения НМЦК в уровень цен соответствующего периода реализации проекта</t>
  </si>
  <si>
    <t>15.</t>
  </si>
  <si>
    <t>Налог на добавленную стоимость в размере 20%</t>
  </si>
  <si>
    <t>Приложение:</t>
  </si>
  <si>
    <t>Расчет начальной (максимальной) цены контракта.</t>
  </si>
  <si>
    <t xml:space="preserve">10. </t>
  </si>
  <si>
    <t xml:space="preserve">Затраты на зимнее удорожание </t>
  </si>
  <si>
    <t>Экологический мониторинг</t>
  </si>
  <si>
    <t>Затраты по размещению  отходов строительного производства</t>
  </si>
  <si>
    <t>16.</t>
  </si>
  <si>
    <t>17.</t>
  </si>
  <si>
    <t>18.</t>
  </si>
  <si>
    <t>Заместитель руководителя управления направления сметного регулирования Управления проектов Департамента развития инфраструктуры</t>
  </si>
  <si>
    <t>расположенному по адресу: Северо-Кавказский Федеральный округ РФ, Кабардино-Балкарская Республика, Эльбрусский район, Поляна Азау, гора Эльбрус.</t>
  </si>
  <si>
    <t>Затраты на строительный контроль</t>
  </si>
  <si>
    <t>Сумма затрат Подрядчика для определения затрат на СК - 1 этап</t>
  </si>
  <si>
    <t>1 этап</t>
  </si>
  <si>
    <t>руб. с НДС</t>
  </si>
  <si>
    <t>Норматив согласно ССР</t>
  </si>
  <si>
    <t>Согласно ССРСС и  изменений в Методику 421/пр по Приказу Минстроя России от 07.07.2022 N 557/пр. (От итога глав 1-9 СМР, оборудование, прочие)</t>
  </si>
  <si>
    <t>2 этап</t>
  </si>
  <si>
    <t>Сумма затрат Подрядчика для определения затрат на СК - 2 этап</t>
  </si>
  <si>
    <t>Затраты на СК 1 этап</t>
  </si>
  <si>
    <t>Затраты на СК 2 этап</t>
  </si>
  <si>
    <t>Затраты на СК 1-2 этапы</t>
  </si>
  <si>
    <t>ПОЯСНИТЕЛЬНАЯ ЗАПИСКА</t>
  </si>
  <si>
    <t>К РАСЧЕТУ НАЧАЛЬНОЙ МАКСИМАЛЬНОЙ ЦЕНЫ ДОГОВОРА</t>
  </si>
  <si>
    <t xml:space="preserve">Начальная максимальная цена договора (далее - НМЦД) определена в соответствии с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Порядком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планирования), утвержденным приказом Министерства строительства и жилищно-коммунального хозяйства Российской Федерации от 23 декабря 2019 г. № 841/пр. </t>
  </si>
  <si>
    <t>Расчет стоимости строительства выполнен проектно- сметным методом.</t>
  </si>
  <si>
    <t>Цена работ учитывает все затраты Подрядчика, включая стоимость проектных работ стадии "Рабочая документация",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прибыли.</t>
  </si>
  <si>
    <t>Описание метода расчета стоимости проектных работ и строительства</t>
  </si>
  <si>
    <t xml:space="preserve">Индексы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определены с применением официальной статистической информации об индексах цен на продукцию (затраты, услуги) инвестиционного назначения по видам экономической деятельности (строительство), публикуемой Федеральной службой государственной статистики для соответствующего периода в целом по Российской Федерации. </t>
  </si>
  <si>
    <t>Индексы прогнозной инфляции для пересчета из уровня цен на дату определения НМЦК в уровень цен соответствующего периода реализации проекта определены с применением индексов-дефляторов Министерства экономического развития Российской Федерации по строке "Инвестиции в основной капитал (капитальные вложения).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</si>
  <si>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</si>
  <si>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</si>
  <si>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</si>
  <si>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Для расчета цены строительства  использован сводный сметный расчет в ценах 3 квартала 2022 г., локальные сметные расчеты в ценах 3 кв. 2022 г., получившие положительное заключение ФАУ "Главгосэкспертиза России" от 30.03.2023 № 07-1-1-3-015780-2023</t>
  </si>
  <si>
    <t>В расчете учтены затраты на временные здания и сооружения в размере 3,1% от суммы строительно-монтажных работ, зимнее удорожание в размере 0,5% от суммы строительно-монтажных работ, непредвиденные затраты в размере согласно сводному сметному расчету 3 %  от итоговой суммы затрат по смете контракта  и возврат от разборки временных зданий и сооружений в размере 15% от суммы затрат на их возведение.</t>
  </si>
  <si>
    <t>Индекс Минэкономразвития РФ на 2024 г. (Письмо Минэкономразвития России от 28.09.2022 № 36804-ПК/Д03и)</t>
  </si>
  <si>
    <t>ежемесячный прогнозный индекс на 2024 год</t>
  </si>
  <si>
    <t>окончание первого года</t>
  </si>
  <si>
    <t>начало второго года</t>
  </si>
  <si>
    <t>Продолжительность выполнения работ, мес.</t>
  </si>
  <si>
    <t>Доля сметной стоимости, подлежащая выполнению подрядчиком в 2023 году</t>
  </si>
  <si>
    <t>К на 2023 =</t>
  </si>
  <si>
    <t>К на 2024 =</t>
  </si>
  <si>
    <t>Доля сметной стоимости, подлежащая выполнению подрядчиком в 2024 году</t>
  </si>
  <si>
    <t>1. Приказ об утверждении проектной документации, включая сводный сметный расчет стоимости строительства от 31.03.2023 ПР-23-089</t>
  </si>
  <si>
    <t>В том числе оборудование</t>
  </si>
  <si>
    <t>В том числе технологическое оборудование СИС</t>
  </si>
  <si>
    <t>по КП в рублях</t>
  </si>
  <si>
    <t>По КП в евро</t>
  </si>
  <si>
    <t>Курс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</si>
</sst>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00"/>
    <numFmt numFmtId="166" formatCode="0.0000"/>
    <numFmt numFmtId="167" formatCode="#,##0.####"/>
    <numFmt numFmtId="168" formatCode="0.0000000"/>
    <numFmt numFmtId="169" formatCode="0.0%"/>
  </numFmts>
  <fonts count="52" x14ac:knownFonts="1">
    <font>
      <sz val="11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8"/>
      <color rgb="FF80808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1"/>
      <color rgb="FFFF0000"/>
      <name val="Calibri"/>
      <family val="2"/>
      <charset val="204"/>
    </font>
    <font>
      <i/>
      <sz val="12"/>
      <color rgb="FFFF0000"/>
      <name val="Times New Roman"/>
      <family val="1"/>
      <charset val="204"/>
    </font>
    <font>
      <sz val="10"/>
      <color indexed="1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u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1"/>
      <color rgb="FF0070C0"/>
      <name val="Calibri"/>
      <family val="2"/>
      <charset val="204"/>
    </font>
    <font>
      <b/>
      <sz val="11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1"/>
      <name val="Calibri"/>
      <family val="2"/>
      <charset val="204"/>
    </font>
    <font>
      <sz val="1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4">
    <xf numFmtId="0" fontId="0" fillId="0" borderId="0"/>
    <xf numFmtId="0" fontId="2" fillId="0" borderId="0"/>
    <xf numFmtId="0" fontId="9" fillId="0" borderId="0"/>
    <xf numFmtId="0" fontId="23" fillId="0" borderId="0"/>
    <xf numFmtId="0" fontId="2" fillId="0" borderId="0"/>
    <xf numFmtId="0" fontId="1" fillId="0" borderId="0"/>
    <xf numFmtId="0" fontId="37" fillId="0" borderId="0"/>
    <xf numFmtId="0" fontId="36" fillId="0" borderId="0">
      <alignment horizontal="left" vertical="top"/>
    </xf>
    <xf numFmtId="0" fontId="33" fillId="0" borderId="0"/>
    <xf numFmtId="0" fontId="36" fillId="0" borderId="0">
      <alignment horizontal="center"/>
    </xf>
    <xf numFmtId="0" fontId="33" fillId="0" borderId="9" applyBorder="0" applyAlignment="0">
      <alignment horizontal="center" wrapText="1"/>
    </xf>
    <xf numFmtId="0" fontId="1" fillId="0" borderId="0"/>
    <xf numFmtId="0" fontId="3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33" fillId="0" borderId="0"/>
    <xf numFmtId="0" fontId="42" fillId="0" borderId="0">
      <alignment horizontal="left" vertical="top"/>
    </xf>
    <xf numFmtId="0" fontId="1" fillId="0" borderId="0"/>
    <xf numFmtId="0" fontId="33" fillId="0" borderId="9" applyBorder="0" applyAlignment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3" fillId="0" borderId="0"/>
    <xf numFmtId="0" fontId="33" fillId="0" borderId="0"/>
    <xf numFmtId="0" fontId="23" fillId="0" borderId="0"/>
    <xf numFmtId="9" fontId="51" fillId="0" borderId="0" applyFont="0" applyFill="0" applyBorder="0" applyAlignment="0" applyProtection="0"/>
  </cellStyleXfs>
  <cellXfs count="414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" fontId="8" fillId="0" borderId="9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1" fontId="16" fillId="0" borderId="9" xfId="0" applyNumberFormat="1" applyFont="1" applyFill="1" applyBorder="1" applyAlignment="1" applyProtection="1">
      <alignment horizontal="center" vertical="top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4" fontId="16" fillId="0" borderId="9" xfId="0" applyNumberFormat="1" applyFont="1" applyFill="1" applyBorder="1" applyAlignment="1" applyProtection="1">
      <alignment horizontal="right" vertical="top" wrapText="1"/>
    </xf>
    <xf numFmtId="4" fontId="16" fillId="0" borderId="0" xfId="0" applyNumberFormat="1" applyFont="1" applyFill="1" applyBorder="1" applyAlignment="1" applyProtection="1">
      <alignment horizontal="right" vertical="top" wrapText="1"/>
    </xf>
    <xf numFmtId="1" fontId="18" fillId="0" borderId="9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4" fontId="18" fillId="0" borderId="9" xfId="0" applyNumberFormat="1" applyFont="1" applyFill="1" applyBorder="1" applyAlignment="1" applyProtection="1">
      <alignment horizontal="right" vertical="top" wrapText="1"/>
    </xf>
    <xf numFmtId="4" fontId="18" fillId="0" borderId="0" xfId="0" applyNumberFormat="1" applyFont="1" applyFill="1" applyBorder="1" applyAlignment="1" applyProtection="1">
      <alignment horizontal="right" vertical="top" wrapText="1"/>
    </xf>
    <xf numFmtId="0" fontId="19" fillId="0" borderId="9" xfId="0" applyNumberFormat="1" applyFont="1" applyFill="1" applyBorder="1" applyAlignment="1" applyProtection="1"/>
    <xf numFmtId="4" fontId="19" fillId="0" borderId="9" xfId="0" applyNumberFormat="1" applyFont="1" applyFill="1" applyBorder="1" applyAlignment="1" applyProtection="1">
      <alignment horizontal="right" vertical="top" wrapText="1"/>
    </xf>
    <xf numFmtId="4" fontId="19" fillId="0" borderId="9" xfId="0" applyNumberFormat="1" applyFont="1" applyFill="1" applyBorder="1" applyAlignment="1" applyProtection="1">
      <alignment horizontal="right" vertical="top"/>
    </xf>
    <xf numFmtId="4" fontId="19" fillId="0" borderId="0" xfId="0" applyNumberFormat="1" applyFont="1" applyFill="1" applyBorder="1" applyAlignment="1" applyProtection="1">
      <alignment horizontal="right" vertical="top"/>
    </xf>
    <xf numFmtId="4" fontId="16" fillId="0" borderId="9" xfId="2" applyNumberFormat="1" applyFont="1" applyFill="1" applyBorder="1" applyAlignment="1" applyProtection="1">
      <alignment horizontal="right" vertical="top" wrapText="1"/>
    </xf>
    <xf numFmtId="0" fontId="16" fillId="0" borderId="9" xfId="0" applyNumberFormat="1" applyFont="1" applyFill="1" applyBorder="1" applyAlignment="1" applyProtection="1">
      <alignment horizontal="right" vertical="top" wrapText="1"/>
    </xf>
    <xf numFmtId="0" fontId="19" fillId="0" borderId="9" xfId="0" applyNumberFormat="1" applyFont="1" applyFill="1" applyBorder="1" applyAlignment="1" applyProtection="1">
      <alignment horizontal="right" vertical="top"/>
    </xf>
    <xf numFmtId="0" fontId="18" fillId="0" borderId="9" xfId="0" applyNumberFormat="1" applyFont="1" applyFill="1" applyBorder="1" applyAlignment="1" applyProtection="1">
      <alignment horizontal="center" vertical="top" wrapText="1"/>
    </xf>
    <xf numFmtId="49" fontId="18" fillId="0" borderId="0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Alignment="1" applyProtection="1">
      <alignment horizontal="center" vertical="center"/>
    </xf>
    <xf numFmtId="2" fontId="16" fillId="0" borderId="9" xfId="2" applyNumberFormat="1" applyFont="1" applyFill="1" applyBorder="1" applyAlignment="1" applyProtection="1">
      <alignment horizontal="right" vertical="top" wrapText="1"/>
    </xf>
    <xf numFmtId="0" fontId="18" fillId="0" borderId="9" xfId="0" applyNumberFormat="1" applyFont="1" applyFill="1" applyBorder="1" applyAlignment="1" applyProtection="1">
      <alignment horizontal="right" vertical="top" wrapText="1"/>
    </xf>
    <xf numFmtId="0" fontId="18" fillId="0" borderId="0" xfId="0" applyNumberFormat="1" applyFont="1" applyFill="1" applyBorder="1" applyAlignment="1" applyProtection="1">
      <alignment horizontal="right" vertical="top" wrapText="1"/>
    </xf>
    <xf numFmtId="0" fontId="19" fillId="0" borderId="9" xfId="0" applyNumberFormat="1" applyFont="1" applyFill="1" applyBorder="1" applyAlignment="1" applyProtection="1">
      <alignment horizontal="right" vertical="top" wrapText="1"/>
    </xf>
    <xf numFmtId="2" fontId="18" fillId="0" borderId="9" xfId="0" applyNumberFormat="1" applyFont="1" applyFill="1" applyBorder="1" applyAlignment="1" applyProtection="1">
      <alignment horizontal="right" vertical="top" wrapText="1"/>
    </xf>
    <xf numFmtId="2" fontId="18" fillId="0" borderId="0" xfId="0" applyNumberFormat="1" applyFont="1" applyFill="1" applyBorder="1" applyAlignment="1" applyProtection="1">
      <alignment horizontal="right" vertical="top" wrapText="1"/>
    </xf>
    <xf numFmtId="1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left" vertical="top" wrapText="1"/>
    </xf>
    <xf numFmtId="4" fontId="19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horizontal="left" vertical="top"/>
    </xf>
    <xf numFmtId="0" fontId="13" fillId="0" borderId="2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vertical="top"/>
    </xf>
    <xf numFmtId="0" fontId="7" fillId="0" borderId="0" xfId="3" applyFont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8" fillId="0" borderId="0" xfId="3" applyFont="1"/>
    <xf numFmtId="0" fontId="24" fillId="0" borderId="0" xfId="3" applyFont="1"/>
    <xf numFmtId="0" fontId="26" fillId="0" borderId="0" xfId="4" applyFont="1"/>
    <xf numFmtId="0" fontId="27" fillId="2" borderId="9" xfId="4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/>
    </xf>
    <xf numFmtId="0" fontId="7" fillId="3" borderId="9" xfId="3" applyFont="1" applyFill="1" applyBorder="1" applyAlignment="1">
      <alignment horizontal="center" vertical="center"/>
    </xf>
    <xf numFmtId="0" fontId="7" fillId="3" borderId="9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27" fillId="3" borderId="9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top" wrapText="1"/>
    </xf>
    <xf numFmtId="49" fontId="29" fillId="0" borderId="9" xfId="0" applyNumberFormat="1" applyFont="1" applyBorder="1" applyAlignment="1">
      <alignment horizontal="center" vertical="center"/>
    </xf>
    <xf numFmtId="4" fontId="29" fillId="0" borderId="9" xfId="0" applyNumberFormat="1" applyFont="1" applyBorder="1" applyAlignment="1">
      <alignment horizontal="center" vertical="center"/>
    </xf>
    <xf numFmtId="4" fontId="8" fillId="4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0" fillId="0" borderId="0" xfId="0" applyAlignment="1"/>
    <xf numFmtId="14" fontId="0" fillId="6" borderId="9" xfId="0" applyNumberForma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14" fontId="0" fillId="0" borderId="0" xfId="0" applyNumberFormat="1" applyBorder="1"/>
    <xf numFmtId="14" fontId="0" fillId="0" borderId="0" xfId="0" applyNumberFormat="1"/>
    <xf numFmtId="164" fontId="0" fillId="0" borderId="9" xfId="0" applyNumberFormat="1" applyBorder="1"/>
    <xf numFmtId="10" fontId="0" fillId="0" borderId="9" xfId="0" applyNumberFormat="1" applyBorder="1"/>
    <xf numFmtId="10" fontId="8" fillId="8" borderId="4" xfId="0" applyNumberFormat="1" applyFont="1" applyFill="1" applyBorder="1" applyAlignment="1">
      <alignment vertical="center"/>
    </xf>
    <xf numFmtId="0" fontId="8" fillId="8" borderId="6" xfId="0" applyFont="1" applyFill="1" applyBorder="1" applyAlignment="1">
      <alignment vertical="center"/>
    </xf>
    <xf numFmtId="168" fontId="0" fillId="0" borderId="9" xfId="0" applyNumberFormat="1" applyBorder="1"/>
    <xf numFmtId="166" fontId="34" fillId="9" borderId="9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8" fillId="0" borderId="0" xfId="3" applyFont="1" applyAlignment="1">
      <alignment horizontal="left" vertical="center" wrapText="1"/>
    </xf>
    <xf numFmtId="4" fontId="8" fillId="0" borderId="0" xfId="3" applyNumberFormat="1" applyFont="1" applyAlignment="1">
      <alignment horizontal="center" vertical="center" wrapText="1"/>
    </xf>
    <xf numFmtId="0" fontId="28" fillId="3" borderId="9" xfId="3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left" vertical="top" wrapText="1"/>
    </xf>
    <xf numFmtId="0" fontId="27" fillId="11" borderId="10" xfId="4" applyFont="1" applyFill="1" applyBorder="1" applyAlignment="1">
      <alignment horizontal="center" vertical="center" wrapText="1"/>
    </xf>
    <xf numFmtId="0" fontId="7" fillId="11" borderId="10" xfId="4" applyFont="1" applyFill="1" applyBorder="1" applyAlignment="1">
      <alignment horizontal="center" vertical="center"/>
    </xf>
    <xf numFmtId="4" fontId="7" fillId="11" borderId="10" xfId="4" applyNumberFormat="1" applyFont="1" applyFill="1" applyBorder="1" applyAlignment="1">
      <alignment horizontal="center" vertical="center"/>
    </xf>
    <xf numFmtId="4" fontId="16" fillId="10" borderId="9" xfId="0" applyNumberFormat="1" applyFont="1" applyFill="1" applyBorder="1" applyAlignment="1" applyProtection="1">
      <alignment horizontal="right" vertical="top" wrapText="1"/>
    </xf>
    <xf numFmtId="1" fontId="16" fillId="10" borderId="9" xfId="0" applyNumberFormat="1" applyFont="1" applyFill="1" applyBorder="1" applyAlignment="1" applyProtection="1">
      <alignment horizontal="center" vertical="top" wrapText="1"/>
    </xf>
    <xf numFmtId="0" fontId="16" fillId="10" borderId="9" xfId="0" applyNumberFormat="1" applyFont="1" applyFill="1" applyBorder="1" applyAlignment="1" applyProtection="1">
      <alignment horizontal="left" vertical="top" wrapText="1"/>
    </xf>
    <xf numFmtId="4" fontId="27" fillId="11" borderId="10" xfId="4" applyNumberFormat="1" applyFont="1" applyFill="1" applyBorder="1" applyAlignment="1">
      <alignment horizontal="center" vertical="center" wrapText="1"/>
    </xf>
    <xf numFmtId="0" fontId="16" fillId="4" borderId="9" xfId="0" applyNumberFormat="1" applyFont="1" applyFill="1" applyBorder="1" applyAlignment="1" applyProtection="1">
      <alignment horizontal="left" vertical="top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/>
    <xf numFmtId="0" fontId="26" fillId="4" borderId="9" xfId="0" applyNumberFormat="1" applyFont="1" applyFill="1" applyBorder="1" applyAlignment="1" applyProtection="1">
      <alignment horizontal="left" vertical="top" wrapText="1"/>
    </xf>
    <xf numFmtId="4" fontId="38" fillId="4" borderId="9" xfId="25" applyNumberFormat="1" applyFont="1" applyFill="1" applyBorder="1" applyAlignment="1">
      <alignment horizontal="center" vertical="center" wrapText="1"/>
    </xf>
    <xf numFmtId="4" fontId="16" fillId="10" borderId="9" xfId="2" applyNumberFormat="1" applyFont="1" applyFill="1" applyBorder="1" applyAlignment="1" applyProtection="1">
      <alignment horizontal="right" vertical="top" wrapText="1"/>
    </xf>
    <xf numFmtId="0" fontId="16" fillId="10" borderId="9" xfId="0" applyNumberFormat="1" applyFont="1" applyFill="1" applyBorder="1" applyAlignment="1" applyProtection="1">
      <alignment horizontal="right" vertical="top" wrapText="1"/>
    </xf>
    <xf numFmtId="4" fontId="29" fillId="0" borderId="10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center" vertical="top" wrapText="1"/>
    </xf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4" borderId="9" xfId="0" applyNumberFormat="1" applyFont="1" applyFill="1" applyBorder="1" applyAlignment="1" applyProtection="1">
      <alignment horizontal="center" vertical="top" wrapText="1"/>
    </xf>
    <xf numFmtId="165" fontId="31" fillId="0" borderId="10" xfId="0" applyNumberFormat="1" applyFont="1" applyBorder="1" applyAlignment="1">
      <alignment horizontal="center" vertical="center"/>
    </xf>
    <xf numFmtId="0" fontId="18" fillId="10" borderId="9" xfId="0" applyNumberFormat="1" applyFont="1" applyFill="1" applyBorder="1" applyAlignment="1" applyProtection="1">
      <alignment horizontal="center" vertical="top" wrapText="1"/>
    </xf>
    <xf numFmtId="0" fontId="18" fillId="10" borderId="9" xfId="0" applyNumberFormat="1" applyFont="1" applyFill="1" applyBorder="1" applyAlignment="1" applyProtection="1">
      <alignment horizontal="left" vertical="top" wrapText="1"/>
    </xf>
    <xf numFmtId="4" fontId="18" fillId="10" borderId="9" xfId="0" applyNumberFormat="1" applyFont="1" applyFill="1" applyBorder="1" applyAlignment="1" applyProtection="1">
      <alignment horizontal="right" vertical="top" wrapText="1"/>
    </xf>
    <xf numFmtId="0" fontId="26" fillId="4" borderId="9" xfId="0" applyNumberFormat="1" applyFont="1" applyFill="1" applyBorder="1" applyAlignment="1" applyProtection="1">
      <alignment horizontal="center" vertical="center" wrapText="1"/>
    </xf>
    <xf numFmtId="0" fontId="26" fillId="4" borderId="9" xfId="0" applyNumberFormat="1" applyFont="1" applyFill="1" applyBorder="1" applyAlignment="1" applyProtection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2" fontId="16" fillId="10" borderId="9" xfId="2" applyNumberFormat="1" applyFont="1" applyFill="1" applyBorder="1" applyAlignment="1" applyProtection="1">
      <alignment horizontal="right" vertical="top" wrapText="1"/>
    </xf>
    <xf numFmtId="1" fontId="16" fillId="4" borderId="9" xfId="0" applyNumberFormat="1" applyFont="1" applyFill="1" applyBorder="1" applyAlignment="1" applyProtection="1">
      <alignment horizontal="center" vertical="top" wrapText="1"/>
    </xf>
    <xf numFmtId="4" fontId="16" fillId="4" borderId="9" xfId="0" applyNumberFormat="1" applyFont="1" applyFill="1" applyBorder="1" applyAlignment="1" applyProtection="1">
      <alignment horizontal="right" vertical="top" wrapText="1"/>
    </xf>
    <xf numFmtId="0" fontId="29" fillId="4" borderId="9" xfId="0" applyNumberFormat="1" applyFont="1" applyFill="1" applyBorder="1" applyAlignment="1" applyProtection="1">
      <alignment horizontal="left" vertical="top" wrapText="1"/>
    </xf>
    <xf numFmtId="0" fontId="29" fillId="4" borderId="9" xfId="0" applyNumberFormat="1" applyFont="1" applyFill="1" applyBorder="1" applyAlignment="1" applyProtection="1">
      <alignment horizontal="center" vertical="top" wrapText="1"/>
    </xf>
    <xf numFmtId="0" fontId="27" fillId="4" borderId="9" xfId="4" applyFont="1" applyFill="1" applyBorder="1" applyAlignment="1">
      <alignment horizontal="center" vertical="center" wrapText="1"/>
    </xf>
    <xf numFmtId="0" fontId="27" fillId="12" borderId="9" xfId="4" applyFont="1" applyFill="1" applyBorder="1" applyAlignment="1">
      <alignment horizontal="center" vertical="center" wrapText="1"/>
    </xf>
    <xf numFmtId="0" fontId="7" fillId="12" borderId="9" xfId="4" applyFont="1" applyFill="1" applyBorder="1" applyAlignment="1">
      <alignment horizontal="center" vertical="center"/>
    </xf>
    <xf numFmtId="0" fontId="24" fillId="4" borderId="9" xfId="4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 applyProtection="1">
      <alignment horizontal="right" vertical="top" wrapText="1"/>
    </xf>
    <xf numFmtId="49" fontId="27" fillId="12" borderId="9" xfId="4" applyNumberFormat="1" applyFont="1" applyFill="1" applyBorder="1" applyAlignment="1">
      <alignment horizontal="center" vertical="center" wrapText="1"/>
    </xf>
    <xf numFmtId="49" fontId="27" fillId="11" borderId="10" xfId="4" applyNumberFormat="1" applyFont="1" applyFill="1" applyBorder="1" applyAlignment="1">
      <alignment horizontal="center" vertical="center" wrapText="1"/>
    </xf>
    <xf numFmtId="49" fontId="24" fillId="4" borderId="9" xfId="4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4" borderId="9" xfId="0" applyNumberFormat="1" applyFont="1" applyFill="1" applyBorder="1" applyAlignment="1">
      <alignment horizontal="center"/>
    </xf>
    <xf numFmtId="49" fontId="8" fillId="4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/>
    <xf numFmtId="0" fontId="26" fillId="2" borderId="9" xfId="0" applyNumberFormat="1" applyFont="1" applyFill="1" applyBorder="1" applyAlignment="1" applyProtection="1">
      <alignment horizontal="center" vertical="top" wrapText="1"/>
    </xf>
    <xf numFmtId="4" fontId="8" fillId="2" borderId="9" xfId="0" applyNumberFormat="1" applyFont="1" applyFill="1" applyBorder="1" applyAlignment="1">
      <alignment horizontal="center" vertical="center"/>
    </xf>
    <xf numFmtId="0" fontId="43" fillId="2" borderId="9" xfId="0" applyNumberFormat="1" applyFont="1" applyFill="1" applyBorder="1" applyAlignment="1" applyProtection="1">
      <alignment horizontal="center" vertical="top" wrapText="1"/>
    </xf>
    <xf numFmtId="49" fontId="8" fillId="13" borderId="9" xfId="0" applyNumberFormat="1" applyFont="1" applyFill="1" applyBorder="1"/>
    <xf numFmtId="0" fontId="26" fillId="13" borderId="9" xfId="0" applyNumberFormat="1" applyFont="1" applyFill="1" applyBorder="1" applyAlignment="1" applyProtection="1">
      <alignment horizontal="center" vertical="top" wrapText="1"/>
    </xf>
    <xf numFmtId="4" fontId="8" fillId="13" borderId="9" xfId="0" applyNumberFormat="1" applyFont="1" applyFill="1" applyBorder="1" applyAlignment="1">
      <alignment horizontal="center" vertical="center"/>
    </xf>
    <xf numFmtId="0" fontId="43" fillId="13" borderId="9" xfId="0" applyNumberFormat="1" applyFont="1" applyFill="1" applyBorder="1" applyAlignment="1" applyProtection="1">
      <alignment horizontal="center" vertical="center" wrapText="1"/>
    </xf>
    <xf numFmtId="0" fontId="43" fillId="13" borderId="9" xfId="0" applyNumberFormat="1" applyFont="1" applyFill="1" applyBorder="1" applyAlignment="1" applyProtection="1">
      <alignment horizontal="center" vertical="top" wrapText="1"/>
    </xf>
    <xf numFmtId="4" fontId="7" fillId="12" borderId="9" xfId="4" applyNumberFormat="1" applyFont="1" applyFill="1" applyBorder="1" applyAlignment="1">
      <alignment horizontal="center" vertical="center"/>
    </xf>
    <xf numFmtId="4" fontId="7" fillId="13" borderId="9" xfId="0" applyNumberFormat="1" applyFont="1" applyFill="1" applyBorder="1" applyAlignment="1">
      <alignment horizontal="center" vertical="center"/>
    </xf>
    <xf numFmtId="2" fontId="8" fillId="0" borderId="0" xfId="0" applyNumberFormat="1" applyFont="1"/>
    <xf numFmtId="4" fontId="19" fillId="0" borderId="0" xfId="12" applyNumberFormat="1" applyFont="1" applyFill="1" applyBorder="1" applyAlignment="1" applyProtection="1">
      <alignment horizontal="right" vertical="top"/>
    </xf>
    <xf numFmtId="4" fontId="19" fillId="0" borderId="0" xfId="12" applyNumberFormat="1" applyFont="1" applyFill="1" applyBorder="1" applyAlignment="1" applyProtection="1">
      <alignment horizontal="right" vertical="center"/>
    </xf>
    <xf numFmtId="165" fontId="19" fillId="0" borderId="0" xfId="12" applyNumberFormat="1" applyFont="1" applyFill="1" applyBorder="1" applyAlignment="1" applyProtection="1">
      <alignment horizontal="right" vertical="center"/>
    </xf>
    <xf numFmtId="0" fontId="5" fillId="0" borderId="0" xfId="12" applyNumberFormat="1" applyFont="1" applyFill="1" applyBorder="1" applyAlignment="1" applyProtection="1"/>
    <xf numFmtId="0" fontId="19" fillId="0" borderId="0" xfId="12" applyNumberFormat="1" applyFont="1" applyFill="1" applyBorder="1" applyAlignment="1" applyProtection="1">
      <alignment horizontal="right" vertical="top" wrapText="1"/>
    </xf>
    <xf numFmtId="0" fontId="19" fillId="0" borderId="0" xfId="12" applyNumberFormat="1" applyFont="1" applyFill="1" applyBorder="1" applyAlignment="1" applyProtection="1">
      <alignment horizontal="right" vertical="top"/>
    </xf>
    <xf numFmtId="0" fontId="19" fillId="0" borderId="0" xfId="12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32" fillId="5" borderId="10" xfId="17" applyFont="1" applyFill="1" applyBorder="1" applyAlignment="1">
      <alignment horizontal="center" vertical="top" wrapText="1"/>
    </xf>
    <xf numFmtId="167" fontId="33" fillId="0" borderId="10" xfId="17" applyNumberFormat="1" applyBorder="1" applyAlignment="1">
      <alignment horizontal="center" vertical="top"/>
    </xf>
    <xf numFmtId="3" fontId="33" fillId="0" borderId="10" xfId="17" applyNumberFormat="1" applyBorder="1" applyAlignment="1">
      <alignment horizontal="center" vertical="top"/>
    </xf>
    <xf numFmtId="0" fontId="8" fillId="0" borderId="0" xfId="0" applyFont="1" applyAlignment="1">
      <alignment horizontal="right"/>
    </xf>
    <xf numFmtId="166" fontId="8" fillId="4" borderId="9" xfId="4" applyNumberFormat="1" applyFont="1" applyFill="1" applyBorder="1" applyAlignment="1">
      <alignment horizontal="center" vertical="center"/>
    </xf>
    <xf numFmtId="166" fontId="29" fillId="4" borderId="9" xfId="4" applyNumberFormat="1" applyFont="1" applyFill="1" applyBorder="1" applyAlignment="1">
      <alignment horizontal="center" vertical="center"/>
    </xf>
    <xf numFmtId="14" fontId="0" fillId="6" borderId="9" xfId="0" applyNumberFormat="1" applyFill="1" applyBorder="1" applyAlignment="1">
      <alignment horizontal="right"/>
    </xf>
    <xf numFmtId="0" fontId="7" fillId="2" borderId="10" xfId="4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0" fillId="12" borderId="10" xfId="0" applyFill="1" applyBorder="1"/>
    <xf numFmtId="0" fontId="0" fillId="11" borderId="10" xfId="0" applyFill="1" applyBorder="1"/>
    <xf numFmtId="0" fontId="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166" fontId="8" fillId="0" borderId="0" xfId="0" applyNumberFormat="1" applyFont="1"/>
    <xf numFmtId="4" fontId="8" fillId="4" borderId="9" xfId="4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0" xfId="0" applyFont="1" applyFill="1" applyBorder="1" applyAlignment="1">
      <alignment horizontal="center"/>
    </xf>
    <xf numFmtId="4" fontId="0" fillId="0" borderId="10" xfId="0" applyNumberFormat="1" applyBorder="1"/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" fontId="0" fillId="12" borderId="10" xfId="0" applyNumberFormat="1" applyFill="1" applyBorder="1"/>
    <xf numFmtId="4" fontId="46" fillId="12" borderId="10" xfId="0" applyNumberFormat="1" applyFont="1" applyFill="1" applyBorder="1" applyAlignment="1">
      <alignment horizontal="center"/>
    </xf>
    <xf numFmtId="4" fontId="45" fillId="0" borderId="10" xfId="0" applyNumberFormat="1" applyFont="1" applyBorder="1"/>
    <xf numFmtId="0" fontId="0" fillId="11" borderId="10" xfId="0" applyFill="1" applyBorder="1" applyAlignment="1">
      <alignment horizontal="center" vertical="center"/>
    </xf>
    <xf numFmtId="4" fontId="46" fillId="1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" fontId="46" fillId="2" borderId="10" xfId="0" applyNumberFormat="1" applyFont="1" applyFill="1" applyBorder="1" applyAlignment="1">
      <alignment horizontal="center" vertical="center"/>
    </xf>
    <xf numFmtId="0" fontId="46" fillId="2" borderId="10" xfId="0" applyFont="1" applyFill="1" applyBorder="1"/>
    <xf numFmtId="4" fontId="46" fillId="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vertical="center"/>
    </xf>
    <xf numFmtId="0" fontId="46" fillId="13" borderId="10" xfId="0" applyFont="1" applyFill="1" applyBorder="1"/>
    <xf numFmtId="4" fontId="46" fillId="13" borderId="10" xfId="0" applyNumberFormat="1" applyFont="1" applyFill="1" applyBorder="1" applyAlignment="1">
      <alignment horizontal="center" vertical="center"/>
    </xf>
    <xf numFmtId="4" fontId="0" fillId="11" borderId="10" xfId="0" applyNumberFormat="1" applyFill="1" applyBorder="1"/>
    <xf numFmtId="0" fontId="8" fillId="0" borderId="0" xfId="29" applyFont="1"/>
    <xf numFmtId="0" fontId="9" fillId="0" borderId="0" xfId="29"/>
    <xf numFmtId="0" fontId="27" fillId="0" borderId="0" xfId="29" applyFont="1" applyAlignment="1">
      <alignment horizontal="center" vertical="center" wrapText="1"/>
    </xf>
    <xf numFmtId="0" fontId="27" fillId="0" borderId="0" xfId="29" applyFont="1" applyAlignment="1">
      <alignment vertical="center"/>
    </xf>
    <xf numFmtId="0" fontId="28" fillId="0" borderId="0" xfId="29" applyFont="1" applyAlignment="1">
      <alignment vertical="center"/>
    </xf>
    <xf numFmtId="0" fontId="24" fillId="0" borderId="0" xfId="29" applyFont="1"/>
    <xf numFmtId="0" fontId="8" fillId="2" borderId="10" xfId="29" applyFont="1" applyFill="1" applyBorder="1" applyAlignment="1">
      <alignment horizontal="center"/>
    </xf>
    <xf numFmtId="0" fontId="46" fillId="0" borderId="0" xfId="29" applyFont="1"/>
    <xf numFmtId="49" fontId="24" fillId="4" borderId="10" xfId="30" applyNumberFormat="1" applyFont="1" applyFill="1" applyBorder="1" applyAlignment="1">
      <alignment horizontal="center" vertical="center" wrapText="1"/>
    </xf>
    <xf numFmtId="0" fontId="47" fillId="0" borderId="10" xfId="29" applyFont="1" applyFill="1" applyBorder="1" applyAlignment="1">
      <alignment vertical="center" wrapText="1"/>
    </xf>
    <xf numFmtId="4" fontId="29" fillId="4" borderId="10" xfId="29" applyNumberFormat="1" applyFont="1" applyFill="1" applyBorder="1" applyAlignment="1">
      <alignment horizontal="center" vertical="center" wrapText="1"/>
    </xf>
    <xf numFmtId="4" fontId="29" fillId="4" borderId="10" xfId="29" applyNumberFormat="1" applyFont="1" applyFill="1" applyBorder="1" applyAlignment="1">
      <alignment horizontal="center" vertical="center"/>
    </xf>
    <xf numFmtId="0" fontId="29" fillId="4" borderId="10" xfId="29" applyFont="1" applyFill="1" applyBorder="1" applyAlignment="1">
      <alignment horizontal="left" vertical="center" wrapText="1"/>
    </xf>
    <xf numFmtId="49" fontId="29" fillId="4" borderId="10" xfId="29" applyNumberFormat="1" applyFont="1" applyFill="1" applyBorder="1" applyAlignment="1">
      <alignment horizontal="center" vertical="center" wrapText="1"/>
    </xf>
    <xf numFmtId="0" fontId="27" fillId="2" borderId="10" xfId="29" applyFont="1" applyFill="1" applyBorder="1" applyAlignment="1">
      <alignment vertical="center" wrapText="1"/>
    </xf>
    <xf numFmtId="4" fontId="27" fillId="2" borderId="10" xfId="29" applyNumberFormat="1" applyFont="1" applyFill="1" applyBorder="1" applyAlignment="1">
      <alignment horizontal="center" vertical="center" wrapText="1"/>
    </xf>
    <xf numFmtId="3" fontId="47" fillId="0" borderId="10" xfId="29" applyNumberFormat="1" applyFont="1" applyFill="1" applyBorder="1" applyAlignment="1">
      <alignment horizontal="center" vertical="center" wrapText="1"/>
    </xf>
    <xf numFmtId="4" fontId="47" fillId="0" borderId="10" xfId="29" applyNumberFormat="1" applyFont="1" applyFill="1" applyBorder="1" applyAlignment="1">
      <alignment horizontal="center" vertical="center" wrapText="1"/>
    </xf>
    <xf numFmtId="0" fontId="9" fillId="0" borderId="0" xfId="29" applyFill="1"/>
    <xf numFmtId="0" fontId="29" fillId="0" borderId="10" xfId="29" applyFont="1" applyBorder="1" applyAlignment="1">
      <alignment horizontal="right" vertical="top"/>
    </xf>
    <xf numFmtId="4" fontId="29" fillId="0" borderId="10" xfId="29" applyNumberFormat="1" applyFont="1" applyBorder="1" applyAlignment="1">
      <alignment horizontal="center" vertical="center"/>
    </xf>
    <xf numFmtId="0" fontId="29" fillId="0" borderId="10" xfId="29" applyFont="1" applyBorder="1"/>
    <xf numFmtId="0" fontId="29" fillId="0" borderId="10" xfId="29" applyFont="1" applyBorder="1" applyAlignment="1">
      <alignment vertical="center" wrapText="1"/>
    </xf>
    <xf numFmtId="164" fontId="28" fillId="0" borderId="0" xfId="29" applyNumberFormat="1" applyFont="1" applyAlignment="1">
      <alignment horizontal="center" vertical="center"/>
    </xf>
    <xf numFmtId="14" fontId="28" fillId="0" borderId="0" xfId="29" applyNumberFormat="1" applyFont="1" applyFill="1" applyAlignment="1">
      <alignment horizontal="center" vertical="center"/>
    </xf>
    <xf numFmtId="4" fontId="27" fillId="13" borderId="10" xfId="29" applyNumberFormat="1" applyFont="1" applyFill="1" applyBorder="1" applyAlignment="1">
      <alignment horizontal="center" vertical="center" wrapText="1"/>
    </xf>
    <xf numFmtId="49" fontId="27" fillId="12" borderId="10" xfId="30" applyNumberFormat="1" applyFont="1" applyFill="1" applyBorder="1" applyAlignment="1">
      <alignment horizontal="center" vertical="center" wrapText="1"/>
    </xf>
    <xf numFmtId="0" fontId="27" fillId="12" borderId="10" xfId="30" applyFont="1" applyFill="1" applyBorder="1" applyAlignment="1">
      <alignment horizontal="left" vertical="center" wrapText="1"/>
    </xf>
    <xf numFmtId="4" fontId="27" fillId="12" borderId="10" xfId="29" applyNumberFormat="1" applyFont="1" applyFill="1" applyBorder="1" applyAlignment="1">
      <alignment horizontal="center" vertical="center" wrapText="1"/>
    </xf>
    <xf numFmtId="4" fontId="7" fillId="12" borderId="10" xfId="29" applyNumberFormat="1" applyFont="1" applyFill="1" applyBorder="1" applyAlignment="1">
      <alignment horizontal="center" vertical="center"/>
    </xf>
    <xf numFmtId="49" fontId="27" fillId="12" borderId="10" xfId="29" applyNumberFormat="1" applyFont="1" applyFill="1" applyBorder="1" applyAlignment="1">
      <alignment horizontal="center" vertical="center" wrapText="1"/>
    </xf>
    <xf numFmtId="0" fontId="27" fillId="12" borderId="10" xfId="29" applyFont="1" applyFill="1" applyBorder="1" applyAlignment="1">
      <alignment horizontal="left" vertical="center" wrapText="1"/>
    </xf>
    <xf numFmtId="0" fontId="27" fillId="11" borderId="10" xfId="29" applyFont="1" applyFill="1" applyBorder="1" applyAlignment="1">
      <alignment horizontal="center" vertical="center" wrapText="1"/>
    </xf>
    <xf numFmtId="0" fontId="7" fillId="11" borderId="10" xfId="29" applyFont="1" applyFill="1" applyBorder="1" applyAlignment="1">
      <alignment horizontal="center"/>
    </xf>
    <xf numFmtId="4" fontId="27" fillId="11" borderId="10" xfId="29" applyNumberFormat="1" applyFont="1" applyFill="1" applyBorder="1" applyAlignment="1">
      <alignment horizontal="center" vertical="center" wrapText="1"/>
    </xf>
    <xf numFmtId="0" fontId="27" fillId="13" borderId="10" xfId="29" applyFont="1" applyFill="1" applyBorder="1" applyAlignment="1">
      <alignment vertical="center" wrapText="1"/>
    </xf>
    <xf numFmtId="0" fontId="7" fillId="0" borderId="0" xfId="31" applyFont="1" applyAlignment="1"/>
    <xf numFmtId="0" fontId="33" fillId="0" borderId="0" xfId="31"/>
    <xf numFmtId="0" fontId="23" fillId="0" borderId="0" xfId="32"/>
    <xf numFmtId="0" fontId="8" fillId="0" borderId="0" xfId="31" applyFont="1"/>
    <xf numFmtId="4" fontId="7" fillId="0" borderId="0" xfId="31" applyNumberFormat="1" applyFont="1" applyAlignment="1">
      <alignment horizontal="center" vertical="center" wrapText="1"/>
    </xf>
    <xf numFmtId="0" fontId="7" fillId="0" borderId="0" xfId="31" applyFont="1"/>
    <xf numFmtId="0" fontId="28" fillId="0" borderId="0" xfId="31" applyFont="1"/>
    <xf numFmtId="0" fontId="28" fillId="0" borderId="0" xfId="31" applyFont="1" applyFill="1" applyAlignment="1">
      <alignment vertical="center" wrapText="1"/>
    </xf>
    <xf numFmtId="0" fontId="8" fillId="0" borderId="0" xfId="31" applyFont="1" applyAlignment="1">
      <alignment horizontal="center"/>
    </xf>
    <xf numFmtId="49" fontId="8" fillId="0" borderId="0" xfId="31" applyNumberFormat="1" applyFont="1"/>
    <xf numFmtId="0" fontId="24" fillId="0" borderId="0" xfId="32" applyFont="1"/>
    <xf numFmtId="0" fontId="48" fillId="0" borderId="0" xfId="31" applyFont="1" applyBorder="1" applyAlignment="1"/>
    <xf numFmtId="0" fontId="8" fillId="0" borderId="0" xfId="31" applyFont="1" applyAlignment="1">
      <alignment horizontal="center" vertical="center"/>
    </xf>
    <xf numFmtId="0" fontId="23" fillId="0" borderId="0" xfId="32" applyBorder="1"/>
    <xf numFmtId="0" fontId="8" fillId="0" borderId="0" xfId="0" applyFont="1" applyBorder="1"/>
    <xf numFmtId="0" fontId="24" fillId="0" borderId="0" xfId="32" applyFont="1" applyBorder="1"/>
    <xf numFmtId="0" fontId="24" fillId="0" borderId="0" xfId="32" applyFont="1" applyAlignment="1">
      <alignment vertical="center"/>
    </xf>
    <xf numFmtId="0" fontId="24" fillId="0" borderId="0" xfId="32" applyFont="1" applyAlignment="1">
      <alignment horizontal="center" vertical="center"/>
    </xf>
    <xf numFmtId="0" fontId="8" fillId="0" borderId="0" xfId="0" applyFont="1" applyAlignment="1">
      <alignment vertical="top" wrapText="1"/>
    </xf>
    <xf numFmtId="14" fontId="0" fillId="0" borderId="0" xfId="0" applyNumberForma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4" fontId="46" fillId="13" borderId="10" xfId="0" applyNumberFormat="1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 vertical="center"/>
    </xf>
    <xf numFmtId="0" fontId="8" fillId="0" borderId="0" xfId="29" applyFont="1" applyBorder="1" applyAlignment="1">
      <alignment vertical="center" wrapText="1"/>
    </xf>
    <xf numFmtId="0" fontId="7" fillId="0" borderId="0" xfId="29" applyFont="1" applyBorder="1"/>
    <xf numFmtId="4" fontId="7" fillId="0" borderId="0" xfId="29" applyNumberFormat="1" applyFont="1" applyBorder="1" applyAlignment="1">
      <alignment horizontal="right"/>
    </xf>
    <xf numFmtId="0" fontId="24" fillId="0" borderId="0" xfId="32" applyFont="1" applyAlignment="1">
      <alignment horizontal="right" vertical="center"/>
    </xf>
    <xf numFmtId="0" fontId="0" fillId="0" borderId="2" xfId="0" applyBorder="1"/>
    <xf numFmtId="0" fontId="0" fillId="0" borderId="12" xfId="0" applyBorder="1"/>
    <xf numFmtId="4" fontId="0" fillId="0" borderId="0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10" fontId="0" fillId="0" borderId="10" xfId="0" applyNumberFormat="1" applyBorder="1"/>
    <xf numFmtId="14" fontId="0" fillId="6" borderId="10" xfId="0" applyNumberFormat="1" applyFill="1" applyBorder="1"/>
    <xf numFmtId="164" fontId="0" fillId="0" borderId="10" xfId="0" applyNumberFormat="1" applyBorder="1"/>
    <xf numFmtId="2" fontId="0" fillId="0" borderId="10" xfId="0" applyNumberFormat="1" applyBorder="1"/>
    <xf numFmtId="169" fontId="0" fillId="0" borderId="10" xfId="33" applyNumberFormat="1" applyFont="1" applyBorder="1"/>
    <xf numFmtId="168" fontId="0" fillId="0" borderId="10" xfId="0" applyNumberFormat="1" applyBorder="1"/>
    <xf numFmtId="0" fontId="8" fillId="8" borderId="10" xfId="0" applyFont="1" applyFill="1" applyBorder="1" applyAlignment="1">
      <alignment vertical="center"/>
    </xf>
    <xf numFmtId="168" fontId="0" fillId="0" borderId="0" xfId="0" applyNumberFormat="1"/>
    <xf numFmtId="168" fontId="0" fillId="0" borderId="10" xfId="0" applyNumberFormat="1" applyFill="1" applyBorder="1"/>
    <xf numFmtId="0" fontId="24" fillId="0" borderId="0" xfId="32" applyFont="1" applyAlignment="1">
      <alignment horizontal="center" vertical="center"/>
    </xf>
    <xf numFmtId="0" fontId="27" fillId="0" borderId="0" xfId="29" applyFont="1" applyAlignment="1">
      <alignment horizontal="center" vertical="center"/>
    </xf>
    <xf numFmtId="0" fontId="27" fillId="0" borderId="0" xfId="29" applyFont="1" applyAlignment="1">
      <alignment horizontal="center" vertical="center" wrapText="1"/>
    </xf>
    <xf numFmtId="0" fontId="8" fillId="4" borderId="0" xfId="3" applyFont="1" applyFill="1" applyAlignment="1">
      <alignment vertical="center"/>
    </xf>
    <xf numFmtId="0" fontId="25" fillId="4" borderId="0" xfId="3" applyFont="1" applyFill="1" applyAlignment="1">
      <alignment vertical="center"/>
    </xf>
    <xf numFmtId="4" fontId="0" fillId="4" borderId="0" xfId="0" applyNumberFormat="1" applyFill="1"/>
    <xf numFmtId="0" fontId="24" fillId="2" borderId="10" xfId="29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0" xfId="29" applyFont="1" applyBorder="1"/>
    <xf numFmtId="0" fontId="8" fillId="0" borderId="10" xfId="29" applyFont="1" applyFill="1" applyBorder="1"/>
    <xf numFmtId="0" fontId="8" fillId="2" borderId="10" xfId="29" applyFont="1" applyFill="1" applyBorder="1"/>
    <xf numFmtId="0" fontId="8" fillId="11" borderId="10" xfId="29" applyFont="1" applyFill="1" applyBorder="1"/>
    <xf numFmtId="0" fontId="7" fillId="12" borderId="10" xfId="29" applyFont="1" applyFill="1" applyBorder="1"/>
    <xf numFmtId="0" fontId="8" fillId="12" borderId="10" xfId="29" applyFont="1" applyFill="1" applyBorder="1"/>
    <xf numFmtId="4" fontId="47" fillId="0" borderId="0" xfId="29" applyNumberFormat="1" applyFont="1" applyFill="1" applyBorder="1" applyAlignment="1">
      <alignment horizontal="center" vertical="center" wrapText="1"/>
    </xf>
    <xf numFmtId="4" fontId="29" fillId="0" borderId="0" xfId="29" applyNumberFormat="1" applyFont="1" applyBorder="1" applyAlignment="1">
      <alignment horizontal="center" vertical="center"/>
    </xf>
    <xf numFmtId="0" fontId="8" fillId="2" borderId="10" xfId="29" applyFont="1" applyFill="1" applyBorder="1" applyAlignment="1">
      <alignment horizontal="center" vertical="center" wrapText="1"/>
    </xf>
    <xf numFmtId="4" fontId="7" fillId="13" borderId="10" xfId="29" applyNumberFormat="1" applyFont="1" applyFill="1" applyBorder="1" applyAlignment="1">
      <alignment horizontal="center" vertical="center"/>
    </xf>
    <xf numFmtId="0" fontId="8" fillId="2" borderId="10" xfId="29" applyFont="1" applyFill="1" applyBorder="1" applyAlignment="1">
      <alignment horizontal="center" vertical="center"/>
    </xf>
    <xf numFmtId="2" fontId="8" fillId="14" borderId="10" xfId="29" applyNumberFormat="1" applyFont="1" applyFill="1" applyBorder="1"/>
    <xf numFmtId="0" fontId="8" fillId="14" borderId="10" xfId="29" applyFont="1" applyFill="1" applyBorder="1"/>
    <xf numFmtId="2" fontId="7" fillId="12" borderId="10" xfId="29" applyNumberFormat="1" applyFont="1" applyFill="1" applyBorder="1" applyAlignment="1">
      <alignment horizontal="center" vertical="center"/>
    </xf>
    <xf numFmtId="2" fontId="7" fillId="13" borderId="10" xfId="29" applyNumberFormat="1" applyFont="1" applyFill="1" applyBorder="1" applyAlignment="1">
      <alignment horizontal="center" vertical="center"/>
    </xf>
    <xf numFmtId="0" fontId="7" fillId="0" borderId="0" xfId="29" applyFont="1" applyBorder="1" applyAlignment="1">
      <alignment horizontal="center"/>
    </xf>
    <xf numFmtId="0" fontId="7" fillId="0" borderId="0" xfId="29" applyFont="1" applyAlignment="1">
      <alignment horizontal="center" vertical="center" wrapText="1"/>
    </xf>
    <xf numFmtId="0" fontId="8" fillId="0" borderId="0" xfId="29" applyFont="1" applyBorder="1" applyAlignment="1">
      <alignment horizontal="left" vertical="center" wrapText="1"/>
    </xf>
    <xf numFmtId="0" fontId="8" fillId="0" borderId="0" xfId="29" applyFont="1" applyFill="1" applyBorder="1" applyAlignment="1">
      <alignment horizontal="left" vertical="top" wrapText="1"/>
    </xf>
    <xf numFmtId="0" fontId="8" fillId="0" borderId="0" xfId="29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29" applyFont="1" applyBorder="1" applyAlignment="1">
      <alignment horizontal="center" vertical="center" wrapText="1"/>
    </xf>
    <xf numFmtId="49" fontId="8" fillId="0" borderId="0" xfId="29" applyNumberFormat="1" applyFont="1" applyFill="1" applyBorder="1" applyAlignment="1">
      <alignment horizontal="left" vertical="center" wrapText="1"/>
    </xf>
    <xf numFmtId="0" fontId="8" fillId="0" borderId="0" xfId="29" applyFont="1" applyAlignment="1">
      <alignment horizontal="left" vertical="center" wrapText="1"/>
    </xf>
    <xf numFmtId="0" fontId="7" fillId="0" borderId="0" xfId="31" applyFont="1" applyAlignment="1">
      <alignment horizontal="center"/>
    </xf>
    <xf numFmtId="0" fontId="7" fillId="0" borderId="0" xfId="31" applyFont="1" applyAlignment="1">
      <alignment horizontal="left" vertical="center" wrapText="1"/>
    </xf>
    <xf numFmtId="0" fontId="49" fillId="0" borderId="0" xfId="31" applyFont="1" applyFill="1" applyAlignment="1">
      <alignment horizontal="center" vertical="center" wrapText="1"/>
    </xf>
    <xf numFmtId="0" fontId="8" fillId="0" borderId="0" xfId="31" applyFont="1" applyAlignment="1">
      <alignment horizontal="left" vertical="center" wrapText="1"/>
    </xf>
    <xf numFmtId="0" fontId="48" fillId="0" borderId="0" xfId="31" applyFont="1" applyBorder="1" applyAlignment="1">
      <alignment horizontal="center"/>
    </xf>
    <xf numFmtId="0" fontId="7" fillId="0" borderId="0" xfId="31" applyFont="1" applyAlignment="1">
      <alignment horizontal="center" vertical="center" wrapText="1"/>
    </xf>
    <xf numFmtId="0" fontId="24" fillId="0" borderId="0" xfId="32" applyFont="1" applyAlignment="1">
      <alignment horizontal="center" vertical="center"/>
    </xf>
    <xf numFmtId="0" fontId="8" fillId="2" borderId="10" xfId="29" applyFont="1" applyFill="1" applyBorder="1" applyAlignment="1">
      <alignment horizontal="center" vertical="center"/>
    </xf>
    <xf numFmtId="0" fontId="27" fillId="0" borderId="0" xfId="29" applyFont="1" applyAlignment="1">
      <alignment horizontal="center" vertical="center"/>
    </xf>
    <xf numFmtId="0" fontId="27" fillId="0" borderId="0" xfId="29" applyFont="1" applyAlignment="1">
      <alignment horizontal="center" vertical="center" wrapText="1"/>
    </xf>
    <xf numFmtId="0" fontId="24" fillId="2" borderId="10" xfId="29" applyFont="1" applyFill="1" applyBorder="1" applyAlignment="1">
      <alignment horizontal="center" vertical="center" wrapText="1"/>
    </xf>
    <xf numFmtId="0" fontId="24" fillId="2" borderId="3" xfId="29" applyFont="1" applyFill="1" applyBorder="1" applyAlignment="1">
      <alignment horizontal="center" vertical="center" wrapText="1"/>
    </xf>
    <xf numFmtId="0" fontId="24" fillId="2" borderId="7" xfId="29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6" fillId="13" borderId="4" xfId="0" applyFont="1" applyFill="1" applyBorder="1" applyAlignment="1">
      <alignment horizontal="center"/>
    </xf>
    <xf numFmtId="0" fontId="46" fillId="13" borderId="5" xfId="0" applyFont="1" applyFill="1" applyBorder="1" applyAlignment="1">
      <alignment horizontal="center"/>
    </xf>
    <xf numFmtId="0" fontId="46" fillId="13" borderId="6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13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6" fillId="2" borderId="10" xfId="0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8" borderId="10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8" borderId="2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left" vertical="top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35" fillId="0" borderId="0" xfId="12" applyNumberFormat="1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8" fillId="4" borderId="0" xfId="3" applyFont="1" applyFill="1" applyAlignment="1">
      <alignment horizontal="left" vertical="center"/>
    </xf>
    <xf numFmtId="0" fontId="8" fillId="0" borderId="0" xfId="3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2" fillId="6" borderId="3" xfId="0" applyFont="1" applyFill="1" applyBorder="1" applyAlignment="1">
      <alignment horizontal="left" vertical="center" wrapText="1"/>
    </xf>
    <xf numFmtId="166" fontId="34" fillId="7" borderId="9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8" fillId="8" borderId="9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wrapText="1"/>
    </xf>
    <xf numFmtId="0" fontId="7" fillId="0" borderId="0" xfId="3" applyFont="1" applyAlignment="1">
      <alignment horizontal="center" vertical="center"/>
    </xf>
    <xf numFmtId="0" fontId="7" fillId="0" borderId="0" xfId="3" applyFont="1" applyFill="1" applyAlignment="1">
      <alignment horizontal="center"/>
    </xf>
    <xf numFmtId="0" fontId="14" fillId="0" borderId="0" xfId="19" applyFont="1" applyAlignment="1">
      <alignment horizontal="center" vertical="center" wrapText="1"/>
    </xf>
    <xf numFmtId="0" fontId="0" fillId="0" borderId="0" xfId="0" applyAlignment="1"/>
    <xf numFmtId="0" fontId="41" fillId="4" borderId="1" xfId="13" applyFont="1" applyFill="1" applyBorder="1" applyAlignment="1">
      <alignment horizontal="right"/>
    </xf>
    <xf numFmtId="0" fontId="41" fillId="4" borderId="0" xfId="13" applyFont="1" applyFill="1" applyBorder="1" applyAlignment="1">
      <alignment horizontal="right"/>
    </xf>
    <xf numFmtId="0" fontId="0" fillId="0" borderId="0" xfId="0" applyBorder="1" applyAlignment="1"/>
    <xf numFmtId="0" fontId="32" fillId="5" borderId="10" xfId="17" applyFont="1" applyFill="1" applyBorder="1" applyAlignment="1">
      <alignment horizontal="center" vertical="top" wrapText="1"/>
    </xf>
    <xf numFmtId="0" fontId="24" fillId="4" borderId="10" xfId="13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0" fontId="13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left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right" vertical="top" wrapText="1"/>
    </xf>
    <xf numFmtId="0" fontId="19" fillId="0" borderId="6" xfId="0" applyNumberFormat="1" applyFont="1" applyFill="1" applyBorder="1" applyAlignment="1" applyProtection="1">
      <alignment horizontal="right" vertical="top" wrapText="1"/>
    </xf>
    <xf numFmtId="0" fontId="12" fillId="0" borderId="4" xfId="0" applyNumberFormat="1" applyFont="1" applyFill="1" applyBorder="1" applyAlignment="1" applyProtection="1">
      <alignment horizontal="right" vertical="top" wrapText="1"/>
    </xf>
    <xf numFmtId="0" fontId="12" fillId="0" borderId="6" xfId="0" applyNumberFormat="1" applyFont="1" applyFill="1" applyBorder="1" applyAlignment="1" applyProtection="1">
      <alignment horizontal="right" vertical="top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0" fillId="0" borderId="5" xfId="0" applyNumberFormat="1" applyFont="1" applyFill="1" applyBorder="1" applyAlignment="1" applyProtection="1">
      <alignment horizontal="left" vertical="center" wrapText="1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top"/>
    </xf>
  </cellXfs>
  <cellStyles count="34">
    <cellStyle name="S1" xfId="18"/>
    <cellStyle name="Обычный" xfId="0" builtinId="0"/>
    <cellStyle name="Обычный 14" xfId="11"/>
    <cellStyle name="Обычный 14 2" xfId="21"/>
    <cellStyle name="Обычный 14 2 2" xfId="23"/>
    <cellStyle name="Обычный 2" xfId="1"/>
    <cellStyle name="Обычный 2 2" xfId="15"/>
    <cellStyle name="Обычный 2 3" xfId="17"/>
    <cellStyle name="Обычный 3" xfId="2"/>
    <cellStyle name="Обычный 3 2" xfId="6"/>
    <cellStyle name="Обычный 3 2 3" xfId="32"/>
    <cellStyle name="Обычный 3 3" xfId="12"/>
    <cellStyle name="Обычный 3 3 2" xfId="3"/>
    <cellStyle name="Обычный 3 3 4" xfId="31"/>
    <cellStyle name="Обычный 3 4" xfId="16"/>
    <cellStyle name="Обычный 3 5" xfId="25"/>
    <cellStyle name="Обычный 3 6" xfId="5"/>
    <cellStyle name="Обычный 4" xfId="4"/>
    <cellStyle name="Обычный 4 2" xfId="8"/>
    <cellStyle name="Обычный 4 3" xfId="30"/>
    <cellStyle name="Обычный 4 3 2" xfId="29"/>
    <cellStyle name="Обычный 5" xfId="13"/>
    <cellStyle name="Обычный 6" xfId="14"/>
    <cellStyle name="Обычный 7" xfId="19"/>
    <cellStyle name="Обычный 7 2" xfId="22"/>
    <cellStyle name="Обычный 8" xfId="24"/>
    <cellStyle name="Обычный 9" xfId="26"/>
    <cellStyle name="ПИР" xfId="10"/>
    <cellStyle name="ПИР 2" xfId="20"/>
    <cellStyle name="Процентный" xfId="33" builtinId="5"/>
    <cellStyle name="СводВедРес" xfId="27"/>
    <cellStyle name="СводВедРес 2" xfId="28"/>
    <cellStyle name="Титул" xfId="9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a\AppData\Roaming\Microsoft\AddIn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A4" workbookViewId="0">
      <selection sqref="A1:C18"/>
    </sheetView>
  </sheetViews>
  <sheetFormatPr defaultRowHeight="15" x14ac:dyDescent="0.25"/>
  <cols>
    <col min="1" max="1" width="22" style="203" customWidth="1"/>
    <col min="2" max="2" width="51.5703125" style="203" customWidth="1"/>
    <col min="3" max="3" width="28.7109375" style="203" customWidth="1"/>
    <col min="4" max="16384" width="9.140625" style="203"/>
  </cols>
  <sheetData>
    <row r="1" spans="1:3" ht="15.75" x14ac:dyDescent="0.25">
      <c r="A1" s="304" t="s">
        <v>603</v>
      </c>
      <c r="B1" s="304"/>
      <c r="C1" s="304"/>
    </row>
    <row r="2" spans="1:3" ht="15.75" x14ac:dyDescent="0.25">
      <c r="A2" s="304" t="s">
        <v>604</v>
      </c>
      <c r="B2" s="304"/>
      <c r="C2" s="304"/>
    </row>
    <row r="3" spans="1:3" ht="58.5" customHeight="1" x14ac:dyDescent="0.25">
      <c r="A3" s="305" t="str">
        <f>НМЦ!A3</f>
        <v>по объекту «Всесезонный туристско- рекреационный комплекс «Эльбрус», Кабардино-Балкарская Республика. Система искусственного снегообразования» (Этап 1, Этап 2)</v>
      </c>
      <c r="B3" s="305"/>
      <c r="C3" s="305"/>
    </row>
    <row r="4" spans="1:3" ht="132" customHeight="1" x14ac:dyDescent="0.25">
      <c r="A4" s="306" t="s">
        <v>605</v>
      </c>
      <c r="B4" s="306"/>
      <c r="C4" s="306"/>
    </row>
    <row r="5" spans="1:3" ht="30" customHeight="1" x14ac:dyDescent="0.25">
      <c r="A5" s="307" t="s">
        <v>606</v>
      </c>
      <c r="B5" s="307"/>
      <c r="C5" s="307"/>
    </row>
    <row r="6" spans="1:3" ht="79.5" customHeight="1" x14ac:dyDescent="0.25">
      <c r="A6" s="306" t="s">
        <v>607</v>
      </c>
      <c r="B6" s="306"/>
      <c r="C6" s="306"/>
    </row>
    <row r="7" spans="1:3" ht="15.75" x14ac:dyDescent="0.25">
      <c r="A7" s="310" t="s">
        <v>608</v>
      </c>
      <c r="B7" s="310"/>
      <c r="C7" s="310"/>
    </row>
    <row r="8" spans="1:3" ht="57" customHeight="1" x14ac:dyDescent="0.25">
      <c r="A8" s="307" t="s">
        <v>614</v>
      </c>
      <c r="B8" s="307"/>
      <c r="C8" s="307"/>
    </row>
    <row r="9" spans="1:3" ht="91.5" customHeight="1" x14ac:dyDescent="0.25">
      <c r="A9" s="311" t="s">
        <v>615</v>
      </c>
      <c r="B9" s="311"/>
      <c r="C9" s="311"/>
    </row>
    <row r="10" spans="1:3" ht="93.75" customHeight="1" x14ac:dyDescent="0.25">
      <c r="A10" s="308" t="s">
        <v>609</v>
      </c>
      <c r="B10" s="308"/>
      <c r="C10" s="308"/>
    </row>
    <row r="11" spans="1:3" ht="78" customHeight="1" x14ac:dyDescent="0.25">
      <c r="A11" s="312" t="s">
        <v>610</v>
      </c>
      <c r="B11" s="312"/>
      <c r="C11" s="312"/>
    </row>
    <row r="12" spans="1:3" ht="15.75" x14ac:dyDescent="0.25">
      <c r="A12" s="306" t="s">
        <v>611</v>
      </c>
      <c r="B12" s="306"/>
      <c r="C12" s="306"/>
    </row>
    <row r="13" spans="1:3" ht="15.75" x14ac:dyDescent="0.25">
      <c r="A13" s="261"/>
      <c r="B13" s="261"/>
      <c r="C13" s="261"/>
    </row>
    <row r="14" spans="1:3" ht="15.75" x14ac:dyDescent="0.25">
      <c r="A14" s="262" t="s">
        <v>612</v>
      </c>
      <c r="B14" s="263"/>
      <c r="C14" s="262"/>
    </row>
    <row r="15" spans="1:3" ht="15.75" x14ac:dyDescent="0.25">
      <c r="A15" s="308"/>
      <c r="B15" s="308"/>
      <c r="C15" s="308"/>
    </row>
    <row r="16" spans="1:3" ht="15.75" x14ac:dyDescent="0.25">
      <c r="A16" s="262"/>
      <c r="B16" s="263">
        <f>НМЦ!E42</f>
        <v>1259440971.96</v>
      </c>
      <c r="C16" s="262" t="s">
        <v>613</v>
      </c>
    </row>
    <row r="17" spans="1:10" ht="15.75" x14ac:dyDescent="0.25">
      <c r="A17" s="202"/>
      <c r="B17" s="202"/>
      <c r="C17" s="202"/>
    </row>
    <row r="18" spans="1:10" ht="50.25" customHeight="1" x14ac:dyDescent="0.25">
      <c r="A18" s="309" t="s">
        <v>590</v>
      </c>
      <c r="B18" s="309"/>
      <c r="C18" s="264" t="s">
        <v>542</v>
      </c>
      <c r="D18" s="254"/>
      <c r="E18" s="254"/>
      <c r="F18" s="256"/>
      <c r="G18" s="256"/>
      <c r="H18" s="251"/>
      <c r="I18" s="252"/>
      <c r="J18" s="253"/>
    </row>
  </sheetData>
  <mergeCells count="14">
    <mergeCell ref="A12:C12"/>
    <mergeCell ref="A15:C15"/>
    <mergeCell ref="A18:B18"/>
    <mergeCell ref="A6:C6"/>
    <mergeCell ref="A7:C7"/>
    <mergeCell ref="A8:C8"/>
    <mergeCell ref="A9:C9"/>
    <mergeCell ref="A10:C10"/>
    <mergeCell ref="A11:C11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8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>
      <selection sqref="A1:M32"/>
    </sheetView>
  </sheetViews>
  <sheetFormatPr defaultRowHeight="15" x14ac:dyDescent="0.25"/>
  <cols>
    <col min="1" max="1" width="4.140625" style="240" customWidth="1"/>
    <col min="2" max="6" width="9.140625" style="240"/>
    <col min="7" max="7" width="22.5703125" style="240" customWidth="1"/>
    <col min="8" max="16384" width="9.140625" style="240"/>
  </cols>
  <sheetData>
    <row r="1" spans="1:16" ht="15.75" x14ac:dyDescent="0.25">
      <c r="A1" s="313" t="s">
        <v>547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238"/>
      <c r="O1" s="238"/>
      <c r="P1" s="239"/>
    </row>
    <row r="2" spans="1:16" ht="15.75" x14ac:dyDescent="0.25">
      <c r="A2" s="313" t="s">
        <v>548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238"/>
      <c r="O2" s="238"/>
      <c r="P2" s="239"/>
    </row>
    <row r="3" spans="1:16" ht="15.75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39"/>
    </row>
    <row r="4" spans="1:16" ht="45.75" customHeight="1" x14ac:dyDescent="0.25">
      <c r="A4" s="318" t="str">
        <f>НМЦ!A3</f>
        <v>по объекту «Всесезонный туристско- рекреационный комплекс «Эльбрус», Кабардино-Балкарская Республика. Система искусственного снегообразования» (Этап 1, Этап 2)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241"/>
      <c r="O4" s="241"/>
      <c r="P4" s="239"/>
    </row>
    <row r="5" spans="1:16" ht="15.75" x14ac:dyDescent="0.2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39"/>
    </row>
    <row r="6" spans="1:16" ht="15.75" x14ac:dyDescent="0.25">
      <c r="A6" s="314" t="s">
        <v>549</v>
      </c>
      <c r="B6" s="314"/>
      <c r="C6" s="314"/>
      <c r="D6" s="314"/>
      <c r="E6" s="314"/>
      <c r="F6" s="314"/>
      <c r="G6" s="242">
        <f>НМЦ!E42</f>
        <v>1259440971.96</v>
      </c>
      <c r="H6" s="243" t="s">
        <v>550</v>
      </c>
      <c r="I6" s="243"/>
      <c r="J6" s="243"/>
      <c r="K6" s="243"/>
      <c r="L6" s="244"/>
      <c r="M6" s="244"/>
      <c r="N6" s="244"/>
      <c r="O6" s="244"/>
      <c r="P6" s="239"/>
    </row>
    <row r="7" spans="1:16" ht="39.75" customHeight="1" x14ac:dyDescent="0.25">
      <c r="A7" s="315" t="str">
        <f>[1]!СуммаПрописью(G6)</f>
        <v>Один миллиард двести пятьдесят девять миллионов четыреста сорок тысяч девятьсот семьдесят один рубль 96 копеек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245"/>
      <c r="O7" s="245"/>
      <c r="P7" s="239"/>
    </row>
    <row r="8" spans="1:16" ht="15.75" x14ac:dyDescent="0.25">
      <c r="A8" s="241" t="s">
        <v>551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39"/>
    </row>
    <row r="9" spans="1:16" ht="15.75" x14ac:dyDescent="0.25">
      <c r="A9" s="246" t="s">
        <v>552</v>
      </c>
      <c r="B9" s="241" t="s">
        <v>174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39"/>
    </row>
    <row r="10" spans="1:16" ht="15.75" x14ac:dyDescent="0.25">
      <c r="A10" s="246" t="s">
        <v>553</v>
      </c>
      <c r="B10" s="241" t="s">
        <v>554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39"/>
    </row>
    <row r="11" spans="1:16" ht="15.75" x14ac:dyDescent="0.25">
      <c r="A11" s="246" t="s">
        <v>555</v>
      </c>
      <c r="B11" s="241" t="s">
        <v>556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39"/>
    </row>
    <row r="12" spans="1:16" ht="15.75" x14ac:dyDescent="0.25">
      <c r="A12" s="246" t="s">
        <v>557</v>
      </c>
      <c r="B12" s="241" t="s">
        <v>558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39"/>
    </row>
    <row r="13" spans="1:16" ht="15.75" x14ac:dyDescent="0.25">
      <c r="A13" s="246" t="s">
        <v>559</v>
      </c>
      <c r="B13" s="241" t="s">
        <v>560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39"/>
    </row>
    <row r="14" spans="1:16" ht="15.75" x14ac:dyDescent="0.25">
      <c r="A14" s="246" t="s">
        <v>561</v>
      </c>
      <c r="B14" s="241" t="s">
        <v>562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39"/>
    </row>
    <row r="15" spans="1:16" ht="15.75" x14ac:dyDescent="0.25">
      <c r="A15" s="246" t="s">
        <v>563</v>
      </c>
      <c r="B15" s="241" t="s">
        <v>564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39"/>
    </row>
    <row r="16" spans="1:16" ht="15.75" x14ac:dyDescent="0.25">
      <c r="A16" s="246" t="s">
        <v>565</v>
      </c>
      <c r="B16" s="241" t="s">
        <v>566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39"/>
    </row>
    <row r="17" spans="1:16" ht="35.25" customHeight="1" x14ac:dyDescent="0.25">
      <c r="A17" s="250" t="s">
        <v>567</v>
      </c>
      <c r="B17" s="316" t="s">
        <v>568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241"/>
      <c r="O17" s="241"/>
      <c r="P17" s="239"/>
    </row>
    <row r="18" spans="1:16" ht="18" customHeight="1" x14ac:dyDescent="0.25">
      <c r="A18" s="250" t="s">
        <v>583</v>
      </c>
      <c r="B18" s="316" t="s">
        <v>584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241"/>
      <c r="O18" s="241"/>
      <c r="P18" s="239"/>
    </row>
    <row r="19" spans="1:16" ht="15.75" x14ac:dyDescent="0.25">
      <c r="A19" s="246" t="s">
        <v>569</v>
      </c>
      <c r="B19" s="241" t="s">
        <v>570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39"/>
    </row>
    <row r="20" spans="1:16" ht="15.75" x14ac:dyDescent="0.25">
      <c r="A20" s="246" t="s">
        <v>571</v>
      </c>
      <c r="B20" s="241" t="s">
        <v>572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39"/>
    </row>
    <row r="21" spans="1:16" ht="15.75" x14ac:dyDescent="0.25">
      <c r="A21" s="246" t="s">
        <v>573</v>
      </c>
      <c r="B21" s="241" t="s">
        <v>29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39"/>
    </row>
    <row r="22" spans="1:16" ht="15.75" x14ac:dyDescent="0.25">
      <c r="A22" s="246" t="s">
        <v>575</v>
      </c>
      <c r="B22" s="241" t="s">
        <v>585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39"/>
    </row>
    <row r="23" spans="1:16" ht="15.75" x14ac:dyDescent="0.25">
      <c r="A23" s="246" t="s">
        <v>577</v>
      </c>
      <c r="B23" s="241" t="s">
        <v>586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39"/>
    </row>
    <row r="24" spans="1:16" ht="15.75" x14ac:dyDescent="0.25">
      <c r="A24" s="246" t="s">
        <v>579</v>
      </c>
      <c r="B24" s="241" t="s">
        <v>574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39"/>
    </row>
    <row r="25" spans="1:16" ht="33" customHeight="1" x14ac:dyDescent="0.25">
      <c r="A25" s="250" t="s">
        <v>587</v>
      </c>
      <c r="B25" s="316" t="s">
        <v>576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241"/>
      <c r="O25" s="241"/>
      <c r="P25" s="239"/>
    </row>
    <row r="26" spans="1:16" ht="36" customHeight="1" x14ac:dyDescent="0.25">
      <c r="A26" s="250" t="s">
        <v>588</v>
      </c>
      <c r="B26" s="316" t="s">
        <v>578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241"/>
      <c r="O26" s="241"/>
      <c r="P26" s="239"/>
    </row>
    <row r="27" spans="1:16" ht="15.75" x14ac:dyDescent="0.25">
      <c r="A27" s="246" t="s">
        <v>589</v>
      </c>
      <c r="B27" s="241" t="s">
        <v>580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39"/>
    </row>
    <row r="28" spans="1:16" ht="15.75" x14ac:dyDescent="0.25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39"/>
    </row>
    <row r="29" spans="1:16" ht="15.75" x14ac:dyDescent="0.25">
      <c r="A29" s="247" t="s">
        <v>581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1"/>
      <c r="M29" s="241"/>
      <c r="N29" s="241"/>
      <c r="O29" s="241"/>
      <c r="P29" s="239"/>
    </row>
    <row r="30" spans="1:16" ht="15.75" x14ac:dyDescent="0.25">
      <c r="A30" s="247" t="s">
        <v>582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1"/>
      <c r="M30" s="241"/>
      <c r="N30" s="241"/>
      <c r="O30" s="241"/>
      <c r="P30" s="239"/>
    </row>
    <row r="31" spans="1:16" ht="15.75" x14ac:dyDescent="0.25">
      <c r="A31" s="247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1"/>
      <c r="M31" s="241"/>
      <c r="N31" s="241"/>
      <c r="O31" s="241"/>
      <c r="P31" s="239"/>
    </row>
    <row r="32" spans="1:16" ht="59.25" customHeight="1" x14ac:dyDescent="0.25">
      <c r="A32" s="309" t="s">
        <v>590</v>
      </c>
      <c r="B32" s="309"/>
      <c r="C32" s="309"/>
      <c r="D32" s="309"/>
      <c r="E32" s="309"/>
      <c r="F32" s="309"/>
      <c r="G32" s="309"/>
      <c r="H32" s="251"/>
      <c r="I32" s="252"/>
      <c r="J32" s="253"/>
      <c r="K32" s="319" t="s">
        <v>542</v>
      </c>
      <c r="L32" s="319"/>
      <c r="M32" s="319"/>
      <c r="N32" s="248"/>
      <c r="O32" s="248"/>
      <c r="P32" s="239"/>
    </row>
    <row r="33" spans="1:16" ht="15.75" x14ac:dyDescent="0.25">
      <c r="A33" s="241"/>
      <c r="B33" s="241"/>
      <c r="C33" s="241"/>
      <c r="D33" s="241"/>
      <c r="E33" s="241"/>
      <c r="F33" s="248"/>
      <c r="G33" s="317"/>
      <c r="H33" s="317"/>
      <c r="I33" s="317"/>
      <c r="J33" s="317"/>
      <c r="K33" s="249"/>
      <c r="L33" s="241"/>
      <c r="M33" s="248"/>
      <c r="N33" s="248"/>
      <c r="O33" s="248"/>
      <c r="P33" s="239"/>
    </row>
    <row r="34" spans="1:16" ht="15.75" x14ac:dyDescent="0.2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L34" s="248"/>
      <c r="M34" s="248"/>
      <c r="N34" s="248"/>
      <c r="O34" s="248"/>
    </row>
    <row r="35" spans="1:16" ht="15.75" x14ac:dyDescent="0.25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</sheetData>
  <mergeCells count="12">
    <mergeCell ref="B25:M25"/>
    <mergeCell ref="B26:M26"/>
    <mergeCell ref="G33:J33"/>
    <mergeCell ref="A4:M4"/>
    <mergeCell ref="B18:M18"/>
    <mergeCell ref="A32:G32"/>
    <mergeCell ref="K32:M32"/>
    <mergeCell ref="A1:M1"/>
    <mergeCell ref="A2:M2"/>
    <mergeCell ref="A6:F6"/>
    <mergeCell ref="A7:M7"/>
    <mergeCell ref="B17:M17"/>
  </mergeCells>
  <pageMargins left="0.7" right="0.7" top="0.75" bottom="0.75" header="0.3" footer="0.3"/>
  <pageSetup paperSize="9" scale="7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B61" sqref="B61"/>
    </sheetView>
  </sheetViews>
  <sheetFormatPr defaultRowHeight="15" outlineLevelRow="1" x14ac:dyDescent="0.25"/>
  <cols>
    <col min="1" max="1" width="9.140625" style="203"/>
    <col min="2" max="2" width="39.140625" style="203" customWidth="1"/>
    <col min="3" max="3" width="17.5703125" style="203" customWidth="1"/>
    <col min="4" max="4" width="17.42578125" style="203" customWidth="1"/>
    <col min="5" max="5" width="22.28515625" style="203" customWidth="1"/>
    <col min="6" max="6" width="17.7109375" style="203" customWidth="1"/>
    <col min="7" max="7" width="21.5703125" style="203" customWidth="1"/>
    <col min="8" max="8" width="18.7109375" style="203" bestFit="1" customWidth="1"/>
    <col min="9" max="9" width="15.28515625" style="203" customWidth="1"/>
    <col min="10" max="10" width="11.5703125" style="203" customWidth="1"/>
    <col min="11" max="16384" width="9.140625" style="203"/>
  </cols>
  <sheetData>
    <row r="1" spans="1:10" ht="15.75" x14ac:dyDescent="0.25">
      <c r="A1" s="321" t="s">
        <v>524</v>
      </c>
      <c r="B1" s="321"/>
      <c r="C1" s="321"/>
      <c r="D1" s="321"/>
      <c r="E1" s="321"/>
      <c r="F1" s="282"/>
      <c r="G1" s="202"/>
      <c r="H1" s="202"/>
    </row>
    <row r="2" spans="1:10" ht="15.75" x14ac:dyDescent="0.25">
      <c r="A2" s="322" t="s">
        <v>525</v>
      </c>
      <c r="B2" s="322"/>
      <c r="C2" s="322"/>
      <c r="D2" s="322"/>
      <c r="E2" s="322"/>
      <c r="F2" s="283"/>
      <c r="G2" s="202"/>
      <c r="H2" s="202"/>
    </row>
    <row r="3" spans="1:10" ht="51.75" customHeight="1" x14ac:dyDescent="0.25">
      <c r="A3" s="322" t="s">
        <v>543</v>
      </c>
      <c r="B3" s="322"/>
      <c r="C3" s="322"/>
      <c r="D3" s="322"/>
      <c r="E3" s="322"/>
      <c r="F3" s="283"/>
      <c r="G3" s="202"/>
      <c r="H3" s="202"/>
    </row>
    <row r="4" spans="1:10" ht="15.75" x14ac:dyDescent="0.25">
      <c r="A4" s="204"/>
      <c r="B4" s="204"/>
      <c r="C4" s="204"/>
      <c r="D4" s="204"/>
      <c r="E4" s="204"/>
      <c r="F4" s="283"/>
      <c r="G4" s="202"/>
      <c r="H4" s="202"/>
    </row>
    <row r="5" spans="1:10" ht="15.75" x14ac:dyDescent="0.25">
      <c r="A5" s="205" t="s">
        <v>526</v>
      </c>
      <c r="B5" s="205"/>
      <c r="C5" s="225">
        <f>ROUNDUP((C7-C6)/30.5,1)</f>
        <v>16.2</v>
      </c>
      <c r="D5" s="206"/>
      <c r="E5" s="202"/>
      <c r="F5" s="202"/>
      <c r="G5" s="202"/>
      <c r="H5" s="202"/>
    </row>
    <row r="6" spans="1:10" ht="15.75" x14ac:dyDescent="0.25">
      <c r="A6" s="205" t="s">
        <v>527</v>
      </c>
      <c r="B6" s="205"/>
      <c r="C6" s="226">
        <f>НМЦК!F140</f>
        <v>45078</v>
      </c>
      <c r="D6" s="206"/>
      <c r="E6" s="202"/>
      <c r="F6" s="202"/>
      <c r="G6" s="202"/>
      <c r="H6" s="202"/>
    </row>
    <row r="7" spans="1:10" ht="15.75" x14ac:dyDescent="0.25">
      <c r="A7" s="205" t="s">
        <v>528</v>
      </c>
      <c r="B7" s="205"/>
      <c r="C7" s="226">
        <f>НМЦК!F179</f>
        <v>45572</v>
      </c>
      <c r="D7" s="206"/>
      <c r="E7" s="202"/>
      <c r="F7" s="202"/>
      <c r="G7" s="202"/>
      <c r="H7" s="202"/>
    </row>
    <row r="8" spans="1:10" ht="15.75" x14ac:dyDescent="0.25">
      <c r="A8" s="205"/>
      <c r="B8" s="207"/>
      <c r="C8" s="207"/>
      <c r="D8" s="202"/>
      <c r="E8" s="202"/>
      <c r="F8" s="202"/>
      <c r="G8" s="202"/>
      <c r="H8" s="202"/>
    </row>
    <row r="9" spans="1:10" ht="15.75" x14ac:dyDescent="0.25">
      <c r="A9" s="323" t="s">
        <v>529</v>
      </c>
      <c r="B9" s="324" t="s">
        <v>530</v>
      </c>
      <c r="C9" s="323" t="s">
        <v>531</v>
      </c>
      <c r="D9" s="323"/>
      <c r="E9" s="323"/>
      <c r="F9" s="320" t="s">
        <v>626</v>
      </c>
      <c r="G9" s="320"/>
      <c r="H9" s="320"/>
      <c r="I9" s="320"/>
      <c r="J9" s="320"/>
    </row>
    <row r="10" spans="1:10" ht="47.25" x14ac:dyDescent="0.25">
      <c r="A10" s="323"/>
      <c r="B10" s="325"/>
      <c r="C10" s="287" t="s">
        <v>532</v>
      </c>
      <c r="D10" s="287" t="s">
        <v>533</v>
      </c>
      <c r="E10" s="287" t="s">
        <v>534</v>
      </c>
      <c r="F10" s="287" t="s">
        <v>255</v>
      </c>
      <c r="G10" s="297" t="s">
        <v>627</v>
      </c>
      <c r="H10" s="208" t="s">
        <v>628</v>
      </c>
      <c r="I10" s="208" t="s">
        <v>629</v>
      </c>
      <c r="J10" s="208" t="s">
        <v>630</v>
      </c>
    </row>
    <row r="11" spans="1:10" ht="15.75" x14ac:dyDescent="0.25">
      <c r="A11" s="287">
        <v>1</v>
      </c>
      <c r="B11" s="287">
        <v>2</v>
      </c>
      <c r="C11" s="287">
        <v>3</v>
      </c>
      <c r="D11" s="208">
        <v>4</v>
      </c>
      <c r="E11" s="208">
        <v>5</v>
      </c>
      <c r="F11" s="208">
        <v>6</v>
      </c>
      <c r="G11" s="299">
        <v>7</v>
      </c>
      <c r="H11" s="291"/>
      <c r="I11" s="291"/>
      <c r="J11" s="291"/>
    </row>
    <row r="12" spans="1:10" ht="15.75" x14ac:dyDescent="0.25">
      <c r="A12" s="234"/>
      <c r="B12" s="234" t="s">
        <v>303</v>
      </c>
      <c r="C12" s="236"/>
      <c r="D12" s="236"/>
      <c r="E12" s="236"/>
      <c r="F12" s="236"/>
      <c r="G12" s="292"/>
      <c r="H12" s="292"/>
      <c r="I12" s="292"/>
      <c r="J12" s="292"/>
    </row>
    <row r="13" spans="1:10" s="209" customFormat="1" ht="15.75" x14ac:dyDescent="0.25">
      <c r="A13" s="228" t="s">
        <v>535</v>
      </c>
      <c r="B13" s="229" t="s">
        <v>536</v>
      </c>
      <c r="C13" s="230">
        <f>'Смета контракта'!G8</f>
        <v>26747484.52</v>
      </c>
      <c r="D13" s="231">
        <f>C13*0.2</f>
        <v>5349496.9000000004</v>
      </c>
      <c r="E13" s="231">
        <f>C13+D13</f>
        <v>32096981.420000002</v>
      </c>
      <c r="F13" s="231"/>
      <c r="G13" s="293"/>
      <c r="H13" s="293"/>
      <c r="I13" s="293"/>
      <c r="J13" s="293"/>
    </row>
    <row r="14" spans="1:10" ht="15.75" hidden="1" outlineLevel="1" x14ac:dyDescent="0.25">
      <c r="A14" s="210"/>
      <c r="B14" s="211" t="s">
        <v>537</v>
      </c>
      <c r="C14" s="212"/>
      <c r="D14" s="213"/>
      <c r="E14" s="213"/>
      <c r="F14" s="213"/>
      <c r="G14" s="294"/>
      <c r="H14" s="294"/>
      <c r="I14" s="294"/>
      <c r="J14" s="294"/>
    </row>
    <row r="15" spans="1:10" ht="15.75" hidden="1" outlineLevel="1" x14ac:dyDescent="0.25">
      <c r="A15" s="210"/>
      <c r="B15" s="214" t="s">
        <v>196</v>
      </c>
      <c r="C15" s="212">
        <f>'Смета контракта'!G10</f>
        <v>779052.95</v>
      </c>
      <c r="D15" s="213">
        <f>C15*0.2</f>
        <v>155810.59</v>
      </c>
      <c r="E15" s="213">
        <f>C15+D15</f>
        <v>934863.54</v>
      </c>
      <c r="F15" s="213"/>
      <c r="G15" s="294"/>
      <c r="H15" s="294"/>
      <c r="I15" s="294"/>
      <c r="J15" s="294"/>
    </row>
    <row r="16" spans="1:10" ht="15.75" hidden="1" outlineLevel="1" x14ac:dyDescent="0.25">
      <c r="A16" s="210"/>
      <c r="B16" s="214" t="s">
        <v>538</v>
      </c>
      <c r="C16" s="212">
        <f>НМЦК!M18-НМЦК!I18</f>
        <v>1170522.51</v>
      </c>
      <c r="D16" s="213">
        <f>C16*0.2</f>
        <v>234104.5</v>
      </c>
      <c r="E16" s="213">
        <f>C16+D16</f>
        <v>1404627.01</v>
      </c>
      <c r="F16" s="213"/>
      <c r="G16" s="294"/>
      <c r="H16" s="294"/>
      <c r="I16" s="294"/>
      <c r="J16" s="294"/>
    </row>
    <row r="17" spans="1:10" s="209" customFormat="1" ht="47.25" collapsed="1" x14ac:dyDescent="0.25">
      <c r="A17" s="232" t="s">
        <v>459</v>
      </c>
      <c r="B17" s="233" t="s">
        <v>539</v>
      </c>
      <c r="C17" s="230">
        <f>'Смета контракта'!G11</f>
        <v>611940082.69000006</v>
      </c>
      <c r="D17" s="231">
        <f>C17*0.2</f>
        <v>122388016.54000001</v>
      </c>
      <c r="E17" s="231">
        <f>C17+D17</f>
        <v>734328099.23000002</v>
      </c>
      <c r="F17" s="231">
        <f>'Смета контракта'!H11*1.2</f>
        <v>532632833.22000003</v>
      </c>
      <c r="G17" s="231">
        <f>'Смета контракта'!H27*1.2</f>
        <v>452638389.25999999</v>
      </c>
      <c r="H17" s="231">
        <v>447271135.68000001</v>
      </c>
      <c r="I17" s="231">
        <v>4763196.0599999996</v>
      </c>
      <c r="J17" s="302">
        <f>H17/I17</f>
        <v>93.9</v>
      </c>
    </row>
    <row r="18" spans="1:10" ht="15.75" hidden="1" outlineLevel="1" x14ac:dyDescent="0.25">
      <c r="A18" s="215"/>
      <c r="B18" s="211" t="s">
        <v>537</v>
      </c>
      <c r="C18" s="212"/>
      <c r="D18" s="213"/>
      <c r="E18" s="213"/>
      <c r="F18" s="213"/>
      <c r="G18" s="289"/>
      <c r="H18" s="289"/>
      <c r="I18" s="289"/>
      <c r="J18" s="289"/>
    </row>
    <row r="19" spans="1:10" ht="15.75" hidden="1" outlineLevel="1" x14ac:dyDescent="0.25">
      <c r="A19" s="215"/>
      <c r="B19" s="214" t="s">
        <v>253</v>
      </c>
      <c r="C19" s="212">
        <f>'Смета контракта'!H11</f>
        <v>443860694.35000002</v>
      </c>
      <c r="D19" s="213">
        <f>C19*0.2</f>
        <v>88772138.870000005</v>
      </c>
      <c r="E19" s="213">
        <f>C19+D19</f>
        <v>532632833.22000003</v>
      </c>
      <c r="F19" s="213"/>
      <c r="G19" s="289"/>
      <c r="H19" s="289"/>
      <c r="I19" s="289"/>
      <c r="J19" s="289"/>
    </row>
    <row r="20" spans="1:10" ht="15.75" hidden="1" outlineLevel="1" x14ac:dyDescent="0.25">
      <c r="A20" s="215"/>
      <c r="B20" s="214" t="s">
        <v>196</v>
      </c>
      <c r="C20" s="212">
        <f>'Смета контракта'!G56</f>
        <v>17823497.550000001</v>
      </c>
      <c r="D20" s="213">
        <f>C20*0.2</f>
        <v>3564699.51</v>
      </c>
      <c r="E20" s="213">
        <f>C20+D20</f>
        <v>21388197.059999999</v>
      </c>
      <c r="F20" s="213"/>
      <c r="G20" s="289"/>
      <c r="H20" s="289"/>
      <c r="I20" s="289"/>
      <c r="J20" s="289"/>
    </row>
    <row r="21" spans="1:10" ht="15.75" hidden="1" outlineLevel="1" x14ac:dyDescent="0.25">
      <c r="A21" s="215"/>
      <c r="B21" s="214" t="s">
        <v>538</v>
      </c>
      <c r="C21" s="212">
        <f>НМЦК!M21-НМЦК!I21</f>
        <v>15951032.23</v>
      </c>
      <c r="D21" s="213">
        <f>C21*0.2</f>
        <v>3190206.45</v>
      </c>
      <c r="E21" s="213">
        <f>C21+D21</f>
        <v>19141238.68</v>
      </c>
      <c r="F21" s="213"/>
      <c r="G21" s="289"/>
      <c r="H21" s="289"/>
      <c r="I21" s="289"/>
      <c r="J21" s="289"/>
    </row>
    <row r="22" spans="1:10" ht="15.75" collapsed="1" x14ac:dyDescent="0.25">
      <c r="A22" s="216"/>
      <c r="B22" s="216" t="s">
        <v>544</v>
      </c>
      <c r="C22" s="217">
        <f>C13+C17</f>
        <v>638687567.21000004</v>
      </c>
      <c r="D22" s="217">
        <f>D13+D17</f>
        <v>127737513.44</v>
      </c>
      <c r="E22" s="217">
        <f>E13+E17</f>
        <v>766425080.64999998</v>
      </c>
      <c r="F22" s="217"/>
      <c r="G22" s="291"/>
      <c r="H22" s="300"/>
      <c r="I22" s="301"/>
      <c r="J22" s="301"/>
    </row>
    <row r="23" spans="1:10" s="220" customFormat="1" ht="15.75" hidden="1" outlineLevel="1" x14ac:dyDescent="0.25">
      <c r="A23" s="211"/>
      <c r="B23" s="211" t="s">
        <v>537</v>
      </c>
      <c r="C23" s="218"/>
      <c r="D23" s="219"/>
      <c r="E23" s="219"/>
      <c r="F23" s="219"/>
      <c r="G23" s="290"/>
      <c r="H23" s="290"/>
      <c r="I23" s="290"/>
      <c r="J23" s="290"/>
    </row>
    <row r="24" spans="1:10" ht="15.75" hidden="1" outlineLevel="1" x14ac:dyDescent="0.25">
      <c r="A24" s="221"/>
      <c r="B24" s="214" t="s">
        <v>540</v>
      </c>
      <c r="C24" s="212">
        <f>C19</f>
        <v>443860694.35000002</v>
      </c>
      <c r="D24" s="222">
        <f>C24*20%</f>
        <v>88772138.870000005</v>
      </c>
      <c r="E24" s="222">
        <f t="shared" ref="E24" si="0">C24+D24</f>
        <v>532632833.22000003</v>
      </c>
      <c r="F24" s="222"/>
      <c r="G24" s="289"/>
      <c r="H24" s="289"/>
      <c r="I24" s="289"/>
      <c r="J24" s="289"/>
    </row>
    <row r="25" spans="1:10" ht="15.75" hidden="1" outlineLevel="1" x14ac:dyDescent="0.25">
      <c r="A25" s="223"/>
      <c r="B25" s="223" t="s">
        <v>541</v>
      </c>
      <c r="C25" s="212">
        <f>C15+C20</f>
        <v>18602550.5</v>
      </c>
      <c r="D25" s="222">
        <f>C25*0.2</f>
        <v>3720510.1</v>
      </c>
      <c r="E25" s="222">
        <f>C25+D25</f>
        <v>22323060.600000001</v>
      </c>
      <c r="F25" s="222"/>
      <c r="G25" s="289"/>
      <c r="H25" s="289"/>
      <c r="I25" s="289"/>
      <c r="J25" s="289"/>
    </row>
    <row r="26" spans="1:10" ht="15.75" hidden="1" outlineLevel="1" x14ac:dyDescent="0.25">
      <c r="A26" s="224"/>
      <c r="B26" s="214" t="s">
        <v>538</v>
      </c>
      <c r="C26" s="212">
        <f>C16+C21</f>
        <v>17121554.739999998</v>
      </c>
      <c r="D26" s="222">
        <f>C26*0.2</f>
        <v>3424310.95</v>
      </c>
      <c r="E26" s="222">
        <f>C26+D26</f>
        <v>20545865.690000001</v>
      </c>
      <c r="F26" s="222"/>
      <c r="G26" s="289"/>
      <c r="H26" s="289"/>
      <c r="I26" s="289"/>
      <c r="J26" s="289"/>
    </row>
    <row r="27" spans="1:10" ht="15.75" collapsed="1" x14ac:dyDescent="0.25">
      <c r="A27" s="234"/>
      <c r="B27" s="234" t="s">
        <v>304</v>
      </c>
      <c r="C27" s="234"/>
      <c r="D27" s="235"/>
      <c r="E27" s="235"/>
      <c r="F27" s="235"/>
      <c r="G27" s="292"/>
      <c r="H27" s="292"/>
      <c r="I27" s="292"/>
      <c r="J27" s="292"/>
    </row>
    <row r="28" spans="1:10" ht="15.75" x14ac:dyDescent="0.25">
      <c r="A28" s="228" t="s">
        <v>535</v>
      </c>
      <c r="B28" s="229" t="s">
        <v>536</v>
      </c>
      <c r="C28" s="230">
        <f>'Смета контракта'!G61</f>
        <v>10173350.82</v>
      </c>
      <c r="D28" s="231">
        <f>C28*0.2</f>
        <v>2034670.16</v>
      </c>
      <c r="E28" s="231">
        <f>C28+D28</f>
        <v>12208020.98</v>
      </c>
      <c r="F28" s="231"/>
      <c r="G28" s="294"/>
      <c r="H28" s="294"/>
      <c r="I28" s="294"/>
      <c r="J28" s="294"/>
    </row>
    <row r="29" spans="1:10" ht="15.75" hidden="1" outlineLevel="1" x14ac:dyDescent="0.25">
      <c r="A29" s="210"/>
      <c r="B29" s="211" t="s">
        <v>537</v>
      </c>
      <c r="C29" s="212"/>
      <c r="D29" s="213"/>
      <c r="E29" s="213"/>
      <c r="F29" s="213"/>
      <c r="G29" s="294"/>
      <c r="H29" s="294"/>
      <c r="I29" s="294"/>
      <c r="J29" s="294"/>
    </row>
    <row r="30" spans="1:10" ht="15.75" hidden="1" outlineLevel="1" x14ac:dyDescent="0.25">
      <c r="A30" s="210"/>
      <c r="B30" s="214" t="s">
        <v>196</v>
      </c>
      <c r="C30" s="212">
        <f>'Смета контракта'!G63</f>
        <v>296311.19</v>
      </c>
      <c r="D30" s="213">
        <f>C30*0.2</f>
        <v>59262.239999999998</v>
      </c>
      <c r="E30" s="213">
        <f>C30+D30</f>
        <v>355573.43</v>
      </c>
      <c r="F30" s="213"/>
      <c r="G30" s="294"/>
      <c r="H30" s="294"/>
      <c r="I30" s="294"/>
      <c r="J30" s="294"/>
    </row>
    <row r="31" spans="1:10" ht="15.75" hidden="1" outlineLevel="1" x14ac:dyDescent="0.25">
      <c r="A31" s="210"/>
      <c r="B31" s="214" t="s">
        <v>538</v>
      </c>
      <c r="C31" s="212">
        <f>НМЦК!M71-НМЦК!I71</f>
        <v>445205.83</v>
      </c>
      <c r="D31" s="213">
        <f>C31*0.2</f>
        <v>89041.17</v>
      </c>
      <c r="E31" s="213">
        <f>C31+D31</f>
        <v>534247</v>
      </c>
      <c r="F31" s="213"/>
      <c r="G31" s="294"/>
      <c r="H31" s="294"/>
      <c r="I31" s="294"/>
      <c r="J31" s="294"/>
    </row>
    <row r="32" spans="1:10" ht="47.25" collapsed="1" x14ac:dyDescent="0.25">
      <c r="A32" s="232" t="s">
        <v>459</v>
      </c>
      <c r="B32" s="233" t="s">
        <v>539</v>
      </c>
      <c r="C32" s="230">
        <f>'Смета контракта'!G64</f>
        <v>400673225.26999998</v>
      </c>
      <c r="D32" s="231">
        <f>C32*0.2+0.01</f>
        <v>80134645.060000002</v>
      </c>
      <c r="E32" s="231">
        <f>C32+D32</f>
        <v>480807870.32999998</v>
      </c>
      <c r="F32" s="231">
        <f>'Смета контракта'!H64*1.2</f>
        <v>356770483.14999998</v>
      </c>
      <c r="G32" s="231">
        <f>'Смета контракта'!H75*1.2</f>
        <v>308519585.07999998</v>
      </c>
      <c r="H32" s="231">
        <v>304861250.04000002</v>
      </c>
      <c r="I32" s="231">
        <v>3271687.82</v>
      </c>
      <c r="J32" s="302">
        <f>H32/I32</f>
        <v>93.18</v>
      </c>
    </row>
    <row r="33" spans="1:10" ht="15.75" hidden="1" outlineLevel="1" x14ac:dyDescent="0.25">
      <c r="A33" s="215"/>
      <c r="B33" s="211" t="s">
        <v>537</v>
      </c>
      <c r="C33" s="212"/>
      <c r="D33" s="213"/>
      <c r="E33" s="213"/>
      <c r="F33" s="213"/>
      <c r="G33" s="289"/>
      <c r="H33" s="289"/>
      <c r="I33" s="289"/>
      <c r="J33" s="289"/>
    </row>
    <row r="34" spans="1:10" ht="15.75" hidden="1" outlineLevel="1" x14ac:dyDescent="0.25">
      <c r="A34" s="215"/>
      <c r="B34" s="214" t="s">
        <v>253</v>
      </c>
      <c r="C34" s="212">
        <f>'Смета контракта'!H64</f>
        <v>297308735.95999998</v>
      </c>
      <c r="D34" s="213">
        <f>C34*0.2</f>
        <v>59461747.189999998</v>
      </c>
      <c r="E34" s="213">
        <f>C34+D34</f>
        <v>356770483.14999998</v>
      </c>
      <c r="F34" s="213"/>
      <c r="G34" s="289"/>
      <c r="H34" s="289"/>
      <c r="I34" s="289"/>
      <c r="J34" s="289"/>
    </row>
    <row r="35" spans="1:10" ht="15.75" hidden="1" outlineLevel="1" x14ac:dyDescent="0.25">
      <c r="A35" s="215"/>
      <c r="B35" s="214" t="s">
        <v>196</v>
      </c>
      <c r="C35" s="212">
        <f>'Смета контракта'!G98</f>
        <v>11670093.939999999</v>
      </c>
      <c r="D35" s="213">
        <f>C35*0.2</f>
        <v>2334018.79</v>
      </c>
      <c r="E35" s="213">
        <f>C35+D35</f>
        <v>14004112.73</v>
      </c>
      <c r="F35" s="213"/>
      <c r="G35" s="289"/>
      <c r="H35" s="289"/>
      <c r="I35" s="289"/>
      <c r="J35" s="289"/>
    </row>
    <row r="36" spans="1:10" ht="15.75" hidden="1" outlineLevel="1" x14ac:dyDescent="0.25">
      <c r="A36" s="215"/>
      <c r="B36" s="214" t="s">
        <v>538</v>
      </c>
      <c r="C36" s="212">
        <f>НМЦК!M74-НМЦК!I74</f>
        <v>9688858.8200000003</v>
      </c>
      <c r="D36" s="213">
        <f>C36*0.2</f>
        <v>1937771.76</v>
      </c>
      <c r="E36" s="213">
        <f>C36+D36</f>
        <v>11626630.58</v>
      </c>
      <c r="F36" s="213"/>
      <c r="G36" s="289"/>
      <c r="H36" s="289"/>
      <c r="I36" s="289"/>
      <c r="J36" s="289"/>
    </row>
    <row r="37" spans="1:10" ht="15.75" collapsed="1" x14ac:dyDescent="0.25">
      <c r="A37" s="216"/>
      <c r="B37" s="216" t="s">
        <v>546</v>
      </c>
      <c r="C37" s="217">
        <f>C28+C32</f>
        <v>410846576.08999997</v>
      </c>
      <c r="D37" s="217">
        <f>D28+D32</f>
        <v>82169315.219999999</v>
      </c>
      <c r="E37" s="217">
        <f>E28+E32</f>
        <v>493015891.31</v>
      </c>
      <c r="F37" s="217"/>
      <c r="G37" s="291"/>
      <c r="H37" s="300"/>
      <c r="I37" s="301"/>
      <c r="J37" s="301"/>
    </row>
    <row r="38" spans="1:10" ht="15.75" hidden="1" outlineLevel="1" x14ac:dyDescent="0.25">
      <c r="A38" s="211"/>
      <c r="B38" s="211" t="s">
        <v>537</v>
      </c>
      <c r="C38" s="218"/>
      <c r="D38" s="219"/>
      <c r="E38" s="219"/>
      <c r="F38" s="219"/>
      <c r="G38" s="289"/>
      <c r="H38" s="289"/>
      <c r="I38" s="289"/>
      <c r="J38" s="289"/>
    </row>
    <row r="39" spans="1:10" ht="15.75" hidden="1" outlineLevel="1" x14ac:dyDescent="0.25">
      <c r="A39" s="221"/>
      <c r="B39" s="214" t="s">
        <v>540</v>
      </c>
      <c r="C39" s="212">
        <f>C34</f>
        <v>297308735.95999998</v>
      </c>
      <c r="D39" s="222">
        <f>C39*20%</f>
        <v>59461747.189999998</v>
      </c>
      <c r="E39" s="222">
        <f t="shared" ref="E39" si="1">C39+D39</f>
        <v>356770483.14999998</v>
      </c>
      <c r="F39" s="222"/>
      <c r="G39" s="289"/>
      <c r="H39" s="289"/>
      <c r="I39" s="289"/>
      <c r="J39" s="289"/>
    </row>
    <row r="40" spans="1:10" ht="15.75" hidden="1" outlineLevel="1" x14ac:dyDescent="0.25">
      <c r="A40" s="223"/>
      <c r="B40" s="223" t="s">
        <v>541</v>
      </c>
      <c r="C40" s="212">
        <f>C30+C35</f>
        <v>11966405.130000001</v>
      </c>
      <c r="D40" s="222">
        <f>C40*0.2</f>
        <v>2393281.0299999998</v>
      </c>
      <c r="E40" s="222">
        <f>C40+D40</f>
        <v>14359686.16</v>
      </c>
      <c r="F40" s="222"/>
      <c r="G40" s="289"/>
      <c r="H40" s="289"/>
      <c r="I40" s="289"/>
      <c r="J40" s="289"/>
    </row>
    <row r="41" spans="1:10" ht="15.75" hidden="1" outlineLevel="1" x14ac:dyDescent="0.25">
      <c r="A41" s="224"/>
      <c r="B41" s="214" t="s">
        <v>538</v>
      </c>
      <c r="C41" s="212">
        <f>C31+C36</f>
        <v>10134064.65</v>
      </c>
      <c r="D41" s="222">
        <f>C41*0.2</f>
        <v>2026812.93</v>
      </c>
      <c r="E41" s="222">
        <f>C41+D41</f>
        <v>12160877.58</v>
      </c>
      <c r="F41" s="222"/>
      <c r="G41" s="289"/>
      <c r="H41" s="289"/>
      <c r="I41" s="289"/>
      <c r="J41" s="289"/>
    </row>
    <row r="42" spans="1:10" ht="32.25" customHeight="1" collapsed="1" x14ac:dyDescent="0.25">
      <c r="A42" s="237"/>
      <c r="B42" s="237" t="s">
        <v>545</v>
      </c>
      <c r="C42" s="227">
        <f>C22+C37</f>
        <v>1049534143.3</v>
      </c>
      <c r="D42" s="227">
        <f>D22+D37</f>
        <v>209906828.66</v>
      </c>
      <c r="E42" s="227">
        <f>E22+E37</f>
        <v>1259440971.96</v>
      </c>
      <c r="F42" s="227">
        <f>F17+F32</f>
        <v>889403316.37</v>
      </c>
      <c r="G42" s="298">
        <f>G17+G32</f>
        <v>761157974.34000003</v>
      </c>
      <c r="H42" s="298">
        <f>H17+H32</f>
        <v>752132385.72000003</v>
      </c>
      <c r="I42" s="298">
        <f>I17+I32</f>
        <v>8034883.8799999999</v>
      </c>
      <c r="J42" s="303">
        <f>H42/I42</f>
        <v>93.61</v>
      </c>
    </row>
    <row r="43" spans="1:10" ht="15.75" hidden="1" outlineLevel="1" x14ac:dyDescent="0.25">
      <c r="A43" s="211"/>
      <c r="B43" s="211" t="s">
        <v>537</v>
      </c>
      <c r="C43" s="218"/>
      <c r="D43" s="219"/>
      <c r="E43" s="219"/>
      <c r="F43" s="295"/>
    </row>
    <row r="44" spans="1:10" ht="15.75" hidden="1" outlineLevel="1" x14ac:dyDescent="0.25">
      <c r="A44" s="221"/>
      <c r="B44" s="214" t="s">
        <v>540</v>
      </c>
      <c r="C44" s="212">
        <f>C24+C39</f>
        <v>741169430.30999994</v>
      </c>
      <c r="D44" s="222">
        <f>C44*20%</f>
        <v>148233886.06</v>
      </c>
      <c r="E44" s="222">
        <f t="shared" ref="E44" si="2">C44+D44</f>
        <v>889403316.37</v>
      </c>
      <c r="F44" s="296"/>
    </row>
    <row r="45" spans="1:10" ht="15.75" hidden="1" outlineLevel="1" x14ac:dyDescent="0.25">
      <c r="A45" s="223"/>
      <c r="B45" s="223" t="s">
        <v>541</v>
      </c>
      <c r="C45" s="212">
        <f>C25+C40</f>
        <v>30568955.629999999</v>
      </c>
      <c r="D45" s="222">
        <f>C45*0.2</f>
        <v>6113791.1299999999</v>
      </c>
      <c r="E45" s="222">
        <f>C45+D45</f>
        <v>36682746.759999998</v>
      </c>
      <c r="F45" s="296"/>
    </row>
    <row r="46" spans="1:10" ht="15.75" hidden="1" outlineLevel="1" x14ac:dyDescent="0.25">
      <c r="A46" s="224"/>
      <c r="B46" s="214" t="s">
        <v>538</v>
      </c>
      <c r="C46" s="212">
        <f>C26+C41</f>
        <v>27255619.390000001</v>
      </c>
      <c r="D46" s="222">
        <f>C46*0.2</f>
        <v>5451123.8799999999</v>
      </c>
      <c r="E46" s="222">
        <f>C46+D46</f>
        <v>32706743.27</v>
      </c>
      <c r="F46" s="296"/>
    </row>
    <row r="47" spans="1:10" collapsed="1" x14ac:dyDescent="0.25"/>
    <row r="51" spans="1:11" ht="71.25" customHeight="1" x14ac:dyDescent="0.25">
      <c r="A51" s="309" t="s">
        <v>590</v>
      </c>
      <c r="B51" s="309"/>
      <c r="C51" s="309"/>
      <c r="D51" s="256"/>
      <c r="E51" s="255" t="s">
        <v>542</v>
      </c>
      <c r="F51" s="281"/>
      <c r="G51" s="254"/>
      <c r="H51" s="254"/>
      <c r="I51" s="251"/>
      <c r="J51" s="252"/>
      <c r="K51" s="253"/>
    </row>
  </sheetData>
  <mergeCells count="8">
    <mergeCell ref="F9:J9"/>
    <mergeCell ref="A51:C51"/>
    <mergeCell ref="A1:E1"/>
    <mergeCell ref="A2:E2"/>
    <mergeCell ref="A3:E3"/>
    <mergeCell ref="A9:A10"/>
    <mergeCell ref="B9:B10"/>
    <mergeCell ref="C9:E9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opLeftCell="A91" workbookViewId="0">
      <selection sqref="A1:H110"/>
    </sheetView>
  </sheetViews>
  <sheetFormatPr defaultRowHeight="15" outlineLevelCol="1" x14ac:dyDescent="0.25"/>
  <cols>
    <col min="2" max="2" width="39" hidden="1" customWidth="1" outlineLevel="1"/>
    <col min="3" max="3" width="45.28515625" customWidth="1" collapsed="1"/>
    <col min="4" max="4" width="14.28515625" customWidth="1"/>
    <col min="5" max="5" width="15.140625" customWidth="1"/>
    <col min="6" max="6" width="19.42578125" customWidth="1"/>
    <col min="7" max="7" width="22.5703125" customWidth="1"/>
    <col min="8" max="8" width="26.5703125" customWidth="1"/>
    <col min="10" max="10" width="12.42578125" bestFit="1" customWidth="1"/>
    <col min="14" max="14" width="43.140625" customWidth="1"/>
  </cols>
  <sheetData>
    <row r="1" spans="1:14" ht="15.75" x14ac:dyDescent="0.25">
      <c r="A1" s="326" t="s">
        <v>520</v>
      </c>
      <c r="B1" s="326"/>
      <c r="C1" s="326"/>
      <c r="D1" s="326"/>
      <c r="E1" s="326"/>
      <c r="F1" s="326"/>
      <c r="G1" s="326"/>
      <c r="H1" s="326"/>
    </row>
    <row r="2" spans="1:14" ht="47.25" customHeight="1" x14ac:dyDescent="0.25">
      <c r="A2" s="326" t="str">
        <f>НМЦ!A3</f>
        <v>по объекту «Всесезонный туристско- рекреационный комплекс «Эльбрус», Кабардино-Балкарская Республика. Система искусственного снегообразования» (Этап 1, Этап 2)</v>
      </c>
      <c r="B2" s="326"/>
      <c r="C2" s="326"/>
      <c r="D2" s="326"/>
      <c r="E2" s="326"/>
      <c r="F2" s="326"/>
      <c r="G2" s="326"/>
      <c r="H2" s="326"/>
    </row>
    <row r="3" spans="1:14" ht="15.75" x14ac:dyDescent="0.25">
      <c r="A3" s="59"/>
      <c r="B3" s="60"/>
      <c r="C3" s="61"/>
      <c r="D3" s="61"/>
      <c r="E3" s="61"/>
      <c r="F3" s="61"/>
      <c r="G3" s="61"/>
      <c r="H3" s="61"/>
    </row>
    <row r="4" spans="1:14" ht="37.5" customHeight="1" x14ac:dyDescent="0.25">
      <c r="A4" s="327" t="s">
        <v>250</v>
      </c>
      <c r="B4" s="329" t="s">
        <v>509</v>
      </c>
      <c r="C4" s="330" t="s">
        <v>510</v>
      </c>
      <c r="D4" s="332" t="s">
        <v>511</v>
      </c>
      <c r="E4" s="332" t="s">
        <v>512</v>
      </c>
      <c r="F4" s="334" t="s">
        <v>521</v>
      </c>
      <c r="G4" s="334"/>
      <c r="H4" s="332" t="s">
        <v>522</v>
      </c>
    </row>
    <row r="5" spans="1:14" ht="90" customHeight="1" x14ac:dyDescent="0.25">
      <c r="A5" s="328"/>
      <c r="B5" s="329"/>
      <c r="C5" s="331"/>
      <c r="D5" s="333"/>
      <c r="E5" s="333"/>
      <c r="F5" s="172" t="s">
        <v>523</v>
      </c>
      <c r="G5" s="172" t="s">
        <v>255</v>
      </c>
      <c r="H5" s="335"/>
    </row>
    <row r="6" spans="1:14" ht="15.75" x14ac:dyDescent="0.25">
      <c r="A6" s="171">
        <v>1</v>
      </c>
      <c r="B6" s="171"/>
      <c r="C6" s="172">
        <v>2</v>
      </c>
      <c r="D6" s="173">
        <v>3</v>
      </c>
      <c r="E6" s="173">
        <v>4</v>
      </c>
      <c r="F6" s="173">
        <v>5</v>
      </c>
      <c r="G6" s="173">
        <v>6</v>
      </c>
      <c r="H6" s="184">
        <v>7</v>
      </c>
    </row>
    <row r="7" spans="1:14" ht="15.75" x14ac:dyDescent="0.25">
      <c r="A7" s="95">
        <v>1</v>
      </c>
      <c r="B7" s="95"/>
      <c r="C7" s="95" t="s">
        <v>303</v>
      </c>
      <c r="D7" s="175"/>
      <c r="E7" s="175"/>
      <c r="F7" s="175"/>
      <c r="G7" s="175"/>
      <c r="H7" s="175"/>
    </row>
    <row r="8" spans="1:14" ht="15.75" x14ac:dyDescent="0.25">
      <c r="A8" s="132" t="s">
        <v>260</v>
      </c>
      <c r="B8" s="128"/>
      <c r="C8" s="128" t="s">
        <v>174</v>
      </c>
      <c r="D8" s="174"/>
      <c r="E8" s="174"/>
      <c r="F8" s="190">
        <f>F9+F10</f>
        <v>26747484.52</v>
      </c>
      <c r="G8" s="190">
        <f>G9+G10</f>
        <v>26747484.52</v>
      </c>
      <c r="H8" s="189"/>
      <c r="J8" s="183">
        <f>F8-НМЦК!M18</f>
        <v>0</v>
      </c>
    </row>
    <row r="9" spans="1:14" ht="15.75" x14ac:dyDescent="0.25">
      <c r="A9" s="134" t="s">
        <v>406</v>
      </c>
      <c r="B9" s="118" t="s">
        <v>404</v>
      </c>
      <c r="C9" s="130" t="s">
        <v>402</v>
      </c>
      <c r="D9" s="176" t="s">
        <v>513</v>
      </c>
      <c r="E9" s="176">
        <v>1</v>
      </c>
      <c r="F9" s="187">
        <f>НМЦК!M19</f>
        <v>25968431.57</v>
      </c>
      <c r="G9" s="186">
        <f>F9</f>
        <v>25968431.57</v>
      </c>
      <c r="H9" s="185"/>
    </row>
    <row r="10" spans="1:14" ht="31.5" x14ac:dyDescent="0.25">
      <c r="A10" s="134" t="s">
        <v>407</v>
      </c>
      <c r="B10" s="73" t="s">
        <v>197</v>
      </c>
      <c r="C10" s="73" t="s">
        <v>408</v>
      </c>
      <c r="D10" s="176" t="s">
        <v>513</v>
      </c>
      <c r="E10" s="176">
        <v>1</v>
      </c>
      <c r="F10" s="187">
        <f>НМЦК!M20</f>
        <v>779052.95</v>
      </c>
      <c r="G10" s="187">
        <f>F10</f>
        <v>779052.95</v>
      </c>
      <c r="H10" s="185"/>
      <c r="N10" s="288"/>
    </row>
    <row r="11" spans="1:14" ht="15.75" x14ac:dyDescent="0.25">
      <c r="A11" s="132" t="s">
        <v>261</v>
      </c>
      <c r="B11" s="128"/>
      <c r="C11" s="128" t="s">
        <v>405</v>
      </c>
      <c r="D11" s="174"/>
      <c r="E11" s="174"/>
      <c r="F11" s="193">
        <f>F12+F13+F14+F15+F31+F36+F39+F40+F50+F51+F52+F56</f>
        <v>611940082.69000006</v>
      </c>
      <c r="G11" s="193">
        <f>G12+G13+G14+G15+G31+G36+G39+G40+G50+G51+G52+G56</f>
        <v>611940082.69000006</v>
      </c>
      <c r="H11" s="193">
        <f>H12+H13+H14+H15+H31+H36+H39+H40+H50+H51+H52+H56</f>
        <v>443860694.35000002</v>
      </c>
      <c r="J11" s="183">
        <f>F11-НМЦК!M21</f>
        <v>0</v>
      </c>
      <c r="N11" s="288"/>
    </row>
    <row r="12" spans="1:14" ht="31.5" x14ac:dyDescent="0.25">
      <c r="A12" s="135" t="s">
        <v>410</v>
      </c>
      <c r="B12" s="112" t="s">
        <v>19</v>
      </c>
      <c r="C12" s="94" t="s">
        <v>20</v>
      </c>
      <c r="D12" s="176" t="s">
        <v>513</v>
      </c>
      <c r="E12" s="176">
        <v>1</v>
      </c>
      <c r="F12" s="187">
        <f>НМЦК!M22</f>
        <v>394497.71</v>
      </c>
      <c r="G12" s="187">
        <f t="shared" ref="G12:G14" si="0">F12</f>
        <v>394497.71</v>
      </c>
      <c r="H12" s="185"/>
    </row>
    <row r="13" spans="1:14" ht="47.25" x14ac:dyDescent="0.25">
      <c r="A13" s="136" t="s">
        <v>411</v>
      </c>
      <c r="B13" s="113" t="s">
        <v>28</v>
      </c>
      <c r="C13" s="105" t="s">
        <v>29</v>
      </c>
      <c r="D13" s="176" t="s">
        <v>513</v>
      </c>
      <c r="E13" s="176">
        <v>1</v>
      </c>
      <c r="F13" s="187">
        <f>НМЦК!M23</f>
        <v>62806.1</v>
      </c>
      <c r="G13" s="187">
        <f t="shared" si="0"/>
        <v>62806.1</v>
      </c>
      <c r="H13" s="185"/>
    </row>
    <row r="14" spans="1:14" ht="47.25" x14ac:dyDescent="0.25">
      <c r="A14" s="135" t="s">
        <v>412</v>
      </c>
      <c r="B14" s="113" t="s">
        <v>30</v>
      </c>
      <c r="C14" s="105" t="s">
        <v>31</v>
      </c>
      <c r="D14" s="176" t="s">
        <v>513</v>
      </c>
      <c r="E14" s="176">
        <v>1</v>
      </c>
      <c r="F14" s="187">
        <f>НМЦК!M24</f>
        <v>8520193.9399999995</v>
      </c>
      <c r="G14" s="187">
        <f t="shared" si="0"/>
        <v>8520193.9399999995</v>
      </c>
      <c r="H14" s="185"/>
    </row>
    <row r="15" spans="1:14" ht="47.25" x14ac:dyDescent="0.25">
      <c r="A15" s="135" t="s">
        <v>413</v>
      </c>
      <c r="B15" s="113" t="s">
        <v>39</v>
      </c>
      <c r="C15" s="105" t="s">
        <v>40</v>
      </c>
      <c r="D15" s="176" t="s">
        <v>513</v>
      </c>
      <c r="E15" s="176">
        <v>1</v>
      </c>
      <c r="F15" s="187">
        <f>F16+F17+F18+F19+F20+F21+F22+F23+F24+F25+F26+F27+F28+F29+F30</f>
        <v>496932393.43000001</v>
      </c>
      <c r="G15" s="187">
        <f>G16+G17+G18+G19+G20+G21+G22+G23+G24+G25+G26+G27+G28+G29+G30</f>
        <v>496932393.43000001</v>
      </c>
      <c r="H15" s="187">
        <f>H16+H17+H18+H19+H20+H21+H22+H23+H24+H25+H26+H27+H28+H29+H30</f>
        <v>390502450.38</v>
      </c>
      <c r="J15" s="183">
        <f>F15-НМЦК!M25</f>
        <v>0</v>
      </c>
    </row>
    <row r="16" spans="1:14" ht="31.5" x14ac:dyDescent="0.25">
      <c r="A16" s="137" t="s">
        <v>414</v>
      </c>
      <c r="B16" s="111" t="s">
        <v>264</v>
      </c>
      <c r="C16" s="110" t="s">
        <v>309</v>
      </c>
      <c r="D16" s="177" t="s">
        <v>513</v>
      </c>
      <c r="E16" s="177">
        <v>1</v>
      </c>
      <c r="F16" s="188">
        <f>НМЦК!M26</f>
        <v>9257377.3800000008</v>
      </c>
      <c r="G16" s="188">
        <f>F16</f>
        <v>9257377.3800000008</v>
      </c>
      <c r="H16" s="188"/>
    </row>
    <row r="17" spans="1:10" ht="31.5" x14ac:dyDescent="0.25">
      <c r="A17" s="137" t="s">
        <v>415</v>
      </c>
      <c r="B17" s="111" t="s">
        <v>310</v>
      </c>
      <c r="C17" s="110" t="s">
        <v>311</v>
      </c>
      <c r="D17" s="177" t="s">
        <v>513</v>
      </c>
      <c r="E17" s="177">
        <v>1</v>
      </c>
      <c r="F17" s="188">
        <f>НМЦК!M27</f>
        <v>14378941.810000001</v>
      </c>
      <c r="G17" s="188">
        <f t="shared" ref="G17:G38" si="1">F17</f>
        <v>14378941.810000001</v>
      </c>
      <c r="H17" s="188">
        <f>НМЦК!E27*НМЦК!J27*НМЦК!L27</f>
        <v>8709600.9199999999</v>
      </c>
    </row>
    <row r="18" spans="1:10" ht="63" x14ac:dyDescent="0.25">
      <c r="A18" s="137" t="s">
        <v>416</v>
      </c>
      <c r="B18" s="111" t="s">
        <v>265</v>
      </c>
      <c r="C18" s="110" t="s">
        <v>312</v>
      </c>
      <c r="D18" s="177" t="s">
        <v>513</v>
      </c>
      <c r="E18" s="177">
        <v>1</v>
      </c>
      <c r="F18" s="188">
        <f>НМЦК!M28</f>
        <v>63672.71</v>
      </c>
      <c r="G18" s="188">
        <f t="shared" si="1"/>
        <v>63672.71</v>
      </c>
      <c r="H18" s="188"/>
    </row>
    <row r="19" spans="1:10" ht="63" x14ac:dyDescent="0.25">
      <c r="A19" s="137" t="s">
        <v>417</v>
      </c>
      <c r="B19" s="111" t="s">
        <v>313</v>
      </c>
      <c r="C19" s="110" t="s">
        <v>314</v>
      </c>
      <c r="D19" s="177" t="s">
        <v>513</v>
      </c>
      <c r="E19" s="177">
        <v>1</v>
      </c>
      <c r="F19" s="188">
        <f>НМЦК!M29</f>
        <v>795022.38</v>
      </c>
      <c r="G19" s="188">
        <f t="shared" si="1"/>
        <v>795022.38</v>
      </c>
      <c r="H19" s="188"/>
    </row>
    <row r="20" spans="1:10" ht="31.5" x14ac:dyDescent="0.25">
      <c r="A20" s="137" t="s">
        <v>418</v>
      </c>
      <c r="B20" s="111" t="s">
        <v>266</v>
      </c>
      <c r="C20" s="110" t="s">
        <v>315</v>
      </c>
      <c r="D20" s="177" t="s">
        <v>513</v>
      </c>
      <c r="E20" s="177">
        <v>1</v>
      </c>
      <c r="F20" s="188">
        <f>НМЦК!M30</f>
        <v>2257568.96</v>
      </c>
      <c r="G20" s="188">
        <f t="shared" si="1"/>
        <v>2257568.96</v>
      </c>
      <c r="H20" s="188">
        <f>НМЦК!E30*НМЦК!J30*НМЦК!L30</f>
        <v>777713.48</v>
      </c>
    </row>
    <row r="21" spans="1:10" ht="47.25" x14ac:dyDescent="0.25">
      <c r="A21" s="137" t="s">
        <v>419</v>
      </c>
      <c r="B21" s="111" t="s">
        <v>267</v>
      </c>
      <c r="C21" s="110" t="s">
        <v>316</v>
      </c>
      <c r="D21" s="177" t="s">
        <v>513</v>
      </c>
      <c r="E21" s="177">
        <v>1</v>
      </c>
      <c r="F21" s="188">
        <f>НМЦК!M31</f>
        <v>7404867.7300000004</v>
      </c>
      <c r="G21" s="188">
        <f t="shared" si="1"/>
        <v>7404867.7300000004</v>
      </c>
      <c r="H21" s="188">
        <f>НМЦК!E31*НМЦК!J31*НМЦК!L31</f>
        <v>3079859.15</v>
      </c>
    </row>
    <row r="22" spans="1:10" ht="15.75" x14ac:dyDescent="0.25">
      <c r="A22" s="137" t="s">
        <v>420</v>
      </c>
      <c r="B22" s="111" t="s">
        <v>268</v>
      </c>
      <c r="C22" s="110" t="s">
        <v>317</v>
      </c>
      <c r="D22" s="177" t="s">
        <v>513</v>
      </c>
      <c r="E22" s="177">
        <v>1</v>
      </c>
      <c r="F22" s="188">
        <f>НМЦК!M32</f>
        <v>3072803.76</v>
      </c>
      <c r="G22" s="188">
        <f t="shared" si="1"/>
        <v>3072803.76</v>
      </c>
      <c r="H22" s="188"/>
    </row>
    <row r="23" spans="1:10" ht="31.5" x14ac:dyDescent="0.25">
      <c r="A23" s="137" t="s">
        <v>421</v>
      </c>
      <c r="B23" s="111" t="s">
        <v>269</v>
      </c>
      <c r="C23" s="110" t="s">
        <v>318</v>
      </c>
      <c r="D23" s="177" t="s">
        <v>513</v>
      </c>
      <c r="E23" s="177">
        <v>1</v>
      </c>
      <c r="F23" s="188">
        <f>НМЦК!M33</f>
        <v>952755.07</v>
      </c>
      <c r="G23" s="188">
        <f t="shared" si="1"/>
        <v>952755.07</v>
      </c>
      <c r="H23" s="188">
        <f>НМЦК!E33*НМЦК!J33*НМЦК!L33</f>
        <v>40342.47</v>
      </c>
    </row>
    <row r="24" spans="1:10" ht="47.25" x14ac:dyDescent="0.25">
      <c r="A24" s="137" t="s">
        <v>422</v>
      </c>
      <c r="B24" s="111" t="s">
        <v>270</v>
      </c>
      <c r="C24" s="110" t="s">
        <v>319</v>
      </c>
      <c r="D24" s="177" t="s">
        <v>513</v>
      </c>
      <c r="E24" s="177">
        <v>1</v>
      </c>
      <c r="F24" s="188">
        <f>НМЦК!M34</f>
        <v>39159159.469999999</v>
      </c>
      <c r="G24" s="188">
        <f t="shared" si="1"/>
        <v>39159159.469999999</v>
      </c>
      <c r="H24" s="188"/>
    </row>
    <row r="25" spans="1:10" ht="47.25" x14ac:dyDescent="0.25">
      <c r="A25" s="137" t="s">
        <v>423</v>
      </c>
      <c r="B25" s="111" t="s">
        <v>271</v>
      </c>
      <c r="C25" s="110" t="s">
        <v>320</v>
      </c>
      <c r="D25" s="177" t="s">
        <v>513</v>
      </c>
      <c r="E25" s="177">
        <v>1</v>
      </c>
      <c r="F25" s="188">
        <f>НМЦК!M35</f>
        <v>93539.45</v>
      </c>
      <c r="G25" s="188">
        <f t="shared" si="1"/>
        <v>93539.45</v>
      </c>
      <c r="H25" s="188"/>
    </row>
    <row r="26" spans="1:10" ht="47.25" x14ac:dyDescent="0.25">
      <c r="A26" s="137" t="s">
        <v>424</v>
      </c>
      <c r="B26" s="111" t="s">
        <v>272</v>
      </c>
      <c r="C26" s="110" t="s">
        <v>321</v>
      </c>
      <c r="D26" s="177" t="s">
        <v>513</v>
      </c>
      <c r="E26" s="177">
        <v>1</v>
      </c>
      <c r="F26" s="188">
        <f>НМЦК!M36</f>
        <v>2269076.52</v>
      </c>
      <c r="G26" s="188">
        <f t="shared" si="1"/>
        <v>2269076.52</v>
      </c>
      <c r="H26" s="188">
        <f>НМЦК!E36*НМЦК!J36*НМЦК!L36</f>
        <v>696276.64</v>
      </c>
    </row>
    <row r="27" spans="1:10" ht="47.25" x14ac:dyDescent="0.25">
      <c r="A27" s="137" t="s">
        <v>425</v>
      </c>
      <c r="B27" s="111" t="s">
        <v>322</v>
      </c>
      <c r="C27" s="110" t="s">
        <v>323</v>
      </c>
      <c r="D27" s="177" t="s">
        <v>513</v>
      </c>
      <c r="E27" s="177">
        <v>1</v>
      </c>
      <c r="F27" s="188">
        <f>НМЦК!M37</f>
        <v>377198657.72000003</v>
      </c>
      <c r="G27" s="188">
        <f t="shared" si="1"/>
        <v>377198657.72000003</v>
      </c>
      <c r="H27" s="188">
        <f>НМЦК!E37*НМЦК!J37*НМЦК!L37</f>
        <v>377198657.72000003</v>
      </c>
    </row>
    <row r="28" spans="1:10" ht="31.5" x14ac:dyDescent="0.25">
      <c r="A28" s="137" t="s">
        <v>426</v>
      </c>
      <c r="B28" s="111" t="s">
        <v>324</v>
      </c>
      <c r="C28" s="110" t="s">
        <v>325</v>
      </c>
      <c r="D28" s="177" t="s">
        <v>513</v>
      </c>
      <c r="E28" s="177">
        <v>1</v>
      </c>
      <c r="F28" s="188">
        <f>НМЦК!M38</f>
        <v>5339612.54</v>
      </c>
      <c r="G28" s="188">
        <f t="shared" si="1"/>
        <v>5339612.54</v>
      </c>
      <c r="H28" s="188"/>
    </row>
    <row r="29" spans="1:10" ht="31.5" x14ac:dyDescent="0.25">
      <c r="A29" s="137" t="s">
        <v>427</v>
      </c>
      <c r="B29" s="111" t="s">
        <v>326</v>
      </c>
      <c r="C29" s="110" t="s">
        <v>327</v>
      </c>
      <c r="D29" s="177" t="s">
        <v>513</v>
      </c>
      <c r="E29" s="177">
        <v>1</v>
      </c>
      <c r="F29" s="188">
        <f>НМЦК!M39</f>
        <v>32255938.32</v>
      </c>
      <c r="G29" s="188">
        <f t="shared" si="1"/>
        <v>32255938.32</v>
      </c>
      <c r="H29" s="188"/>
    </row>
    <row r="30" spans="1:10" ht="47.25" x14ac:dyDescent="0.25">
      <c r="A30" s="137" t="s">
        <v>428</v>
      </c>
      <c r="B30" s="111" t="s">
        <v>328</v>
      </c>
      <c r="C30" s="110" t="s">
        <v>329</v>
      </c>
      <c r="D30" s="177" t="s">
        <v>513</v>
      </c>
      <c r="E30" s="177">
        <v>1</v>
      </c>
      <c r="F30" s="188">
        <f>НМЦК!M40</f>
        <v>2433399.61</v>
      </c>
      <c r="G30" s="188">
        <f t="shared" si="1"/>
        <v>2433399.61</v>
      </c>
      <c r="H30" s="188"/>
    </row>
    <row r="31" spans="1:10" ht="31.5" x14ac:dyDescent="0.25">
      <c r="A31" s="135" t="s">
        <v>429</v>
      </c>
      <c r="B31" s="113" t="s">
        <v>49</v>
      </c>
      <c r="C31" s="105" t="s">
        <v>50</v>
      </c>
      <c r="D31" s="176" t="s">
        <v>513</v>
      </c>
      <c r="E31" s="176">
        <v>1</v>
      </c>
      <c r="F31" s="187">
        <f>F32+F33+F34+F35</f>
        <v>61546165.439999998</v>
      </c>
      <c r="G31" s="187">
        <f>G32+G33+G34+G35</f>
        <v>61546165.439999998</v>
      </c>
      <c r="H31" s="187">
        <f>H32+H33+H34+H35</f>
        <v>40216870.079999998</v>
      </c>
      <c r="J31" s="183">
        <f>НМЦК!M41-F31</f>
        <v>0</v>
      </c>
    </row>
    <row r="32" spans="1:10" ht="31.5" x14ac:dyDescent="0.25">
      <c r="A32" s="74" t="s">
        <v>432</v>
      </c>
      <c r="B32" s="111" t="s">
        <v>349</v>
      </c>
      <c r="C32" s="110" t="s">
        <v>350</v>
      </c>
      <c r="D32" s="177" t="s">
        <v>513</v>
      </c>
      <c r="E32" s="177">
        <v>1</v>
      </c>
      <c r="F32" s="188">
        <f>НМЦК!M42</f>
        <v>12457592.210000001</v>
      </c>
      <c r="G32" s="188">
        <f t="shared" si="1"/>
        <v>12457592.210000001</v>
      </c>
      <c r="H32" s="191"/>
    </row>
    <row r="33" spans="1:10" ht="31.5" x14ac:dyDescent="0.25">
      <c r="A33" s="74" t="s">
        <v>433</v>
      </c>
      <c r="B33" s="111" t="s">
        <v>351</v>
      </c>
      <c r="C33" s="110" t="s">
        <v>352</v>
      </c>
      <c r="D33" s="177" t="s">
        <v>513</v>
      </c>
      <c r="E33" s="177">
        <v>1</v>
      </c>
      <c r="F33" s="188">
        <f>НМЦК!M43</f>
        <v>4153429.35</v>
      </c>
      <c r="G33" s="188">
        <f t="shared" si="1"/>
        <v>4153429.35</v>
      </c>
      <c r="H33" s="188">
        <f>НМЦК!E43*НМЦК!J43*НМЦК!L43</f>
        <v>35586.39</v>
      </c>
    </row>
    <row r="34" spans="1:10" ht="31.5" x14ac:dyDescent="0.25">
      <c r="A34" s="74" t="s">
        <v>434</v>
      </c>
      <c r="B34" s="111" t="s">
        <v>353</v>
      </c>
      <c r="C34" s="110" t="s">
        <v>354</v>
      </c>
      <c r="D34" s="177" t="s">
        <v>513</v>
      </c>
      <c r="E34" s="177">
        <v>1</v>
      </c>
      <c r="F34" s="188">
        <f>НМЦК!M44</f>
        <v>43850451.829999998</v>
      </c>
      <c r="G34" s="188">
        <f t="shared" si="1"/>
        <v>43850451.829999998</v>
      </c>
      <c r="H34" s="188">
        <f>НМЦК!E44*НМЦК!J44*НМЦК!L44</f>
        <v>40181283.689999998</v>
      </c>
    </row>
    <row r="35" spans="1:10" ht="47.25" x14ac:dyDescent="0.25">
      <c r="A35" s="74" t="s">
        <v>435</v>
      </c>
      <c r="B35" s="111" t="s">
        <v>355</v>
      </c>
      <c r="C35" s="110" t="s">
        <v>356</v>
      </c>
      <c r="D35" s="177" t="s">
        <v>513</v>
      </c>
      <c r="E35" s="177">
        <v>1</v>
      </c>
      <c r="F35" s="188">
        <f>НМЦК!M45</f>
        <v>1084692.05</v>
      </c>
      <c r="G35" s="188">
        <f t="shared" si="1"/>
        <v>1084692.05</v>
      </c>
      <c r="H35" s="191"/>
    </row>
    <row r="36" spans="1:10" ht="47.25" x14ac:dyDescent="0.25">
      <c r="A36" s="72" t="s">
        <v>436</v>
      </c>
      <c r="B36" s="113" t="s">
        <v>59</v>
      </c>
      <c r="C36" s="105" t="s">
        <v>60</v>
      </c>
      <c r="D36" s="176" t="s">
        <v>513</v>
      </c>
      <c r="E36" s="176">
        <v>1</v>
      </c>
      <c r="F36" s="187">
        <f>F37+F38</f>
        <v>10558602.939999999</v>
      </c>
      <c r="G36" s="187">
        <f>G37+G38</f>
        <v>10558602.939999999</v>
      </c>
      <c r="H36" s="187">
        <f>H37+H38</f>
        <v>213392.5</v>
      </c>
      <c r="J36" s="183">
        <f>F36-НМЦК!M46</f>
        <v>0</v>
      </c>
    </row>
    <row r="37" spans="1:10" ht="31.5" x14ac:dyDescent="0.25">
      <c r="A37" s="74" t="s">
        <v>437</v>
      </c>
      <c r="B37" s="111" t="s">
        <v>363</v>
      </c>
      <c r="C37" s="110" t="s">
        <v>364</v>
      </c>
      <c r="D37" s="177" t="s">
        <v>513</v>
      </c>
      <c r="E37" s="177">
        <v>1</v>
      </c>
      <c r="F37" s="188">
        <f>НМЦК!M47</f>
        <v>8547520.0199999996</v>
      </c>
      <c r="G37" s="188">
        <f t="shared" si="1"/>
        <v>8547520.0199999996</v>
      </c>
      <c r="H37" s="191"/>
    </row>
    <row r="38" spans="1:10" ht="31.5" x14ac:dyDescent="0.25">
      <c r="A38" s="74" t="s">
        <v>438</v>
      </c>
      <c r="B38" s="111" t="s">
        <v>365</v>
      </c>
      <c r="C38" s="110" t="s">
        <v>366</v>
      </c>
      <c r="D38" s="177" t="s">
        <v>513</v>
      </c>
      <c r="E38" s="177">
        <v>1</v>
      </c>
      <c r="F38" s="188">
        <f>НМЦК!M48</f>
        <v>2011082.92</v>
      </c>
      <c r="G38" s="188">
        <f t="shared" si="1"/>
        <v>2011082.92</v>
      </c>
      <c r="H38" s="188">
        <f>НМЦК!E48*НМЦК!J48*НМЦК!L48</f>
        <v>213392.5</v>
      </c>
    </row>
    <row r="39" spans="1:10" ht="15.75" x14ac:dyDescent="0.25">
      <c r="A39" s="140" t="s">
        <v>430</v>
      </c>
      <c r="B39" s="113" t="s">
        <v>69</v>
      </c>
      <c r="C39" s="105" t="s">
        <v>70</v>
      </c>
      <c r="D39" s="176" t="s">
        <v>513</v>
      </c>
      <c r="E39" s="176">
        <v>1</v>
      </c>
      <c r="F39" s="187">
        <f>НМЦК!M49</f>
        <v>6422612.8099999996</v>
      </c>
      <c r="G39" s="187">
        <f>F39</f>
        <v>6422612.8099999996</v>
      </c>
      <c r="H39" s="185"/>
      <c r="J39" s="183">
        <f>F39-НМЦК!M49</f>
        <v>0</v>
      </c>
    </row>
    <row r="40" spans="1:10" ht="31.5" x14ac:dyDescent="0.25">
      <c r="A40" s="141" t="s">
        <v>431</v>
      </c>
      <c r="B40" s="118" t="s">
        <v>105</v>
      </c>
      <c r="C40" s="119" t="s">
        <v>106</v>
      </c>
      <c r="D40" s="176" t="s">
        <v>513</v>
      </c>
      <c r="E40" s="176">
        <v>1</v>
      </c>
      <c r="F40" s="187">
        <f>F41+F42+F43+F44+F45+F46+F47+F48+F49</f>
        <v>3795013.76</v>
      </c>
      <c r="G40" s="187">
        <f>F40</f>
        <v>3795013.76</v>
      </c>
      <c r="H40" s="185"/>
      <c r="J40" s="183">
        <f>F40-НМЦК!M50</f>
        <v>0</v>
      </c>
    </row>
    <row r="41" spans="1:10" ht="31.5" x14ac:dyDescent="0.25">
      <c r="A41" s="74" t="s">
        <v>439</v>
      </c>
      <c r="B41" s="111" t="s">
        <v>274</v>
      </c>
      <c r="C41" s="110" t="s">
        <v>370</v>
      </c>
      <c r="D41" s="177" t="s">
        <v>513</v>
      </c>
      <c r="E41" s="177">
        <v>1</v>
      </c>
      <c r="F41" s="188">
        <f>НМЦК!M51</f>
        <v>78335.05</v>
      </c>
      <c r="G41" s="188">
        <f t="shared" ref="G41:G49" si="2">F41</f>
        <v>78335.05</v>
      </c>
      <c r="H41" s="191"/>
    </row>
    <row r="42" spans="1:10" ht="31.5" x14ac:dyDescent="0.25">
      <c r="A42" s="74" t="s">
        <v>440</v>
      </c>
      <c r="B42" s="111" t="s">
        <v>371</v>
      </c>
      <c r="C42" s="110" t="s">
        <v>372</v>
      </c>
      <c r="D42" s="177" t="s">
        <v>513</v>
      </c>
      <c r="E42" s="177">
        <v>1</v>
      </c>
      <c r="F42" s="188">
        <f>НМЦК!M52</f>
        <v>7429.4</v>
      </c>
      <c r="G42" s="188">
        <f t="shared" si="2"/>
        <v>7429.4</v>
      </c>
      <c r="H42" s="191"/>
    </row>
    <row r="43" spans="1:10" ht="31.5" x14ac:dyDescent="0.25">
      <c r="A43" s="74" t="s">
        <v>441</v>
      </c>
      <c r="B43" s="111" t="s">
        <v>373</v>
      </c>
      <c r="C43" s="110" t="s">
        <v>374</v>
      </c>
      <c r="D43" s="177" t="s">
        <v>513</v>
      </c>
      <c r="E43" s="177">
        <v>1</v>
      </c>
      <c r="F43" s="188">
        <f>НМЦК!M53</f>
        <v>479959.37</v>
      </c>
      <c r="G43" s="188">
        <f t="shared" si="2"/>
        <v>479959.37</v>
      </c>
      <c r="H43" s="191"/>
    </row>
    <row r="44" spans="1:10" ht="31.5" x14ac:dyDescent="0.25">
      <c r="A44" s="74" t="s">
        <v>442</v>
      </c>
      <c r="B44" s="111" t="s">
        <v>375</v>
      </c>
      <c r="C44" s="110" t="s">
        <v>376</v>
      </c>
      <c r="D44" s="177" t="s">
        <v>513</v>
      </c>
      <c r="E44" s="177">
        <v>1</v>
      </c>
      <c r="F44" s="188">
        <f>НМЦК!M54</f>
        <v>791315.9</v>
      </c>
      <c r="G44" s="188">
        <f t="shared" si="2"/>
        <v>791315.9</v>
      </c>
      <c r="H44" s="191"/>
    </row>
    <row r="45" spans="1:10" ht="31.5" x14ac:dyDescent="0.25">
      <c r="A45" s="74" t="s">
        <v>443</v>
      </c>
      <c r="B45" s="111" t="s">
        <v>377</v>
      </c>
      <c r="C45" s="110" t="s">
        <v>378</v>
      </c>
      <c r="D45" s="177" t="s">
        <v>513</v>
      </c>
      <c r="E45" s="177">
        <v>1</v>
      </c>
      <c r="F45" s="188">
        <f>НМЦК!M55</f>
        <v>68028.479999999996</v>
      </c>
      <c r="G45" s="188">
        <f t="shared" si="2"/>
        <v>68028.479999999996</v>
      </c>
      <c r="H45" s="191"/>
    </row>
    <row r="46" spans="1:10" ht="47.25" x14ac:dyDescent="0.25">
      <c r="A46" s="74" t="s">
        <v>444</v>
      </c>
      <c r="B46" s="111" t="s">
        <v>379</v>
      </c>
      <c r="C46" s="110" t="s">
        <v>380</v>
      </c>
      <c r="D46" s="177" t="s">
        <v>513</v>
      </c>
      <c r="E46" s="177">
        <v>1</v>
      </c>
      <c r="F46" s="188">
        <f>НМЦК!M56</f>
        <v>121380.72</v>
      </c>
      <c r="G46" s="188">
        <f t="shared" si="2"/>
        <v>121380.72</v>
      </c>
      <c r="H46" s="191"/>
    </row>
    <row r="47" spans="1:10" ht="47.25" x14ac:dyDescent="0.25">
      <c r="A47" s="74" t="s">
        <v>445</v>
      </c>
      <c r="B47" s="111" t="s">
        <v>381</v>
      </c>
      <c r="C47" s="110" t="s">
        <v>382</v>
      </c>
      <c r="D47" s="177" t="s">
        <v>513</v>
      </c>
      <c r="E47" s="177">
        <v>1</v>
      </c>
      <c r="F47" s="188">
        <f>НМЦК!M57</f>
        <v>1662122.44</v>
      </c>
      <c r="G47" s="188">
        <f t="shared" si="2"/>
        <v>1662122.44</v>
      </c>
      <c r="H47" s="191"/>
    </row>
    <row r="48" spans="1:10" ht="47.25" x14ac:dyDescent="0.25">
      <c r="A48" s="74" t="s">
        <v>446</v>
      </c>
      <c r="B48" s="111" t="s">
        <v>383</v>
      </c>
      <c r="C48" s="110" t="s">
        <v>384</v>
      </c>
      <c r="D48" s="177" t="s">
        <v>513</v>
      </c>
      <c r="E48" s="177">
        <v>1</v>
      </c>
      <c r="F48" s="188">
        <f>НМЦК!M58</f>
        <v>176350.88</v>
      </c>
      <c r="G48" s="188">
        <f t="shared" si="2"/>
        <v>176350.88</v>
      </c>
      <c r="H48" s="191"/>
    </row>
    <row r="49" spans="1:10" ht="47.25" x14ac:dyDescent="0.25">
      <c r="A49" s="74" t="s">
        <v>447</v>
      </c>
      <c r="B49" s="111" t="s">
        <v>385</v>
      </c>
      <c r="C49" s="110" t="s">
        <v>386</v>
      </c>
      <c r="D49" s="177" t="s">
        <v>513</v>
      </c>
      <c r="E49" s="177">
        <v>1</v>
      </c>
      <c r="F49" s="188">
        <f>НМЦК!M59</f>
        <v>410091.52000000002</v>
      </c>
      <c r="G49" s="188">
        <f t="shared" si="2"/>
        <v>410091.52000000002</v>
      </c>
      <c r="H49" s="191"/>
    </row>
    <row r="50" spans="1:10" ht="31.5" x14ac:dyDescent="0.25">
      <c r="A50" s="72" t="s">
        <v>448</v>
      </c>
      <c r="B50" s="113" t="s">
        <v>121</v>
      </c>
      <c r="C50" s="105" t="s">
        <v>122</v>
      </c>
      <c r="D50" s="176" t="s">
        <v>513</v>
      </c>
      <c r="E50" s="176">
        <v>1</v>
      </c>
      <c r="F50" s="187">
        <f>НМЦК!M60</f>
        <v>125080.36</v>
      </c>
      <c r="G50" s="187">
        <f>F50</f>
        <v>125080.36</v>
      </c>
      <c r="H50" s="185"/>
    </row>
    <row r="51" spans="1:10" ht="31.5" x14ac:dyDescent="0.25">
      <c r="A51" s="72" t="s">
        <v>449</v>
      </c>
      <c r="B51" s="113" t="s">
        <v>129</v>
      </c>
      <c r="C51" s="105" t="s">
        <v>130</v>
      </c>
      <c r="D51" s="176" t="s">
        <v>513</v>
      </c>
      <c r="E51" s="176">
        <v>1</v>
      </c>
      <c r="F51" s="187">
        <f>НМЦК!M61</f>
        <v>412869.14</v>
      </c>
      <c r="G51" s="187">
        <f>F51</f>
        <v>412869.14</v>
      </c>
      <c r="H51" s="185"/>
    </row>
    <row r="52" spans="1:10" ht="47.25" x14ac:dyDescent="0.25">
      <c r="A52" s="72" t="s">
        <v>450</v>
      </c>
      <c r="B52" s="113" t="s">
        <v>139</v>
      </c>
      <c r="C52" s="105" t="s">
        <v>140</v>
      </c>
      <c r="D52" s="176" t="s">
        <v>513</v>
      </c>
      <c r="E52" s="176">
        <v>1</v>
      </c>
      <c r="F52" s="187">
        <f>F53+F54+F55</f>
        <v>5346349.51</v>
      </c>
      <c r="G52" s="187">
        <f>F52</f>
        <v>5346349.51</v>
      </c>
      <c r="H52" s="185"/>
      <c r="J52" s="183">
        <f>F52-НМЦК!M62</f>
        <v>0</v>
      </c>
    </row>
    <row r="53" spans="1:10" ht="31.5" x14ac:dyDescent="0.25">
      <c r="A53" s="74" t="s">
        <v>451</v>
      </c>
      <c r="B53" s="126"/>
      <c r="C53" s="125" t="s">
        <v>399</v>
      </c>
      <c r="D53" s="177" t="s">
        <v>513</v>
      </c>
      <c r="E53" s="177">
        <v>1</v>
      </c>
      <c r="F53" s="188">
        <f>НМЦК!M63</f>
        <v>75700.259999999995</v>
      </c>
      <c r="G53" s="188">
        <f t="shared" ref="G53:G55" si="3">F53</f>
        <v>75700.259999999995</v>
      </c>
      <c r="H53" s="191"/>
    </row>
    <row r="54" spans="1:10" ht="15.75" x14ac:dyDescent="0.25">
      <c r="A54" s="74" t="s">
        <v>452</v>
      </c>
      <c r="B54" s="126"/>
      <c r="C54" s="125" t="s">
        <v>401</v>
      </c>
      <c r="D54" s="177" t="s">
        <v>513</v>
      </c>
      <c r="E54" s="177">
        <v>1</v>
      </c>
      <c r="F54" s="188">
        <f>НМЦК!M64</f>
        <v>3725049.25</v>
      </c>
      <c r="G54" s="188">
        <f t="shared" si="3"/>
        <v>3725049.25</v>
      </c>
      <c r="H54" s="191"/>
    </row>
    <row r="55" spans="1:10" ht="31.5" x14ac:dyDescent="0.25">
      <c r="A55" s="74" t="s">
        <v>453</v>
      </c>
      <c r="B55" s="126"/>
      <c r="C55" s="125" t="s">
        <v>400</v>
      </c>
      <c r="D55" s="177" t="s">
        <v>513</v>
      </c>
      <c r="E55" s="177">
        <v>1</v>
      </c>
      <c r="F55" s="188">
        <f>НМЦК!M65</f>
        <v>1545600</v>
      </c>
      <c r="G55" s="188">
        <f t="shared" si="3"/>
        <v>1545600</v>
      </c>
      <c r="H55" s="191"/>
    </row>
    <row r="56" spans="1:10" ht="31.5" x14ac:dyDescent="0.25">
      <c r="A56" s="72" t="s">
        <v>454</v>
      </c>
      <c r="B56" s="178" t="s">
        <v>197</v>
      </c>
      <c r="C56" s="178" t="s">
        <v>409</v>
      </c>
      <c r="D56" s="176" t="s">
        <v>513</v>
      </c>
      <c r="E56" s="176">
        <v>1</v>
      </c>
      <c r="F56" s="187">
        <f>НМЦК!M66</f>
        <v>17823497.550000001</v>
      </c>
      <c r="G56" s="187">
        <f>F56</f>
        <v>17823497.550000001</v>
      </c>
      <c r="H56" s="187">
        <f>(H15+H31+H36)*0.03</f>
        <v>12927981.390000001</v>
      </c>
    </row>
    <row r="57" spans="1:10" ht="15.75" x14ac:dyDescent="0.25">
      <c r="A57" s="142"/>
      <c r="B57" s="143"/>
      <c r="C57" s="145" t="s">
        <v>455</v>
      </c>
      <c r="D57" s="194"/>
      <c r="E57" s="194"/>
      <c r="F57" s="195"/>
      <c r="G57" s="195">
        <f>G8+G11</f>
        <v>638687567.21000004</v>
      </c>
      <c r="H57" s="195">
        <f>H8+H11</f>
        <v>443860694.35000002</v>
      </c>
      <c r="J57" s="183">
        <f>G57-НМЦК!M67</f>
        <v>0</v>
      </c>
    </row>
    <row r="58" spans="1:10" ht="15.75" x14ac:dyDescent="0.25">
      <c r="A58" s="142"/>
      <c r="B58" s="143"/>
      <c r="C58" s="145" t="s">
        <v>275</v>
      </c>
      <c r="D58" s="194"/>
      <c r="E58" s="194"/>
      <c r="F58" s="195"/>
      <c r="G58" s="195">
        <f>G57*0.2</f>
        <v>127737513.44</v>
      </c>
      <c r="H58" s="195">
        <f>H57*0.2</f>
        <v>88772138.870000005</v>
      </c>
      <c r="J58" s="183">
        <f>G58-НМЦК!M68</f>
        <v>0</v>
      </c>
    </row>
    <row r="59" spans="1:10" ht="15.75" x14ac:dyDescent="0.25">
      <c r="A59" s="142"/>
      <c r="B59" s="143"/>
      <c r="C59" s="145" t="s">
        <v>456</v>
      </c>
      <c r="D59" s="194"/>
      <c r="E59" s="194"/>
      <c r="F59" s="195"/>
      <c r="G59" s="197">
        <f>G57+G58</f>
        <v>766425080.64999998</v>
      </c>
      <c r="H59" s="197">
        <f>H57+H58</f>
        <v>532632833.22000003</v>
      </c>
      <c r="J59" s="183">
        <f>G59-НМЦК!M69</f>
        <v>0</v>
      </c>
    </row>
    <row r="60" spans="1:10" ht="15.75" x14ac:dyDescent="0.25">
      <c r="A60" s="133" t="s">
        <v>459</v>
      </c>
      <c r="B60" s="95"/>
      <c r="C60" s="95" t="s">
        <v>304</v>
      </c>
      <c r="D60" s="175"/>
      <c r="E60" s="175"/>
      <c r="F60" s="192"/>
      <c r="G60" s="175"/>
      <c r="H60" s="201"/>
    </row>
    <row r="61" spans="1:10" ht="15.75" x14ac:dyDescent="0.25">
      <c r="A61" s="132" t="s">
        <v>262</v>
      </c>
      <c r="B61" s="128"/>
      <c r="C61" s="128" t="s">
        <v>174</v>
      </c>
      <c r="D61" s="174"/>
      <c r="E61" s="174"/>
      <c r="F61" s="193">
        <f>F62+F63</f>
        <v>10173350.82</v>
      </c>
      <c r="G61" s="193">
        <f>G62+G63</f>
        <v>10173350.82</v>
      </c>
      <c r="H61" s="193"/>
      <c r="J61" s="183">
        <f>F61-НМЦК!M71</f>
        <v>0</v>
      </c>
    </row>
    <row r="62" spans="1:10" ht="15.75" x14ac:dyDescent="0.25">
      <c r="A62" s="134" t="s">
        <v>460</v>
      </c>
      <c r="B62" s="118" t="s">
        <v>457</v>
      </c>
      <c r="C62" s="130" t="s">
        <v>458</v>
      </c>
      <c r="D62" s="176" t="s">
        <v>513</v>
      </c>
      <c r="E62" s="176">
        <v>1</v>
      </c>
      <c r="F62" s="187">
        <f>НМЦК!M72</f>
        <v>9877039.6300000008</v>
      </c>
      <c r="G62" s="187">
        <f>F62</f>
        <v>9877039.6300000008</v>
      </c>
      <c r="H62" s="187"/>
    </row>
    <row r="63" spans="1:10" ht="31.5" x14ac:dyDescent="0.25">
      <c r="A63" s="134" t="s">
        <v>461</v>
      </c>
      <c r="B63" s="73" t="s">
        <v>197</v>
      </c>
      <c r="C63" s="73" t="s">
        <v>408</v>
      </c>
      <c r="D63" s="176" t="s">
        <v>513</v>
      </c>
      <c r="E63" s="176">
        <v>1</v>
      </c>
      <c r="F63" s="187">
        <f>НМЦК!M73</f>
        <v>296311.19</v>
      </c>
      <c r="G63" s="187">
        <f>F63</f>
        <v>296311.19</v>
      </c>
      <c r="H63" s="187"/>
    </row>
    <row r="64" spans="1:10" ht="15.75" x14ac:dyDescent="0.25">
      <c r="A64" s="132" t="s">
        <v>263</v>
      </c>
      <c r="B64" s="128"/>
      <c r="C64" s="128" t="s">
        <v>405</v>
      </c>
      <c r="D64" s="174"/>
      <c r="E64" s="174"/>
      <c r="F64" s="193">
        <f>F65+F66+F77+F81+F84+F85+F92+F93+F94+F98</f>
        <v>400673225.26999998</v>
      </c>
      <c r="G64" s="193">
        <f>G65+G66+G77+G81+G84+G85+G92+G93+G94+G98</f>
        <v>400673225.26999998</v>
      </c>
      <c r="H64" s="193">
        <f>H65+H66+H77+H81+H84+H85+H92+H93+H94+H98</f>
        <v>297308735.95999998</v>
      </c>
      <c r="J64" s="183">
        <f>F64-НМЦК!M74</f>
        <v>0</v>
      </c>
    </row>
    <row r="65" spans="1:10" ht="31.5" x14ac:dyDescent="0.25">
      <c r="A65" s="135" t="s">
        <v>462</v>
      </c>
      <c r="B65" s="112" t="s">
        <v>21</v>
      </c>
      <c r="C65" s="94" t="s">
        <v>22</v>
      </c>
      <c r="D65" s="176" t="s">
        <v>513</v>
      </c>
      <c r="E65" s="176">
        <v>1</v>
      </c>
      <c r="F65" s="187">
        <f>НМЦК!M75</f>
        <v>330482.21999999997</v>
      </c>
      <c r="G65" s="187">
        <f>F65</f>
        <v>330482.21999999997</v>
      </c>
      <c r="H65" s="187"/>
    </row>
    <row r="66" spans="1:10" ht="47.25" x14ac:dyDescent="0.25">
      <c r="A66" s="135" t="s">
        <v>463</v>
      </c>
      <c r="B66" s="113" t="s">
        <v>41</v>
      </c>
      <c r="C66" s="105" t="s">
        <v>42</v>
      </c>
      <c r="D66" s="176" t="s">
        <v>513</v>
      </c>
      <c r="E66" s="176">
        <v>1</v>
      </c>
      <c r="F66" s="187">
        <f>F67+F68+F69+F70+F71+F72+F73+F74+F75+F76</f>
        <v>316971894.87</v>
      </c>
      <c r="G66" s="187">
        <f>G67+G68+G69+G70+G71+G72+G73+G74+G75+G76</f>
        <v>316971894.87</v>
      </c>
      <c r="H66" s="187">
        <f>H67+H68+H69+H70+H71+H72+H73+H74+H75+H76</f>
        <v>258271803.97999999</v>
      </c>
      <c r="J66" s="198">
        <f>F66-НМЦК!M76</f>
        <v>0</v>
      </c>
    </row>
    <row r="67" spans="1:10" ht="31.5" x14ac:dyDescent="0.25">
      <c r="A67" s="137" t="s">
        <v>464</v>
      </c>
      <c r="B67" s="111" t="s">
        <v>273</v>
      </c>
      <c r="C67" s="110" t="s">
        <v>330</v>
      </c>
      <c r="D67" s="177" t="s">
        <v>513</v>
      </c>
      <c r="E67" s="177">
        <v>1</v>
      </c>
      <c r="F67" s="188">
        <f>НМЦК!M77</f>
        <v>7970768.3200000003</v>
      </c>
      <c r="G67" s="188">
        <f>F67</f>
        <v>7970768.3200000003</v>
      </c>
      <c r="H67" s="188"/>
    </row>
    <row r="68" spans="1:10" ht="63" x14ac:dyDescent="0.25">
      <c r="A68" s="137" t="s">
        <v>465</v>
      </c>
      <c r="B68" s="111" t="s">
        <v>331</v>
      </c>
      <c r="C68" s="110" t="s">
        <v>332</v>
      </c>
      <c r="D68" s="177" t="s">
        <v>513</v>
      </c>
      <c r="E68" s="177">
        <v>1</v>
      </c>
      <c r="F68" s="188">
        <f>НМЦК!M78</f>
        <v>59407.49</v>
      </c>
      <c r="G68" s="188">
        <f t="shared" ref="G68:G83" si="4">F68</f>
        <v>59407.49</v>
      </c>
      <c r="H68" s="188"/>
    </row>
    <row r="69" spans="1:10" ht="47.25" x14ac:dyDescent="0.25">
      <c r="A69" s="137" t="s">
        <v>466</v>
      </c>
      <c r="B69" s="111" t="s">
        <v>333</v>
      </c>
      <c r="C69" s="110" t="s">
        <v>334</v>
      </c>
      <c r="D69" s="177" t="s">
        <v>513</v>
      </c>
      <c r="E69" s="177">
        <v>1</v>
      </c>
      <c r="F69" s="188">
        <f>НМЦК!M79</f>
        <v>466828.92</v>
      </c>
      <c r="G69" s="188">
        <f t="shared" si="4"/>
        <v>466828.92</v>
      </c>
      <c r="H69" s="188"/>
    </row>
    <row r="70" spans="1:10" ht="31.5" x14ac:dyDescent="0.25">
      <c r="A70" s="137" t="s">
        <v>467</v>
      </c>
      <c r="B70" s="111" t="s">
        <v>335</v>
      </c>
      <c r="C70" s="110" t="s">
        <v>336</v>
      </c>
      <c r="D70" s="177" t="s">
        <v>513</v>
      </c>
      <c r="E70" s="177">
        <v>1</v>
      </c>
      <c r="F70" s="188">
        <f>НМЦК!M80</f>
        <v>898613.49</v>
      </c>
      <c r="G70" s="188">
        <f t="shared" si="4"/>
        <v>898613.49</v>
      </c>
      <c r="H70" s="188">
        <f>НМЦК!E80*НМЦК!J80*НМЦК!L80</f>
        <v>291163.75</v>
      </c>
    </row>
    <row r="71" spans="1:10" ht="31.5" x14ac:dyDescent="0.25">
      <c r="A71" s="137" t="s">
        <v>468</v>
      </c>
      <c r="B71" s="111" t="s">
        <v>337</v>
      </c>
      <c r="C71" s="110" t="s">
        <v>338</v>
      </c>
      <c r="D71" s="177" t="s">
        <v>513</v>
      </c>
      <c r="E71" s="177">
        <v>1</v>
      </c>
      <c r="F71" s="188">
        <f>НМЦК!M81</f>
        <v>2173361.6800000002</v>
      </c>
      <c r="G71" s="188">
        <f t="shared" si="4"/>
        <v>2173361.6800000002</v>
      </c>
      <c r="H71" s="188">
        <f>НМЦК!E81*НМЦК!J81*НМЦК!L81</f>
        <v>759801.95</v>
      </c>
    </row>
    <row r="72" spans="1:10" ht="31.5" x14ac:dyDescent="0.25">
      <c r="A72" s="137" t="s">
        <v>469</v>
      </c>
      <c r="B72" s="111" t="s">
        <v>339</v>
      </c>
      <c r="C72" s="110" t="s">
        <v>340</v>
      </c>
      <c r="D72" s="177" t="s">
        <v>513</v>
      </c>
      <c r="E72" s="177">
        <v>1</v>
      </c>
      <c r="F72" s="188">
        <f>НМЦК!M82</f>
        <v>541769.86</v>
      </c>
      <c r="G72" s="188">
        <f t="shared" si="4"/>
        <v>541769.86</v>
      </c>
      <c r="H72" s="188">
        <f>НМЦК!E82*НМЦК!J82*НМЦК!L82</f>
        <v>18754.349999999999</v>
      </c>
    </row>
    <row r="73" spans="1:10" ht="47.25" x14ac:dyDescent="0.25">
      <c r="A73" s="137" t="s">
        <v>470</v>
      </c>
      <c r="B73" s="111" t="s">
        <v>341</v>
      </c>
      <c r="C73" s="110" t="s">
        <v>342</v>
      </c>
      <c r="D73" s="177" t="s">
        <v>513</v>
      </c>
      <c r="E73" s="177">
        <v>1</v>
      </c>
      <c r="F73" s="188">
        <f>НМЦК!M83</f>
        <v>46102721.450000003</v>
      </c>
      <c r="G73" s="188">
        <f t="shared" si="4"/>
        <v>46102721.450000003</v>
      </c>
      <c r="H73" s="188"/>
    </row>
    <row r="74" spans="1:10" ht="47.25" x14ac:dyDescent="0.25">
      <c r="A74" s="137" t="s">
        <v>471</v>
      </c>
      <c r="B74" s="111" t="s">
        <v>343</v>
      </c>
      <c r="C74" s="110" t="s">
        <v>344</v>
      </c>
      <c r="D74" s="177" t="s">
        <v>513</v>
      </c>
      <c r="E74" s="177">
        <v>1</v>
      </c>
      <c r="F74" s="188">
        <f>НМЦК!M84</f>
        <v>695664.92</v>
      </c>
      <c r="G74" s="188">
        <f t="shared" si="4"/>
        <v>695664.92</v>
      </c>
      <c r="H74" s="188">
        <f>НМЦК!E84*НМЦК!J84*НМЦК!L84</f>
        <v>102429.7</v>
      </c>
    </row>
    <row r="75" spans="1:10" ht="47.25" x14ac:dyDescent="0.25">
      <c r="A75" s="137" t="s">
        <v>472</v>
      </c>
      <c r="B75" s="111" t="s">
        <v>345</v>
      </c>
      <c r="C75" s="110" t="s">
        <v>346</v>
      </c>
      <c r="D75" s="177" t="s">
        <v>513</v>
      </c>
      <c r="E75" s="177">
        <v>1</v>
      </c>
      <c r="F75" s="188">
        <f>НМЦК!M85</f>
        <v>257099654.22999999</v>
      </c>
      <c r="G75" s="188">
        <f t="shared" si="4"/>
        <v>257099654.22999999</v>
      </c>
      <c r="H75" s="188">
        <f>НМЦК!E85*НМЦК!J85*НМЦК!L85</f>
        <v>257099654.22999999</v>
      </c>
    </row>
    <row r="76" spans="1:10" ht="47.25" x14ac:dyDescent="0.25">
      <c r="A76" s="137" t="s">
        <v>473</v>
      </c>
      <c r="B76" s="111" t="s">
        <v>347</v>
      </c>
      <c r="C76" s="110" t="s">
        <v>348</v>
      </c>
      <c r="D76" s="177" t="s">
        <v>513</v>
      </c>
      <c r="E76" s="177">
        <v>1</v>
      </c>
      <c r="F76" s="188">
        <f>НМЦК!M86</f>
        <v>963104.51</v>
      </c>
      <c r="G76" s="188">
        <f t="shared" si="4"/>
        <v>963104.51</v>
      </c>
      <c r="H76" s="188"/>
    </row>
    <row r="77" spans="1:10" ht="31.5" x14ac:dyDescent="0.25">
      <c r="A77" s="135" t="s">
        <v>474</v>
      </c>
      <c r="B77" s="113" t="s">
        <v>51</v>
      </c>
      <c r="C77" s="105" t="s">
        <v>52</v>
      </c>
      <c r="D77" s="176" t="s">
        <v>513</v>
      </c>
      <c r="E77" s="176">
        <v>1</v>
      </c>
      <c r="F77" s="187">
        <f>F78+F79+F80</f>
        <v>47683378.460000001</v>
      </c>
      <c r="G77" s="187">
        <f>G78+G79+G80</f>
        <v>47683378.460000001</v>
      </c>
      <c r="H77" s="187">
        <f>H78+H79+H80</f>
        <v>30101217.940000001</v>
      </c>
      <c r="J77" s="183">
        <f>F77-НМЦК!M87</f>
        <v>0</v>
      </c>
    </row>
    <row r="78" spans="1:10" ht="31.5" x14ac:dyDescent="0.25">
      <c r="A78" s="138" t="s">
        <v>475</v>
      </c>
      <c r="B78" s="111" t="s">
        <v>357</v>
      </c>
      <c r="C78" s="110" t="s">
        <v>358</v>
      </c>
      <c r="D78" s="177" t="s">
        <v>513</v>
      </c>
      <c r="E78" s="177">
        <v>1</v>
      </c>
      <c r="F78" s="188">
        <f>НМЦК!M88</f>
        <v>12035477.779999999</v>
      </c>
      <c r="G78" s="188">
        <f t="shared" si="4"/>
        <v>12035477.779999999</v>
      </c>
      <c r="H78" s="188"/>
    </row>
    <row r="79" spans="1:10" ht="31.5" x14ac:dyDescent="0.25">
      <c r="A79" s="138" t="s">
        <v>476</v>
      </c>
      <c r="B79" s="111" t="s">
        <v>359</v>
      </c>
      <c r="C79" s="110" t="s">
        <v>360</v>
      </c>
      <c r="D79" s="177" t="s">
        <v>513</v>
      </c>
      <c r="E79" s="177">
        <v>1</v>
      </c>
      <c r="F79" s="188">
        <f>НМЦК!M89</f>
        <v>2344086.2999999998</v>
      </c>
      <c r="G79" s="188">
        <f t="shared" si="4"/>
        <v>2344086.2999999998</v>
      </c>
      <c r="H79" s="188">
        <f>НМЦК!E89*НМЦК!J89*НМЦК!L89</f>
        <v>35586.39</v>
      </c>
    </row>
    <row r="80" spans="1:10" ht="15.75" x14ac:dyDescent="0.25">
      <c r="A80" s="138" t="s">
        <v>477</v>
      </c>
      <c r="B80" s="111" t="s">
        <v>361</v>
      </c>
      <c r="C80" s="110" t="s">
        <v>362</v>
      </c>
      <c r="D80" s="177" t="s">
        <v>513</v>
      </c>
      <c r="E80" s="177">
        <v>1</v>
      </c>
      <c r="F80" s="188">
        <f>НМЦК!M90</f>
        <v>33303814.379999999</v>
      </c>
      <c r="G80" s="188">
        <f t="shared" si="4"/>
        <v>33303814.379999999</v>
      </c>
      <c r="H80" s="188">
        <f>НМЦК!E90*НМЦК!J90*НМЦК!L90</f>
        <v>30065631.550000001</v>
      </c>
    </row>
    <row r="81" spans="1:10" ht="47.25" x14ac:dyDescent="0.25">
      <c r="A81" s="72" t="s">
        <v>478</v>
      </c>
      <c r="B81" s="113" t="s">
        <v>61</v>
      </c>
      <c r="C81" s="105" t="s">
        <v>62</v>
      </c>
      <c r="D81" s="176" t="s">
        <v>513</v>
      </c>
      <c r="E81" s="176">
        <v>1</v>
      </c>
      <c r="F81" s="187">
        <f>F82+F83</f>
        <v>10038290.199999999</v>
      </c>
      <c r="G81" s="187">
        <f>G82+G83</f>
        <v>10038290.199999999</v>
      </c>
      <c r="H81" s="187">
        <f>H82+H83</f>
        <v>276236.28999999998</v>
      </c>
      <c r="J81" s="183">
        <f>F81-НМЦК!M91</f>
        <v>0</v>
      </c>
    </row>
    <row r="82" spans="1:10" ht="31.5" x14ac:dyDescent="0.25">
      <c r="A82" s="74" t="s">
        <v>479</v>
      </c>
      <c r="B82" s="111" t="s">
        <v>367</v>
      </c>
      <c r="C82" s="110" t="s">
        <v>364</v>
      </c>
      <c r="D82" s="177" t="s">
        <v>513</v>
      </c>
      <c r="E82" s="177">
        <v>1</v>
      </c>
      <c r="F82" s="188">
        <f>НМЦК!M92</f>
        <v>7878249.4500000002</v>
      </c>
      <c r="G82" s="188">
        <f t="shared" si="4"/>
        <v>7878249.4500000002</v>
      </c>
      <c r="H82" s="188"/>
    </row>
    <row r="83" spans="1:10" ht="31.5" x14ac:dyDescent="0.25">
      <c r="A83" s="74" t="s">
        <v>480</v>
      </c>
      <c r="B83" s="111" t="s">
        <v>368</v>
      </c>
      <c r="C83" s="110" t="s">
        <v>369</v>
      </c>
      <c r="D83" s="177" t="s">
        <v>513</v>
      </c>
      <c r="E83" s="177">
        <v>1</v>
      </c>
      <c r="F83" s="188">
        <f>НМЦК!M93</f>
        <v>2160040.75</v>
      </c>
      <c r="G83" s="188">
        <f t="shared" si="4"/>
        <v>2160040.75</v>
      </c>
      <c r="H83" s="188">
        <f>НМЦК!E93*НМЦК!J93*НМЦК!L93</f>
        <v>276236.28999999998</v>
      </c>
    </row>
    <row r="84" spans="1:10" ht="15.75" x14ac:dyDescent="0.25">
      <c r="A84" s="139" t="s">
        <v>481</v>
      </c>
      <c r="B84" s="113" t="s">
        <v>71</v>
      </c>
      <c r="C84" s="105" t="s">
        <v>72</v>
      </c>
      <c r="D84" s="176" t="s">
        <v>513</v>
      </c>
      <c r="E84" s="176">
        <v>1</v>
      </c>
      <c r="F84" s="187">
        <f>НМЦК!M94</f>
        <v>7015634.4199999999</v>
      </c>
      <c r="G84" s="187">
        <f>F84</f>
        <v>7015634.4199999999</v>
      </c>
      <c r="H84" s="187"/>
    </row>
    <row r="85" spans="1:10" ht="31.5" x14ac:dyDescent="0.25">
      <c r="A85" s="72" t="s">
        <v>482</v>
      </c>
      <c r="B85" s="113" t="s">
        <v>107</v>
      </c>
      <c r="C85" s="105" t="s">
        <v>108</v>
      </c>
      <c r="D85" s="176" t="s">
        <v>513</v>
      </c>
      <c r="E85" s="176">
        <v>1</v>
      </c>
      <c r="F85" s="187">
        <f>F86+F87+F88+F89+F90+F91</f>
        <v>2988280.14</v>
      </c>
      <c r="G85" s="187">
        <f>G86+G87+G88+G89+G90+G91</f>
        <v>2988280.14</v>
      </c>
      <c r="H85" s="187"/>
      <c r="J85" s="183">
        <f>F85-НМЦК!M95</f>
        <v>0</v>
      </c>
    </row>
    <row r="86" spans="1:10" ht="31.5" x14ac:dyDescent="0.25">
      <c r="A86" s="74" t="s">
        <v>483</v>
      </c>
      <c r="B86" s="120" t="s">
        <v>387</v>
      </c>
      <c r="C86" s="121" t="s">
        <v>388</v>
      </c>
      <c r="D86" s="177" t="s">
        <v>513</v>
      </c>
      <c r="E86" s="177">
        <v>1</v>
      </c>
      <c r="F86" s="188">
        <f>НМЦК!M96</f>
        <v>62224.639999999999</v>
      </c>
      <c r="G86" s="188">
        <f t="shared" ref="G86:G91" si="5">F86</f>
        <v>62224.639999999999</v>
      </c>
      <c r="H86" s="188"/>
    </row>
    <row r="87" spans="1:10" ht="31.5" x14ac:dyDescent="0.25">
      <c r="A87" s="74" t="s">
        <v>484</v>
      </c>
      <c r="B87" s="120" t="s">
        <v>389</v>
      </c>
      <c r="C87" s="121" t="s">
        <v>390</v>
      </c>
      <c r="D87" s="177" t="s">
        <v>513</v>
      </c>
      <c r="E87" s="177">
        <v>1</v>
      </c>
      <c r="F87" s="188">
        <f>НМЦК!M97</f>
        <v>8255.14</v>
      </c>
      <c r="G87" s="188">
        <f t="shared" si="5"/>
        <v>8255.14</v>
      </c>
      <c r="H87" s="188"/>
    </row>
    <row r="88" spans="1:10" ht="31.5" x14ac:dyDescent="0.25">
      <c r="A88" s="74" t="s">
        <v>485</v>
      </c>
      <c r="B88" s="120" t="s">
        <v>391</v>
      </c>
      <c r="C88" s="121" t="s">
        <v>392</v>
      </c>
      <c r="D88" s="177" t="s">
        <v>513</v>
      </c>
      <c r="E88" s="177">
        <v>1</v>
      </c>
      <c r="F88" s="188">
        <f>НМЦК!M98</f>
        <v>515160.43</v>
      </c>
      <c r="G88" s="188">
        <f t="shared" si="5"/>
        <v>515160.43</v>
      </c>
      <c r="H88" s="188"/>
    </row>
    <row r="89" spans="1:10" ht="31.5" x14ac:dyDescent="0.25">
      <c r="A89" s="74" t="s">
        <v>486</v>
      </c>
      <c r="B89" s="120" t="s">
        <v>393</v>
      </c>
      <c r="C89" s="121" t="s">
        <v>394</v>
      </c>
      <c r="D89" s="177" t="s">
        <v>513</v>
      </c>
      <c r="E89" s="177">
        <v>1</v>
      </c>
      <c r="F89" s="188">
        <f>НМЦК!M99</f>
        <v>451206.54</v>
      </c>
      <c r="G89" s="188">
        <f t="shared" si="5"/>
        <v>451206.54</v>
      </c>
      <c r="H89" s="188"/>
    </row>
    <row r="90" spans="1:10" ht="47.25" x14ac:dyDescent="0.25">
      <c r="A90" s="74" t="s">
        <v>487</v>
      </c>
      <c r="B90" s="120" t="s">
        <v>395</v>
      </c>
      <c r="C90" s="121" t="s">
        <v>396</v>
      </c>
      <c r="D90" s="177" t="s">
        <v>513</v>
      </c>
      <c r="E90" s="177">
        <v>1</v>
      </c>
      <c r="F90" s="188">
        <f>НМЦК!M100</f>
        <v>1738910.83</v>
      </c>
      <c r="G90" s="188">
        <f t="shared" si="5"/>
        <v>1738910.83</v>
      </c>
      <c r="H90" s="188"/>
    </row>
    <row r="91" spans="1:10" ht="47.25" x14ac:dyDescent="0.25">
      <c r="A91" s="74" t="s">
        <v>488</v>
      </c>
      <c r="B91" s="120" t="s">
        <v>397</v>
      </c>
      <c r="C91" s="121" t="s">
        <v>398</v>
      </c>
      <c r="D91" s="177" t="s">
        <v>513</v>
      </c>
      <c r="E91" s="177">
        <v>1</v>
      </c>
      <c r="F91" s="188">
        <f>НМЦК!M101</f>
        <v>212522.56</v>
      </c>
      <c r="G91" s="188">
        <f t="shared" si="5"/>
        <v>212522.56</v>
      </c>
      <c r="H91" s="188"/>
    </row>
    <row r="92" spans="1:10" ht="31.5" x14ac:dyDescent="0.25">
      <c r="A92" s="139" t="s">
        <v>489</v>
      </c>
      <c r="B92" s="113" t="s">
        <v>123</v>
      </c>
      <c r="C92" s="105" t="s">
        <v>124</v>
      </c>
      <c r="D92" s="176" t="s">
        <v>513</v>
      </c>
      <c r="E92" s="176">
        <v>1</v>
      </c>
      <c r="F92" s="187">
        <f>НМЦК!M102</f>
        <v>79176.84</v>
      </c>
      <c r="G92" s="187">
        <f>F92</f>
        <v>79176.84</v>
      </c>
      <c r="H92" s="187"/>
    </row>
    <row r="93" spans="1:10" ht="31.5" x14ac:dyDescent="0.25">
      <c r="A93" s="139" t="s">
        <v>490</v>
      </c>
      <c r="B93" s="113" t="s">
        <v>131</v>
      </c>
      <c r="C93" s="105" t="s">
        <v>132</v>
      </c>
      <c r="D93" s="176" t="s">
        <v>513</v>
      </c>
      <c r="E93" s="176">
        <v>1</v>
      </c>
      <c r="F93" s="187">
        <f>НМЦК!M103</f>
        <v>129316.32</v>
      </c>
      <c r="G93" s="187">
        <f>F93</f>
        <v>129316.32</v>
      </c>
      <c r="H93" s="187"/>
    </row>
    <row r="94" spans="1:10" ht="47.25" x14ac:dyDescent="0.25">
      <c r="A94" s="72" t="s">
        <v>491</v>
      </c>
      <c r="B94" s="113" t="s">
        <v>141</v>
      </c>
      <c r="C94" s="105" t="s">
        <v>142</v>
      </c>
      <c r="D94" s="176" t="s">
        <v>513</v>
      </c>
      <c r="E94" s="176">
        <v>1</v>
      </c>
      <c r="F94" s="187">
        <f>F95+F96+F97</f>
        <v>3766677.86</v>
      </c>
      <c r="G94" s="187">
        <f>G95+G96+G97</f>
        <v>3766677.86</v>
      </c>
      <c r="H94" s="187"/>
      <c r="J94" s="183">
        <f>F94-НМЦК!M104</f>
        <v>0</v>
      </c>
    </row>
    <row r="95" spans="1:10" ht="31.5" x14ac:dyDescent="0.25">
      <c r="A95" s="74" t="s">
        <v>492</v>
      </c>
      <c r="B95" s="126"/>
      <c r="C95" s="125" t="s">
        <v>399</v>
      </c>
      <c r="D95" s="177" t="s">
        <v>513</v>
      </c>
      <c r="E95" s="177">
        <v>1</v>
      </c>
      <c r="F95" s="188">
        <f>НМЦК!M105</f>
        <v>71494.87</v>
      </c>
      <c r="G95" s="188">
        <f t="shared" ref="G95:G97" si="6">F95</f>
        <v>71494.87</v>
      </c>
      <c r="H95" s="188"/>
    </row>
    <row r="96" spans="1:10" ht="15.75" x14ac:dyDescent="0.25">
      <c r="A96" s="74" t="s">
        <v>493</v>
      </c>
      <c r="B96" s="126"/>
      <c r="C96" s="125" t="s">
        <v>401</v>
      </c>
      <c r="D96" s="177" t="s">
        <v>513</v>
      </c>
      <c r="E96" s="177">
        <v>1</v>
      </c>
      <c r="F96" s="188">
        <f>НМЦК!M106</f>
        <v>2611582.9900000002</v>
      </c>
      <c r="G96" s="188">
        <f t="shared" si="6"/>
        <v>2611582.9900000002</v>
      </c>
      <c r="H96" s="188"/>
    </row>
    <row r="97" spans="1:10" ht="31.5" x14ac:dyDescent="0.25">
      <c r="A97" s="74" t="s">
        <v>494</v>
      </c>
      <c r="B97" s="113"/>
      <c r="C97" s="125" t="s">
        <v>400</v>
      </c>
      <c r="D97" s="177" t="s">
        <v>513</v>
      </c>
      <c r="E97" s="177">
        <v>1</v>
      </c>
      <c r="F97" s="188">
        <f>НМЦК!M107</f>
        <v>1083600</v>
      </c>
      <c r="G97" s="188">
        <f t="shared" si="6"/>
        <v>1083600</v>
      </c>
      <c r="H97" s="188"/>
    </row>
    <row r="98" spans="1:10" ht="31.5" x14ac:dyDescent="0.25">
      <c r="A98" s="72" t="s">
        <v>495</v>
      </c>
      <c r="B98" s="178" t="s">
        <v>197</v>
      </c>
      <c r="C98" s="178" t="s">
        <v>409</v>
      </c>
      <c r="D98" s="176" t="s">
        <v>513</v>
      </c>
      <c r="E98" s="176">
        <v>1</v>
      </c>
      <c r="F98" s="187">
        <f>НМЦК!M108</f>
        <v>11670093.939999999</v>
      </c>
      <c r="G98" s="187">
        <f>F98</f>
        <v>11670093.939999999</v>
      </c>
      <c r="H98" s="187">
        <f>(H66+H77+H81)*0.03</f>
        <v>8659477.75</v>
      </c>
    </row>
    <row r="99" spans="1:10" ht="15.75" x14ac:dyDescent="0.25">
      <c r="A99" s="142"/>
      <c r="B99" s="143"/>
      <c r="C99" s="145" t="s">
        <v>496</v>
      </c>
      <c r="D99" s="196"/>
      <c r="E99" s="196"/>
      <c r="F99" s="196"/>
      <c r="G99" s="195">
        <f>G61+G64</f>
        <v>410846576.08999997</v>
      </c>
      <c r="H99" s="195">
        <f>H61+H64</f>
        <v>297308735.95999998</v>
      </c>
      <c r="J99" s="183">
        <f>G99-НМЦК!M109</f>
        <v>0</v>
      </c>
    </row>
    <row r="100" spans="1:10" ht="15.75" x14ac:dyDescent="0.25">
      <c r="A100" s="142"/>
      <c r="B100" s="143"/>
      <c r="C100" s="145" t="s">
        <v>275</v>
      </c>
      <c r="D100" s="196"/>
      <c r="E100" s="196"/>
      <c r="F100" s="196"/>
      <c r="G100" s="195">
        <f>G99*0.2</f>
        <v>82169315.219999999</v>
      </c>
      <c r="H100" s="195">
        <f>H99*0.2</f>
        <v>59461747.189999998</v>
      </c>
      <c r="J100" s="183">
        <f>G100-НМЦК!M110</f>
        <v>0</v>
      </c>
    </row>
    <row r="101" spans="1:10" ht="15.75" x14ac:dyDescent="0.25">
      <c r="A101" s="142"/>
      <c r="B101" s="143"/>
      <c r="C101" s="145" t="s">
        <v>497</v>
      </c>
      <c r="D101" s="196"/>
      <c r="E101" s="196"/>
      <c r="F101" s="196"/>
      <c r="G101" s="195">
        <f>G99+G100</f>
        <v>493015891.31</v>
      </c>
      <c r="H101" s="195">
        <f>H99+H100</f>
        <v>356770483.14999998</v>
      </c>
      <c r="J101" s="183">
        <f>G101-НМЦК!M111</f>
        <v>0</v>
      </c>
    </row>
    <row r="102" spans="1:10" ht="15.75" x14ac:dyDescent="0.25">
      <c r="A102" s="146"/>
      <c r="B102" s="147"/>
      <c r="C102" s="149" t="s">
        <v>498</v>
      </c>
      <c r="D102" s="199"/>
      <c r="E102" s="199"/>
      <c r="F102" s="199"/>
      <c r="G102" s="200">
        <f t="shared" ref="G102:H104" si="7">G57+G99</f>
        <v>1049534143.3</v>
      </c>
      <c r="H102" s="200">
        <f t="shared" si="7"/>
        <v>741169430.30999994</v>
      </c>
      <c r="J102" s="183">
        <f>G102-НМЦК!M112</f>
        <v>0</v>
      </c>
    </row>
    <row r="103" spans="1:10" ht="15.75" x14ac:dyDescent="0.25">
      <c r="A103" s="146"/>
      <c r="B103" s="147"/>
      <c r="C103" s="150" t="s">
        <v>275</v>
      </c>
      <c r="D103" s="199"/>
      <c r="E103" s="199"/>
      <c r="F103" s="199"/>
      <c r="G103" s="200">
        <f t="shared" si="7"/>
        <v>209906828.66</v>
      </c>
      <c r="H103" s="200">
        <f t="shared" si="7"/>
        <v>148233886.06</v>
      </c>
      <c r="J103" s="183">
        <f>G103-НМЦК!M113</f>
        <v>0</v>
      </c>
    </row>
    <row r="104" spans="1:10" ht="15.75" x14ac:dyDescent="0.25">
      <c r="A104" s="146"/>
      <c r="B104" s="147"/>
      <c r="C104" s="149" t="s">
        <v>499</v>
      </c>
      <c r="D104" s="199"/>
      <c r="E104" s="199"/>
      <c r="F104" s="199"/>
      <c r="G104" s="200">
        <f t="shared" si="7"/>
        <v>1259440971.96</v>
      </c>
      <c r="H104" s="200">
        <f t="shared" si="7"/>
        <v>889403316.37</v>
      </c>
      <c r="J104" s="183">
        <f>G104-НМЦК!M114</f>
        <v>0</v>
      </c>
    </row>
    <row r="110" spans="1:10" ht="54" customHeight="1" x14ac:dyDescent="0.25">
      <c r="A110" s="309" t="s">
        <v>590</v>
      </c>
      <c r="B110" s="309"/>
      <c r="C110" s="309"/>
      <c r="D110" s="309"/>
      <c r="E110" s="309"/>
      <c r="F110" s="309"/>
      <c r="H110" s="255" t="s">
        <v>542</v>
      </c>
    </row>
    <row r="113" spans="4:8" x14ac:dyDescent="0.25">
      <c r="E113" s="339" t="s">
        <v>592</v>
      </c>
      <c r="F113" s="339"/>
      <c r="G113" s="339"/>
      <c r="H113" s="339"/>
    </row>
    <row r="114" spans="4:8" x14ac:dyDescent="0.25">
      <c r="D114" s="342" t="s">
        <v>594</v>
      </c>
      <c r="E114" s="343"/>
      <c r="F114" s="343"/>
      <c r="G114" s="265"/>
      <c r="H114" s="266"/>
    </row>
    <row r="115" spans="4:8" ht="33.75" customHeight="1" x14ac:dyDescent="0.25">
      <c r="D115" s="340" t="s">
        <v>593</v>
      </c>
      <c r="E115" s="341"/>
      <c r="F115" s="341"/>
      <c r="G115" s="267">
        <f>G11*1.2</f>
        <v>734328099.23000002</v>
      </c>
      <c r="H115" s="268" t="s">
        <v>595</v>
      </c>
    </row>
    <row r="116" spans="4:8" ht="58.5" customHeight="1" x14ac:dyDescent="0.25">
      <c r="D116" s="346" t="s">
        <v>597</v>
      </c>
      <c r="E116" s="347"/>
      <c r="F116" s="347"/>
      <c r="G116" s="267"/>
      <c r="H116" s="268"/>
    </row>
    <row r="117" spans="4:8" x14ac:dyDescent="0.25">
      <c r="D117" s="344" t="s">
        <v>596</v>
      </c>
      <c r="E117" s="345"/>
      <c r="F117" s="345"/>
      <c r="G117" s="269">
        <v>1.2800000000000001E-2</v>
      </c>
      <c r="H117" s="270"/>
    </row>
    <row r="118" spans="4:8" x14ac:dyDescent="0.25">
      <c r="D118" s="348" t="s">
        <v>600</v>
      </c>
      <c r="E118" s="348"/>
      <c r="F118" s="348"/>
      <c r="G118" s="197">
        <f>G115*G117</f>
        <v>9399399.6699999999</v>
      </c>
      <c r="H118" s="258" t="s">
        <v>595</v>
      </c>
    </row>
    <row r="119" spans="4:8" x14ac:dyDescent="0.25">
      <c r="D119" s="349" t="s">
        <v>598</v>
      </c>
      <c r="E119" s="350"/>
      <c r="F119" s="350"/>
      <c r="G119" s="271"/>
      <c r="H119" s="270"/>
    </row>
    <row r="120" spans="4:8" ht="34.5" customHeight="1" x14ac:dyDescent="0.25">
      <c r="D120" s="340" t="s">
        <v>599</v>
      </c>
      <c r="E120" s="341"/>
      <c r="F120" s="341"/>
      <c r="G120" s="267">
        <f>G64*1.2</f>
        <v>480807870.31999999</v>
      </c>
      <c r="H120" s="268" t="s">
        <v>595</v>
      </c>
    </row>
    <row r="121" spans="4:8" x14ac:dyDescent="0.25">
      <c r="D121" s="344" t="s">
        <v>596</v>
      </c>
      <c r="E121" s="345"/>
      <c r="F121" s="345"/>
      <c r="G121" s="269">
        <v>1.2800000000000001E-2</v>
      </c>
      <c r="H121" s="270"/>
    </row>
    <row r="122" spans="4:8" x14ac:dyDescent="0.25">
      <c r="D122" s="348" t="s">
        <v>601</v>
      </c>
      <c r="E122" s="348"/>
      <c r="F122" s="348"/>
      <c r="G122" s="197">
        <f>G120*G121</f>
        <v>6154340.7400000002</v>
      </c>
      <c r="H122" s="258" t="s">
        <v>595</v>
      </c>
    </row>
    <row r="123" spans="4:8" x14ac:dyDescent="0.25">
      <c r="D123" s="336" t="s">
        <v>602</v>
      </c>
      <c r="E123" s="337"/>
      <c r="F123" s="338"/>
      <c r="G123" s="259">
        <f>G118+G122</f>
        <v>15553740.41</v>
      </c>
      <c r="H123" s="260" t="s">
        <v>595</v>
      </c>
    </row>
  </sheetData>
  <mergeCells count="21">
    <mergeCell ref="D123:F123"/>
    <mergeCell ref="A110:F110"/>
    <mergeCell ref="E113:H113"/>
    <mergeCell ref="D115:F115"/>
    <mergeCell ref="D114:F114"/>
    <mergeCell ref="D117:F117"/>
    <mergeCell ref="D116:F116"/>
    <mergeCell ref="D118:F118"/>
    <mergeCell ref="D119:F119"/>
    <mergeCell ref="D120:F120"/>
    <mergeCell ref="D121:F121"/>
    <mergeCell ref="D122:F122"/>
    <mergeCell ref="A1:H1"/>
    <mergeCell ref="A2:H2"/>
    <mergeCell ref="A4:A5"/>
    <mergeCell ref="B4:B5"/>
    <mergeCell ref="C4:C5"/>
    <mergeCell ref="D4:D5"/>
    <mergeCell ref="E4:E5"/>
    <mergeCell ref="F4:G4"/>
    <mergeCell ref="H4:H5"/>
  </mergeCells>
  <pageMargins left="0.7" right="0.7" top="0.75" bottom="0.75" header="0.3" footer="0.3"/>
  <pageSetup paperSize="9" scale="51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opLeftCell="A72" workbookViewId="0">
      <selection sqref="A1:E99"/>
    </sheetView>
  </sheetViews>
  <sheetFormatPr defaultRowHeight="15" x14ac:dyDescent="0.25"/>
  <cols>
    <col min="2" max="2" width="28" customWidth="1"/>
    <col min="3" max="3" width="55" customWidth="1"/>
    <col min="4" max="4" width="14.85546875" customWidth="1"/>
    <col min="5" max="5" width="21.140625" customWidth="1"/>
  </cols>
  <sheetData>
    <row r="1" spans="1:5" ht="15.75" x14ac:dyDescent="0.25">
      <c r="A1" s="326" t="s">
        <v>508</v>
      </c>
      <c r="B1" s="326"/>
      <c r="C1" s="326"/>
      <c r="D1" s="326"/>
      <c r="E1" s="326"/>
    </row>
    <row r="2" spans="1:5" ht="51" customHeight="1" x14ac:dyDescent="0.25">
      <c r="A2" s="326" t="str">
        <f>НМЦ!A3</f>
        <v>по объекту «Всесезонный туристско- рекреационный комплекс «Эльбрус», Кабардино-Балкарская Республика. Система искусственного снегообразования» (Этап 1, Этап 2)</v>
      </c>
      <c r="B2" s="326"/>
      <c r="C2" s="326"/>
      <c r="D2" s="326"/>
      <c r="E2" s="326"/>
    </row>
    <row r="3" spans="1:5" ht="15.75" x14ac:dyDescent="0.25">
      <c r="A3" s="59"/>
      <c r="B3" s="60"/>
      <c r="C3" s="61"/>
      <c r="D3" s="61"/>
      <c r="E3" s="61"/>
    </row>
    <row r="4" spans="1:5" ht="56.25" customHeight="1" x14ac:dyDescent="0.25">
      <c r="A4" s="327" t="s">
        <v>250</v>
      </c>
      <c r="B4" s="329" t="s">
        <v>509</v>
      </c>
      <c r="C4" s="330" t="s">
        <v>510</v>
      </c>
      <c r="D4" s="332" t="s">
        <v>511</v>
      </c>
      <c r="E4" s="332" t="s">
        <v>512</v>
      </c>
    </row>
    <row r="5" spans="1:5" ht="102" customHeight="1" x14ac:dyDescent="0.25">
      <c r="A5" s="328"/>
      <c r="B5" s="329"/>
      <c r="C5" s="331"/>
      <c r="D5" s="333"/>
      <c r="E5" s="333"/>
    </row>
    <row r="6" spans="1:5" ht="15.75" x14ac:dyDescent="0.25">
      <c r="A6" s="171">
        <v>1</v>
      </c>
      <c r="B6" s="171"/>
      <c r="C6" s="172">
        <v>2</v>
      </c>
      <c r="D6" s="173">
        <v>3</v>
      </c>
      <c r="E6" s="173">
        <v>4</v>
      </c>
    </row>
    <row r="7" spans="1:5" ht="30.75" customHeight="1" x14ac:dyDescent="0.25">
      <c r="A7" s="95">
        <v>1</v>
      </c>
      <c r="B7" s="95"/>
      <c r="C7" s="95" t="s">
        <v>303</v>
      </c>
      <c r="D7" s="175"/>
      <c r="E7" s="175"/>
    </row>
    <row r="8" spans="1:5" ht="30.75" customHeight="1" x14ac:dyDescent="0.25">
      <c r="A8" s="132" t="s">
        <v>260</v>
      </c>
      <c r="B8" s="128"/>
      <c r="C8" s="128" t="s">
        <v>174</v>
      </c>
      <c r="D8" s="174"/>
      <c r="E8" s="174"/>
    </row>
    <row r="9" spans="1:5" ht="30.75" customHeight="1" x14ac:dyDescent="0.25">
      <c r="A9" s="134" t="s">
        <v>406</v>
      </c>
      <c r="B9" s="118" t="s">
        <v>404</v>
      </c>
      <c r="C9" s="130" t="s">
        <v>402</v>
      </c>
      <c r="D9" s="176" t="s">
        <v>513</v>
      </c>
      <c r="E9" s="176">
        <v>1</v>
      </c>
    </row>
    <row r="10" spans="1:5" ht="30.75" customHeight="1" x14ac:dyDescent="0.25">
      <c r="A10" s="134" t="s">
        <v>407</v>
      </c>
      <c r="B10" s="73" t="s">
        <v>197</v>
      </c>
      <c r="C10" s="73" t="s">
        <v>408</v>
      </c>
      <c r="D10" s="176" t="s">
        <v>513</v>
      </c>
      <c r="E10" s="176">
        <v>1</v>
      </c>
    </row>
    <row r="11" spans="1:5" ht="30.75" customHeight="1" x14ac:dyDescent="0.25">
      <c r="A11" s="132" t="s">
        <v>261</v>
      </c>
      <c r="B11" s="128"/>
      <c r="C11" s="128" t="s">
        <v>405</v>
      </c>
      <c r="D11" s="174"/>
      <c r="E11" s="174"/>
    </row>
    <row r="12" spans="1:5" ht="31.5" x14ac:dyDescent="0.25">
      <c r="A12" s="135" t="s">
        <v>410</v>
      </c>
      <c r="B12" s="112" t="s">
        <v>19</v>
      </c>
      <c r="C12" s="94" t="s">
        <v>20</v>
      </c>
      <c r="D12" s="176" t="s">
        <v>513</v>
      </c>
      <c r="E12" s="176">
        <v>1</v>
      </c>
    </row>
    <row r="13" spans="1:5" ht="31.5" x14ac:dyDescent="0.25">
      <c r="A13" s="136" t="s">
        <v>411</v>
      </c>
      <c r="B13" s="113" t="s">
        <v>28</v>
      </c>
      <c r="C13" s="105" t="s">
        <v>29</v>
      </c>
      <c r="D13" s="176" t="s">
        <v>513</v>
      </c>
      <c r="E13" s="176">
        <v>1</v>
      </c>
    </row>
    <row r="14" spans="1:5" ht="36" customHeight="1" x14ac:dyDescent="0.25">
      <c r="A14" s="135" t="s">
        <v>412</v>
      </c>
      <c r="B14" s="113" t="s">
        <v>30</v>
      </c>
      <c r="C14" s="105" t="s">
        <v>31</v>
      </c>
      <c r="D14" s="176" t="s">
        <v>513</v>
      </c>
      <c r="E14" s="176">
        <v>1</v>
      </c>
    </row>
    <row r="15" spans="1:5" ht="42" customHeight="1" x14ac:dyDescent="0.25">
      <c r="A15" s="135" t="s">
        <v>413</v>
      </c>
      <c r="B15" s="113" t="s">
        <v>39</v>
      </c>
      <c r="C15" s="105" t="s">
        <v>40</v>
      </c>
      <c r="D15" s="176" t="s">
        <v>513</v>
      </c>
      <c r="E15" s="176">
        <v>1</v>
      </c>
    </row>
    <row r="16" spans="1:5" ht="31.5" x14ac:dyDescent="0.25">
      <c r="A16" s="137" t="s">
        <v>414</v>
      </c>
      <c r="B16" s="111" t="s">
        <v>264</v>
      </c>
      <c r="C16" s="110" t="s">
        <v>309</v>
      </c>
      <c r="D16" s="177" t="s">
        <v>513</v>
      </c>
      <c r="E16" s="177">
        <v>1</v>
      </c>
    </row>
    <row r="17" spans="1:5" ht="31.5" x14ac:dyDescent="0.25">
      <c r="A17" s="137" t="s">
        <v>415</v>
      </c>
      <c r="B17" s="111" t="s">
        <v>310</v>
      </c>
      <c r="C17" s="110" t="s">
        <v>311</v>
      </c>
      <c r="D17" s="177" t="s">
        <v>513</v>
      </c>
      <c r="E17" s="177">
        <v>1</v>
      </c>
    </row>
    <row r="18" spans="1:5" ht="47.25" x14ac:dyDescent="0.25">
      <c r="A18" s="137" t="s">
        <v>416</v>
      </c>
      <c r="B18" s="111" t="s">
        <v>265</v>
      </c>
      <c r="C18" s="110" t="s">
        <v>312</v>
      </c>
      <c r="D18" s="177" t="s">
        <v>513</v>
      </c>
      <c r="E18" s="177">
        <v>1</v>
      </c>
    </row>
    <row r="19" spans="1:5" ht="63" x14ac:dyDescent="0.25">
      <c r="A19" s="137" t="s">
        <v>417</v>
      </c>
      <c r="B19" s="111" t="s">
        <v>313</v>
      </c>
      <c r="C19" s="110" t="s">
        <v>314</v>
      </c>
      <c r="D19" s="177" t="s">
        <v>513</v>
      </c>
      <c r="E19" s="177">
        <v>1</v>
      </c>
    </row>
    <row r="20" spans="1:5" ht="31.5" x14ac:dyDescent="0.25">
      <c r="A20" s="137" t="s">
        <v>418</v>
      </c>
      <c r="B20" s="111" t="s">
        <v>266</v>
      </c>
      <c r="C20" s="110" t="s">
        <v>315</v>
      </c>
      <c r="D20" s="177" t="s">
        <v>513</v>
      </c>
      <c r="E20" s="177">
        <v>1</v>
      </c>
    </row>
    <row r="21" spans="1:5" ht="31.5" x14ac:dyDescent="0.25">
      <c r="A21" s="137" t="s">
        <v>419</v>
      </c>
      <c r="B21" s="111" t="s">
        <v>267</v>
      </c>
      <c r="C21" s="110" t="s">
        <v>316</v>
      </c>
      <c r="D21" s="177" t="s">
        <v>513</v>
      </c>
      <c r="E21" s="177">
        <v>1</v>
      </c>
    </row>
    <row r="22" spans="1:5" ht="21" customHeight="1" x14ac:dyDescent="0.25">
      <c r="A22" s="137" t="s">
        <v>420</v>
      </c>
      <c r="B22" s="111" t="s">
        <v>268</v>
      </c>
      <c r="C22" s="110" t="s">
        <v>317</v>
      </c>
      <c r="D22" s="177" t="s">
        <v>513</v>
      </c>
      <c r="E22" s="177">
        <v>1</v>
      </c>
    </row>
    <row r="23" spans="1:5" ht="31.5" x14ac:dyDescent="0.25">
      <c r="A23" s="137" t="s">
        <v>421</v>
      </c>
      <c r="B23" s="111" t="s">
        <v>269</v>
      </c>
      <c r="C23" s="110" t="s">
        <v>318</v>
      </c>
      <c r="D23" s="177" t="s">
        <v>513</v>
      </c>
      <c r="E23" s="177">
        <v>1</v>
      </c>
    </row>
    <row r="24" spans="1:5" ht="31.5" x14ac:dyDescent="0.25">
      <c r="A24" s="137" t="s">
        <v>422</v>
      </c>
      <c r="B24" s="111" t="s">
        <v>270</v>
      </c>
      <c r="C24" s="110" t="s">
        <v>319</v>
      </c>
      <c r="D24" s="177" t="s">
        <v>513</v>
      </c>
      <c r="E24" s="177">
        <v>1</v>
      </c>
    </row>
    <row r="25" spans="1:5" ht="31.5" x14ac:dyDescent="0.25">
      <c r="A25" s="137" t="s">
        <v>423</v>
      </c>
      <c r="B25" s="111" t="s">
        <v>271</v>
      </c>
      <c r="C25" s="110" t="s">
        <v>320</v>
      </c>
      <c r="D25" s="177" t="s">
        <v>513</v>
      </c>
      <c r="E25" s="177">
        <v>1</v>
      </c>
    </row>
    <row r="26" spans="1:5" ht="31.5" x14ac:dyDescent="0.25">
      <c r="A26" s="137" t="s">
        <v>424</v>
      </c>
      <c r="B26" s="111" t="s">
        <v>272</v>
      </c>
      <c r="C26" s="110" t="s">
        <v>321</v>
      </c>
      <c r="D26" s="177" t="s">
        <v>513</v>
      </c>
      <c r="E26" s="177">
        <v>1</v>
      </c>
    </row>
    <row r="27" spans="1:5" ht="31.5" x14ac:dyDescent="0.25">
      <c r="A27" s="137" t="s">
        <v>425</v>
      </c>
      <c r="B27" s="111" t="s">
        <v>322</v>
      </c>
      <c r="C27" s="110" t="s">
        <v>323</v>
      </c>
      <c r="D27" s="177" t="s">
        <v>513</v>
      </c>
      <c r="E27" s="177">
        <v>1</v>
      </c>
    </row>
    <row r="28" spans="1:5" ht="31.5" x14ac:dyDescent="0.25">
      <c r="A28" s="137" t="s">
        <v>426</v>
      </c>
      <c r="B28" s="111" t="s">
        <v>324</v>
      </c>
      <c r="C28" s="110" t="s">
        <v>325</v>
      </c>
      <c r="D28" s="177" t="s">
        <v>513</v>
      </c>
      <c r="E28" s="177">
        <v>1</v>
      </c>
    </row>
    <row r="29" spans="1:5" ht="31.5" x14ac:dyDescent="0.25">
      <c r="A29" s="137" t="s">
        <v>427</v>
      </c>
      <c r="B29" s="111" t="s">
        <v>326</v>
      </c>
      <c r="C29" s="110" t="s">
        <v>327</v>
      </c>
      <c r="D29" s="177" t="s">
        <v>513</v>
      </c>
      <c r="E29" s="177">
        <v>1</v>
      </c>
    </row>
    <row r="30" spans="1:5" ht="47.25" x14ac:dyDescent="0.25">
      <c r="A30" s="137" t="s">
        <v>428</v>
      </c>
      <c r="B30" s="111" t="s">
        <v>328</v>
      </c>
      <c r="C30" s="110" t="s">
        <v>329</v>
      </c>
      <c r="D30" s="177" t="s">
        <v>513</v>
      </c>
      <c r="E30" s="177">
        <v>1</v>
      </c>
    </row>
    <row r="31" spans="1:5" ht="31.5" x14ac:dyDescent="0.25">
      <c r="A31" s="135" t="s">
        <v>429</v>
      </c>
      <c r="B31" s="113" t="s">
        <v>49</v>
      </c>
      <c r="C31" s="105" t="s">
        <v>50</v>
      </c>
      <c r="D31" s="176" t="s">
        <v>513</v>
      </c>
      <c r="E31" s="176">
        <v>1</v>
      </c>
    </row>
    <row r="32" spans="1:5" ht="15.75" x14ac:dyDescent="0.25">
      <c r="A32" s="74" t="s">
        <v>432</v>
      </c>
      <c r="B32" s="111" t="s">
        <v>349</v>
      </c>
      <c r="C32" s="110" t="s">
        <v>350</v>
      </c>
      <c r="D32" s="177" t="s">
        <v>513</v>
      </c>
      <c r="E32" s="177">
        <v>1</v>
      </c>
    </row>
    <row r="33" spans="1:5" ht="15.75" x14ac:dyDescent="0.25">
      <c r="A33" s="74" t="s">
        <v>433</v>
      </c>
      <c r="B33" s="111" t="s">
        <v>351</v>
      </c>
      <c r="C33" s="110" t="s">
        <v>352</v>
      </c>
      <c r="D33" s="177" t="s">
        <v>513</v>
      </c>
      <c r="E33" s="177">
        <v>1</v>
      </c>
    </row>
    <row r="34" spans="1:5" ht="15.75" x14ac:dyDescent="0.25">
      <c r="A34" s="74" t="s">
        <v>434</v>
      </c>
      <c r="B34" s="111" t="s">
        <v>353</v>
      </c>
      <c r="C34" s="110" t="s">
        <v>354</v>
      </c>
      <c r="D34" s="177" t="s">
        <v>513</v>
      </c>
      <c r="E34" s="177">
        <v>1</v>
      </c>
    </row>
    <row r="35" spans="1:5" ht="47.25" x14ac:dyDescent="0.25">
      <c r="A35" s="74" t="s">
        <v>435</v>
      </c>
      <c r="B35" s="111" t="s">
        <v>355</v>
      </c>
      <c r="C35" s="110" t="s">
        <v>356</v>
      </c>
      <c r="D35" s="177" t="s">
        <v>513</v>
      </c>
      <c r="E35" s="177">
        <v>1</v>
      </c>
    </row>
    <row r="36" spans="1:5" ht="31.5" x14ac:dyDescent="0.25">
      <c r="A36" s="72" t="s">
        <v>436</v>
      </c>
      <c r="B36" s="113" t="s">
        <v>59</v>
      </c>
      <c r="C36" s="105" t="s">
        <v>60</v>
      </c>
      <c r="D36" s="176" t="s">
        <v>513</v>
      </c>
      <c r="E36" s="176">
        <v>1</v>
      </c>
    </row>
    <row r="37" spans="1:5" ht="31.5" x14ac:dyDescent="0.25">
      <c r="A37" s="74" t="s">
        <v>437</v>
      </c>
      <c r="B37" s="111" t="s">
        <v>363</v>
      </c>
      <c r="C37" s="110" t="s">
        <v>364</v>
      </c>
      <c r="D37" s="177" t="s">
        <v>513</v>
      </c>
      <c r="E37" s="177">
        <v>1</v>
      </c>
    </row>
    <row r="38" spans="1:5" ht="31.5" x14ac:dyDescent="0.25">
      <c r="A38" s="74" t="s">
        <v>438</v>
      </c>
      <c r="B38" s="111" t="s">
        <v>365</v>
      </c>
      <c r="C38" s="110" t="s">
        <v>366</v>
      </c>
      <c r="D38" s="177" t="s">
        <v>513</v>
      </c>
      <c r="E38" s="177">
        <v>1</v>
      </c>
    </row>
    <row r="39" spans="1:5" ht="15.75" x14ac:dyDescent="0.25">
      <c r="A39" s="140" t="s">
        <v>430</v>
      </c>
      <c r="B39" s="113" t="s">
        <v>69</v>
      </c>
      <c r="C39" s="105" t="s">
        <v>70</v>
      </c>
      <c r="D39" s="176" t="s">
        <v>513</v>
      </c>
      <c r="E39" s="176">
        <v>1</v>
      </c>
    </row>
    <row r="40" spans="1:5" ht="33" customHeight="1" x14ac:dyDescent="0.25">
      <c r="A40" s="141" t="s">
        <v>431</v>
      </c>
      <c r="B40" s="118" t="s">
        <v>105</v>
      </c>
      <c r="C40" s="119" t="s">
        <v>106</v>
      </c>
      <c r="D40" s="176" t="s">
        <v>513</v>
      </c>
      <c r="E40" s="176">
        <v>1</v>
      </c>
    </row>
    <row r="41" spans="1:5" ht="31.5" x14ac:dyDescent="0.25">
      <c r="A41" s="74" t="s">
        <v>439</v>
      </c>
      <c r="B41" s="111" t="s">
        <v>274</v>
      </c>
      <c r="C41" s="110" t="s">
        <v>370</v>
      </c>
      <c r="D41" s="177" t="s">
        <v>513</v>
      </c>
      <c r="E41" s="177">
        <v>1</v>
      </c>
    </row>
    <row r="42" spans="1:5" ht="31.5" x14ac:dyDescent="0.25">
      <c r="A42" s="74" t="s">
        <v>440</v>
      </c>
      <c r="B42" s="111" t="s">
        <v>371</v>
      </c>
      <c r="C42" s="110" t="s">
        <v>372</v>
      </c>
      <c r="D42" s="177" t="s">
        <v>513</v>
      </c>
      <c r="E42" s="177">
        <v>1</v>
      </c>
    </row>
    <row r="43" spans="1:5" ht="31.5" x14ac:dyDescent="0.25">
      <c r="A43" s="74" t="s">
        <v>441</v>
      </c>
      <c r="B43" s="111" t="s">
        <v>373</v>
      </c>
      <c r="C43" s="110" t="s">
        <v>374</v>
      </c>
      <c r="D43" s="177" t="s">
        <v>513</v>
      </c>
      <c r="E43" s="177">
        <v>1</v>
      </c>
    </row>
    <row r="44" spans="1:5" ht="31.5" x14ac:dyDescent="0.25">
      <c r="A44" s="74" t="s">
        <v>442</v>
      </c>
      <c r="B44" s="111" t="s">
        <v>375</v>
      </c>
      <c r="C44" s="110" t="s">
        <v>376</v>
      </c>
      <c r="D44" s="177" t="s">
        <v>513</v>
      </c>
      <c r="E44" s="177">
        <v>1</v>
      </c>
    </row>
    <row r="45" spans="1:5" ht="31.5" x14ac:dyDescent="0.25">
      <c r="A45" s="74" t="s">
        <v>443</v>
      </c>
      <c r="B45" s="111" t="s">
        <v>377</v>
      </c>
      <c r="C45" s="110" t="s">
        <v>378</v>
      </c>
      <c r="D45" s="177" t="s">
        <v>513</v>
      </c>
      <c r="E45" s="177">
        <v>1</v>
      </c>
    </row>
    <row r="46" spans="1:5" ht="31.5" x14ac:dyDescent="0.25">
      <c r="A46" s="74" t="s">
        <v>444</v>
      </c>
      <c r="B46" s="111" t="s">
        <v>379</v>
      </c>
      <c r="C46" s="110" t="s">
        <v>380</v>
      </c>
      <c r="D46" s="177" t="s">
        <v>513</v>
      </c>
      <c r="E46" s="177">
        <v>1</v>
      </c>
    </row>
    <row r="47" spans="1:5" ht="31.5" x14ac:dyDescent="0.25">
      <c r="A47" s="74" t="s">
        <v>445</v>
      </c>
      <c r="B47" s="111" t="s">
        <v>381</v>
      </c>
      <c r="C47" s="110" t="s">
        <v>382</v>
      </c>
      <c r="D47" s="177" t="s">
        <v>513</v>
      </c>
      <c r="E47" s="177">
        <v>1</v>
      </c>
    </row>
    <row r="48" spans="1:5" ht="31.5" x14ac:dyDescent="0.25">
      <c r="A48" s="74" t="s">
        <v>446</v>
      </c>
      <c r="B48" s="111" t="s">
        <v>383</v>
      </c>
      <c r="C48" s="110" t="s">
        <v>384</v>
      </c>
      <c r="D48" s="177" t="s">
        <v>513</v>
      </c>
      <c r="E48" s="177">
        <v>1</v>
      </c>
    </row>
    <row r="49" spans="1:5" ht="31.5" x14ac:dyDescent="0.25">
      <c r="A49" s="74" t="s">
        <v>447</v>
      </c>
      <c r="B49" s="111" t="s">
        <v>385</v>
      </c>
      <c r="C49" s="110" t="s">
        <v>386</v>
      </c>
      <c r="D49" s="177" t="s">
        <v>513</v>
      </c>
      <c r="E49" s="177">
        <v>1</v>
      </c>
    </row>
    <row r="50" spans="1:5" ht="31.5" x14ac:dyDescent="0.25">
      <c r="A50" s="72" t="s">
        <v>448</v>
      </c>
      <c r="B50" s="113" t="s">
        <v>121</v>
      </c>
      <c r="C50" s="105" t="s">
        <v>122</v>
      </c>
      <c r="D50" s="176" t="s">
        <v>513</v>
      </c>
      <c r="E50" s="176">
        <v>1</v>
      </c>
    </row>
    <row r="51" spans="1:5" ht="31.5" x14ac:dyDescent="0.25">
      <c r="A51" s="72" t="s">
        <v>449</v>
      </c>
      <c r="B51" s="113" t="s">
        <v>129</v>
      </c>
      <c r="C51" s="105" t="s">
        <v>130</v>
      </c>
      <c r="D51" s="176" t="s">
        <v>513</v>
      </c>
      <c r="E51" s="176">
        <v>1</v>
      </c>
    </row>
    <row r="52" spans="1:5" ht="47.25" x14ac:dyDescent="0.25">
      <c r="A52" s="72" t="s">
        <v>450</v>
      </c>
      <c r="B52" s="113" t="s">
        <v>139</v>
      </c>
      <c r="C52" s="105" t="s">
        <v>140</v>
      </c>
      <c r="D52" s="176" t="s">
        <v>513</v>
      </c>
      <c r="E52" s="176">
        <v>1</v>
      </c>
    </row>
    <row r="53" spans="1:5" ht="31.5" x14ac:dyDescent="0.25">
      <c r="A53" s="74" t="s">
        <v>451</v>
      </c>
      <c r="B53" s="126"/>
      <c r="C53" s="125" t="s">
        <v>399</v>
      </c>
      <c r="D53" s="177" t="s">
        <v>513</v>
      </c>
      <c r="E53" s="177">
        <v>1</v>
      </c>
    </row>
    <row r="54" spans="1:5" ht="15.75" x14ac:dyDescent="0.25">
      <c r="A54" s="74" t="s">
        <v>452</v>
      </c>
      <c r="B54" s="126"/>
      <c r="C54" s="125" t="s">
        <v>401</v>
      </c>
      <c r="D54" s="177" t="s">
        <v>513</v>
      </c>
      <c r="E54" s="177">
        <v>1</v>
      </c>
    </row>
    <row r="55" spans="1:5" ht="31.5" x14ac:dyDescent="0.25">
      <c r="A55" s="74" t="s">
        <v>453</v>
      </c>
      <c r="B55" s="126"/>
      <c r="C55" s="125" t="s">
        <v>400</v>
      </c>
      <c r="D55" s="177" t="s">
        <v>513</v>
      </c>
      <c r="E55" s="177">
        <v>1</v>
      </c>
    </row>
    <row r="56" spans="1:5" ht="31.5" x14ac:dyDescent="0.25">
      <c r="A56" s="72" t="s">
        <v>454</v>
      </c>
      <c r="B56" s="178" t="s">
        <v>197</v>
      </c>
      <c r="C56" s="178" t="s">
        <v>409</v>
      </c>
      <c r="D56" s="176" t="s">
        <v>513</v>
      </c>
      <c r="E56" s="176">
        <v>1</v>
      </c>
    </row>
    <row r="57" spans="1:5" ht="32.25" customHeight="1" x14ac:dyDescent="0.25">
      <c r="A57" s="133" t="s">
        <v>459</v>
      </c>
      <c r="B57" s="95"/>
      <c r="C57" s="95" t="s">
        <v>304</v>
      </c>
      <c r="D57" s="175"/>
      <c r="E57" s="175"/>
    </row>
    <row r="58" spans="1:5" ht="32.25" customHeight="1" x14ac:dyDescent="0.25">
      <c r="A58" s="132" t="s">
        <v>262</v>
      </c>
      <c r="B58" s="128"/>
      <c r="C58" s="128" t="s">
        <v>174</v>
      </c>
      <c r="D58" s="174"/>
      <c r="E58" s="174"/>
    </row>
    <row r="59" spans="1:5" ht="32.25" customHeight="1" x14ac:dyDescent="0.25">
      <c r="A59" s="134" t="s">
        <v>460</v>
      </c>
      <c r="B59" s="118" t="s">
        <v>457</v>
      </c>
      <c r="C59" s="130" t="s">
        <v>458</v>
      </c>
      <c r="D59" s="176" t="s">
        <v>513</v>
      </c>
      <c r="E59" s="176">
        <v>1</v>
      </c>
    </row>
    <row r="60" spans="1:5" ht="32.25" customHeight="1" x14ac:dyDescent="0.25">
      <c r="A60" s="134" t="s">
        <v>461</v>
      </c>
      <c r="B60" s="73" t="s">
        <v>197</v>
      </c>
      <c r="C60" s="73" t="s">
        <v>408</v>
      </c>
      <c r="D60" s="176" t="s">
        <v>513</v>
      </c>
      <c r="E60" s="176">
        <v>1</v>
      </c>
    </row>
    <row r="61" spans="1:5" ht="32.25" customHeight="1" x14ac:dyDescent="0.25">
      <c r="A61" s="132" t="s">
        <v>263</v>
      </c>
      <c r="B61" s="128"/>
      <c r="C61" s="128" t="s">
        <v>405</v>
      </c>
      <c r="D61" s="174"/>
      <c r="E61" s="174"/>
    </row>
    <row r="62" spans="1:5" ht="31.5" x14ac:dyDescent="0.25">
      <c r="A62" s="135" t="s">
        <v>462</v>
      </c>
      <c r="B62" s="112" t="s">
        <v>21</v>
      </c>
      <c r="C62" s="94" t="s">
        <v>22</v>
      </c>
      <c r="D62" s="176" t="s">
        <v>513</v>
      </c>
      <c r="E62" s="176">
        <v>1</v>
      </c>
    </row>
    <row r="63" spans="1:5" ht="31.5" x14ac:dyDescent="0.25">
      <c r="A63" s="135" t="s">
        <v>463</v>
      </c>
      <c r="B63" s="113" t="s">
        <v>41</v>
      </c>
      <c r="C63" s="105" t="s">
        <v>42</v>
      </c>
      <c r="D63" s="176" t="s">
        <v>513</v>
      </c>
      <c r="E63" s="176">
        <v>1</v>
      </c>
    </row>
    <row r="64" spans="1:5" ht="31.5" x14ac:dyDescent="0.25">
      <c r="A64" s="137" t="s">
        <v>464</v>
      </c>
      <c r="B64" s="111" t="s">
        <v>273</v>
      </c>
      <c r="C64" s="110" t="s">
        <v>330</v>
      </c>
      <c r="D64" s="177" t="s">
        <v>513</v>
      </c>
      <c r="E64" s="177">
        <v>1</v>
      </c>
    </row>
    <row r="65" spans="1:5" ht="47.25" x14ac:dyDescent="0.25">
      <c r="A65" s="137" t="s">
        <v>465</v>
      </c>
      <c r="B65" s="111" t="s">
        <v>331</v>
      </c>
      <c r="C65" s="110" t="s">
        <v>332</v>
      </c>
      <c r="D65" s="177" t="s">
        <v>513</v>
      </c>
      <c r="E65" s="177">
        <v>1</v>
      </c>
    </row>
    <row r="66" spans="1:5" ht="47.25" x14ac:dyDescent="0.25">
      <c r="A66" s="137" t="s">
        <v>466</v>
      </c>
      <c r="B66" s="111" t="s">
        <v>333</v>
      </c>
      <c r="C66" s="110" t="s">
        <v>334</v>
      </c>
      <c r="D66" s="177" t="s">
        <v>513</v>
      </c>
      <c r="E66" s="177">
        <v>1</v>
      </c>
    </row>
    <row r="67" spans="1:5" ht="15.75" x14ac:dyDescent="0.25">
      <c r="A67" s="137" t="s">
        <v>467</v>
      </c>
      <c r="B67" s="111" t="s">
        <v>335</v>
      </c>
      <c r="C67" s="110" t="s">
        <v>336</v>
      </c>
      <c r="D67" s="177" t="s">
        <v>513</v>
      </c>
      <c r="E67" s="177">
        <v>1</v>
      </c>
    </row>
    <row r="68" spans="1:5" ht="31.5" x14ac:dyDescent="0.25">
      <c r="A68" s="137" t="s">
        <v>468</v>
      </c>
      <c r="B68" s="111" t="s">
        <v>337</v>
      </c>
      <c r="C68" s="110" t="s">
        <v>338</v>
      </c>
      <c r="D68" s="177" t="s">
        <v>513</v>
      </c>
      <c r="E68" s="177">
        <v>1</v>
      </c>
    </row>
    <row r="69" spans="1:5" ht="15.75" x14ac:dyDescent="0.25">
      <c r="A69" s="137" t="s">
        <v>469</v>
      </c>
      <c r="B69" s="111" t="s">
        <v>339</v>
      </c>
      <c r="C69" s="110" t="s">
        <v>340</v>
      </c>
      <c r="D69" s="177" t="s">
        <v>513</v>
      </c>
      <c r="E69" s="177">
        <v>1</v>
      </c>
    </row>
    <row r="70" spans="1:5" ht="31.5" x14ac:dyDescent="0.25">
      <c r="A70" s="137" t="s">
        <v>470</v>
      </c>
      <c r="B70" s="111" t="s">
        <v>341</v>
      </c>
      <c r="C70" s="110" t="s">
        <v>342</v>
      </c>
      <c r="D70" s="177" t="s">
        <v>513</v>
      </c>
      <c r="E70" s="177">
        <v>1</v>
      </c>
    </row>
    <row r="71" spans="1:5" ht="31.5" x14ac:dyDescent="0.25">
      <c r="A71" s="137" t="s">
        <v>471</v>
      </c>
      <c r="B71" s="111" t="s">
        <v>343</v>
      </c>
      <c r="C71" s="110" t="s">
        <v>344</v>
      </c>
      <c r="D71" s="177" t="s">
        <v>513</v>
      </c>
      <c r="E71" s="177">
        <v>1</v>
      </c>
    </row>
    <row r="72" spans="1:5" ht="31.5" x14ac:dyDescent="0.25">
      <c r="A72" s="137" t="s">
        <v>472</v>
      </c>
      <c r="B72" s="111" t="s">
        <v>345</v>
      </c>
      <c r="C72" s="110" t="s">
        <v>346</v>
      </c>
      <c r="D72" s="177" t="s">
        <v>513</v>
      </c>
      <c r="E72" s="177">
        <v>1</v>
      </c>
    </row>
    <row r="73" spans="1:5" ht="47.25" x14ac:dyDescent="0.25">
      <c r="A73" s="137" t="s">
        <v>473</v>
      </c>
      <c r="B73" s="111" t="s">
        <v>347</v>
      </c>
      <c r="C73" s="110" t="s">
        <v>348</v>
      </c>
      <c r="D73" s="177" t="s">
        <v>513</v>
      </c>
      <c r="E73" s="177">
        <v>1</v>
      </c>
    </row>
    <row r="74" spans="1:5" ht="31.5" x14ac:dyDescent="0.25">
      <c r="A74" s="135" t="s">
        <v>474</v>
      </c>
      <c r="B74" s="113" t="s">
        <v>51</v>
      </c>
      <c r="C74" s="105" t="s">
        <v>52</v>
      </c>
      <c r="D74" s="176" t="s">
        <v>513</v>
      </c>
      <c r="E74" s="176">
        <v>1</v>
      </c>
    </row>
    <row r="75" spans="1:5" ht="15.75" x14ac:dyDescent="0.25">
      <c r="A75" s="138" t="s">
        <v>475</v>
      </c>
      <c r="B75" s="111" t="s">
        <v>357</v>
      </c>
      <c r="C75" s="110" t="s">
        <v>358</v>
      </c>
      <c r="D75" s="177" t="s">
        <v>513</v>
      </c>
      <c r="E75" s="177">
        <v>1</v>
      </c>
    </row>
    <row r="76" spans="1:5" ht="15.75" x14ac:dyDescent="0.25">
      <c r="A76" s="138" t="s">
        <v>476</v>
      </c>
      <c r="B76" s="111" t="s">
        <v>359</v>
      </c>
      <c r="C76" s="110" t="s">
        <v>360</v>
      </c>
      <c r="D76" s="177" t="s">
        <v>513</v>
      </c>
      <c r="E76" s="177">
        <v>1</v>
      </c>
    </row>
    <row r="77" spans="1:5" ht="15.75" x14ac:dyDescent="0.25">
      <c r="A77" s="138" t="s">
        <v>477</v>
      </c>
      <c r="B77" s="111" t="s">
        <v>361</v>
      </c>
      <c r="C77" s="110" t="s">
        <v>362</v>
      </c>
      <c r="D77" s="177" t="s">
        <v>513</v>
      </c>
      <c r="E77" s="177">
        <v>1</v>
      </c>
    </row>
    <row r="78" spans="1:5" ht="31.5" x14ac:dyDescent="0.25">
      <c r="A78" s="72" t="s">
        <v>478</v>
      </c>
      <c r="B78" s="113" t="s">
        <v>61</v>
      </c>
      <c r="C78" s="105" t="s">
        <v>62</v>
      </c>
      <c r="D78" s="176" t="s">
        <v>513</v>
      </c>
      <c r="E78" s="176">
        <v>1</v>
      </c>
    </row>
    <row r="79" spans="1:5" ht="31.5" x14ac:dyDescent="0.25">
      <c r="A79" s="74" t="s">
        <v>479</v>
      </c>
      <c r="B79" s="111" t="s">
        <v>367</v>
      </c>
      <c r="C79" s="110" t="s">
        <v>364</v>
      </c>
      <c r="D79" s="177" t="s">
        <v>513</v>
      </c>
      <c r="E79" s="177">
        <v>1</v>
      </c>
    </row>
    <row r="80" spans="1:5" ht="31.5" x14ac:dyDescent="0.25">
      <c r="A80" s="74" t="s">
        <v>480</v>
      </c>
      <c r="B80" s="111" t="s">
        <v>368</v>
      </c>
      <c r="C80" s="110" t="s">
        <v>369</v>
      </c>
      <c r="D80" s="177" t="s">
        <v>513</v>
      </c>
      <c r="E80" s="177">
        <v>1</v>
      </c>
    </row>
    <row r="81" spans="1:5" ht="15.75" x14ac:dyDescent="0.25">
      <c r="A81" s="139" t="s">
        <v>481</v>
      </c>
      <c r="B81" s="113" t="s">
        <v>71</v>
      </c>
      <c r="C81" s="105" t="s">
        <v>72</v>
      </c>
      <c r="D81" s="176" t="s">
        <v>513</v>
      </c>
      <c r="E81" s="176">
        <v>1</v>
      </c>
    </row>
    <row r="82" spans="1:5" ht="31.5" x14ac:dyDescent="0.25">
      <c r="A82" s="72" t="s">
        <v>482</v>
      </c>
      <c r="B82" s="113" t="s">
        <v>107</v>
      </c>
      <c r="C82" s="105" t="s">
        <v>108</v>
      </c>
      <c r="D82" s="176" t="s">
        <v>513</v>
      </c>
      <c r="E82" s="176">
        <v>1</v>
      </c>
    </row>
    <row r="83" spans="1:5" ht="31.5" x14ac:dyDescent="0.25">
      <c r="A83" s="74" t="s">
        <v>483</v>
      </c>
      <c r="B83" s="120" t="s">
        <v>387</v>
      </c>
      <c r="C83" s="121" t="s">
        <v>388</v>
      </c>
      <c r="D83" s="177" t="s">
        <v>513</v>
      </c>
      <c r="E83" s="177">
        <v>1</v>
      </c>
    </row>
    <row r="84" spans="1:5" ht="31.5" x14ac:dyDescent="0.25">
      <c r="A84" s="74" t="s">
        <v>484</v>
      </c>
      <c r="B84" s="120" t="s">
        <v>389</v>
      </c>
      <c r="C84" s="121" t="s">
        <v>390</v>
      </c>
      <c r="D84" s="177" t="s">
        <v>513</v>
      </c>
      <c r="E84" s="177">
        <v>1</v>
      </c>
    </row>
    <row r="85" spans="1:5" ht="31.5" x14ac:dyDescent="0.25">
      <c r="A85" s="74" t="s">
        <v>485</v>
      </c>
      <c r="B85" s="120" t="s">
        <v>391</v>
      </c>
      <c r="C85" s="121" t="s">
        <v>392</v>
      </c>
      <c r="D85" s="177" t="s">
        <v>513</v>
      </c>
      <c r="E85" s="177">
        <v>1</v>
      </c>
    </row>
    <row r="86" spans="1:5" ht="15.75" x14ac:dyDescent="0.25">
      <c r="A86" s="74" t="s">
        <v>486</v>
      </c>
      <c r="B86" s="120" t="s">
        <v>393</v>
      </c>
      <c r="C86" s="121" t="s">
        <v>394</v>
      </c>
      <c r="D86" s="177" t="s">
        <v>513</v>
      </c>
      <c r="E86" s="177">
        <v>1</v>
      </c>
    </row>
    <row r="87" spans="1:5" ht="31.5" x14ac:dyDescent="0.25">
      <c r="A87" s="74" t="s">
        <v>487</v>
      </c>
      <c r="B87" s="120" t="s">
        <v>395</v>
      </c>
      <c r="C87" s="121" t="s">
        <v>396</v>
      </c>
      <c r="D87" s="177" t="s">
        <v>513</v>
      </c>
      <c r="E87" s="177">
        <v>1</v>
      </c>
    </row>
    <row r="88" spans="1:5" ht="31.5" x14ac:dyDescent="0.25">
      <c r="A88" s="74" t="s">
        <v>488</v>
      </c>
      <c r="B88" s="120" t="s">
        <v>397</v>
      </c>
      <c r="C88" s="121" t="s">
        <v>398</v>
      </c>
      <c r="D88" s="177" t="s">
        <v>513</v>
      </c>
      <c r="E88" s="177">
        <v>1</v>
      </c>
    </row>
    <row r="89" spans="1:5" ht="31.5" x14ac:dyDescent="0.25">
      <c r="A89" s="139" t="s">
        <v>489</v>
      </c>
      <c r="B89" s="113" t="s">
        <v>123</v>
      </c>
      <c r="C89" s="105" t="s">
        <v>124</v>
      </c>
      <c r="D89" s="176" t="s">
        <v>513</v>
      </c>
      <c r="E89" s="176">
        <v>1</v>
      </c>
    </row>
    <row r="90" spans="1:5" ht="31.5" x14ac:dyDescent="0.25">
      <c r="A90" s="139" t="s">
        <v>490</v>
      </c>
      <c r="B90" s="113" t="s">
        <v>131</v>
      </c>
      <c r="C90" s="105" t="s">
        <v>132</v>
      </c>
      <c r="D90" s="176" t="s">
        <v>513</v>
      </c>
      <c r="E90" s="176">
        <v>1</v>
      </c>
    </row>
    <row r="91" spans="1:5" ht="47.25" x14ac:dyDescent="0.25">
      <c r="A91" s="72" t="s">
        <v>491</v>
      </c>
      <c r="B91" s="113" t="s">
        <v>141</v>
      </c>
      <c r="C91" s="105" t="s">
        <v>142</v>
      </c>
      <c r="D91" s="176" t="s">
        <v>513</v>
      </c>
      <c r="E91" s="176">
        <v>1</v>
      </c>
    </row>
    <row r="92" spans="1:5" ht="31.5" x14ac:dyDescent="0.25">
      <c r="A92" s="74" t="s">
        <v>492</v>
      </c>
      <c r="B92" s="126"/>
      <c r="C92" s="125" t="s">
        <v>399</v>
      </c>
      <c r="D92" s="177" t="s">
        <v>513</v>
      </c>
      <c r="E92" s="177">
        <v>1</v>
      </c>
    </row>
    <row r="93" spans="1:5" ht="15.75" x14ac:dyDescent="0.25">
      <c r="A93" s="74" t="s">
        <v>493</v>
      </c>
      <c r="B93" s="126"/>
      <c r="C93" s="125" t="s">
        <v>401</v>
      </c>
      <c r="D93" s="177" t="s">
        <v>513</v>
      </c>
      <c r="E93" s="177">
        <v>1</v>
      </c>
    </row>
    <row r="94" spans="1:5" ht="31.5" x14ac:dyDescent="0.25">
      <c r="A94" s="74" t="s">
        <v>494</v>
      </c>
      <c r="B94" s="113"/>
      <c r="C94" s="125" t="s">
        <v>400</v>
      </c>
      <c r="D94" s="177" t="s">
        <v>513</v>
      </c>
      <c r="E94" s="177">
        <v>1</v>
      </c>
    </row>
    <row r="95" spans="1:5" ht="31.5" x14ac:dyDescent="0.25">
      <c r="A95" s="72" t="s">
        <v>495</v>
      </c>
      <c r="B95" s="178" t="s">
        <v>197</v>
      </c>
      <c r="C95" s="178" t="s">
        <v>409</v>
      </c>
      <c r="D95" s="176" t="s">
        <v>513</v>
      </c>
      <c r="E95" s="176">
        <v>1</v>
      </c>
    </row>
    <row r="96" spans="1:5" ht="15.75" x14ac:dyDescent="0.25">
      <c r="A96" s="104"/>
      <c r="B96" s="104"/>
      <c r="C96" s="104"/>
    </row>
    <row r="99" spans="1:6" ht="49.5" customHeight="1" x14ac:dyDescent="0.25">
      <c r="A99" s="309" t="s">
        <v>590</v>
      </c>
      <c r="B99" s="309"/>
      <c r="C99" s="309"/>
      <c r="D99" s="256"/>
      <c r="E99" s="255" t="s">
        <v>542</v>
      </c>
      <c r="F99" s="256"/>
    </row>
  </sheetData>
  <mergeCells count="8">
    <mergeCell ref="A99:C99"/>
    <mergeCell ref="A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9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topLeftCell="A107" workbookViewId="0">
      <selection activeCell="I143" sqref="I143"/>
    </sheetView>
  </sheetViews>
  <sheetFormatPr defaultRowHeight="15" outlineLevelCol="1" x14ac:dyDescent="0.25"/>
  <cols>
    <col min="2" max="2" width="19.5703125" customWidth="1"/>
    <col min="3" max="3" width="55" customWidth="1"/>
    <col min="4" max="4" width="16.5703125" customWidth="1" outlineLevel="1"/>
    <col min="5" max="5" width="15.7109375" customWidth="1" outlineLevel="1"/>
    <col min="6" max="6" width="21.140625" customWidth="1" outlineLevel="1"/>
    <col min="7" max="7" width="17.5703125" customWidth="1" outlineLevel="1"/>
    <col min="8" max="8" width="17.42578125" customWidth="1" outlineLevel="1"/>
    <col min="9" max="9" width="17.140625" customWidth="1"/>
    <col min="10" max="10" width="19.28515625" customWidth="1"/>
    <col min="11" max="11" width="19.42578125" customWidth="1"/>
    <col min="12" max="12" width="17" customWidth="1"/>
    <col min="13" max="13" width="20.140625" customWidth="1"/>
    <col min="16" max="16" width="21.7109375" customWidth="1"/>
  </cols>
  <sheetData>
    <row r="1" spans="1:13" ht="15.75" x14ac:dyDescent="0.25">
      <c r="A1" s="326" t="s">
        <v>248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15.75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.75" x14ac:dyDescent="0.25">
      <c r="A3" s="378" t="str">
        <f>НМЦ!A3</f>
        <v>по объекту «Всесезонный туристско- рекреационный комплекс «Эльбрус», Кабардино-Балкарская Республика. Система искусственного снегообразования» (Этап 1, Этап 2)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ht="15.75" x14ac:dyDescent="0.25">
      <c r="A4" s="59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x14ac:dyDescent="0.25">
      <c r="A5" s="379" t="s">
        <v>591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1:13" ht="15.75" x14ac:dyDescent="0.25">
      <c r="A6" s="62" t="s">
        <v>249</v>
      </c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26.25" customHeight="1" x14ac:dyDescent="0.25">
      <c r="A7" s="284" t="s">
        <v>625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</row>
    <row r="8" spans="1:13" ht="58.5" customHeight="1" x14ac:dyDescent="0.25">
      <c r="A8" s="366" t="s">
        <v>519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</row>
    <row r="9" spans="1:13" ht="30" customHeight="1" x14ac:dyDescent="0.25">
      <c r="A9" s="367" t="s">
        <v>301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</row>
    <row r="10" spans="1:13" ht="21" customHeight="1" x14ac:dyDescent="0.25">
      <c r="A10" s="91"/>
      <c r="B10" s="91" t="s">
        <v>303</v>
      </c>
      <c r="C10" s="92">
        <v>898403.44</v>
      </c>
      <c r="D10" s="91" t="s">
        <v>307</v>
      </c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8.75" customHeight="1" x14ac:dyDescent="0.25">
      <c r="A11" s="91"/>
      <c r="B11" s="91" t="s">
        <v>304</v>
      </c>
      <c r="C11" s="92">
        <v>477875.5</v>
      </c>
      <c r="D11" s="91" t="s">
        <v>307</v>
      </c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18.75" customHeight="1" x14ac:dyDescent="0.25">
      <c r="A12" s="91"/>
      <c r="B12" s="91" t="s">
        <v>305</v>
      </c>
      <c r="C12" s="92">
        <v>569154.36</v>
      </c>
      <c r="D12" s="91" t="s">
        <v>307</v>
      </c>
      <c r="E12" s="91"/>
      <c r="F12" s="91"/>
      <c r="G12" s="91"/>
      <c r="H12" s="91"/>
      <c r="I12" s="91"/>
      <c r="J12" s="91"/>
      <c r="K12" s="91"/>
      <c r="L12" s="91"/>
      <c r="M12" s="91"/>
    </row>
    <row r="13" spans="1:13" ht="19.5" customHeight="1" x14ac:dyDescent="0.25">
      <c r="A13" s="91"/>
      <c r="B13" s="91" t="s">
        <v>306</v>
      </c>
      <c r="C13" s="92">
        <v>446771.53</v>
      </c>
      <c r="D13" s="91" t="s">
        <v>307</v>
      </c>
      <c r="E13" s="91"/>
      <c r="F13" s="91"/>
      <c r="G13" s="91"/>
      <c r="H13" s="91"/>
      <c r="I13" s="91"/>
      <c r="J13" s="91"/>
      <c r="K13" s="91"/>
      <c r="L13" s="91"/>
      <c r="M13" s="91"/>
    </row>
    <row r="14" spans="1:13" ht="15.75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4"/>
      <c r="M14" s="63"/>
    </row>
    <row r="15" spans="1:13" ht="141.75" x14ac:dyDescent="0.25">
      <c r="A15" s="65" t="s">
        <v>250</v>
      </c>
      <c r="B15" s="65"/>
      <c r="C15" s="66" t="s">
        <v>251</v>
      </c>
      <c r="D15" s="67" t="s">
        <v>252</v>
      </c>
      <c r="E15" s="68" t="s">
        <v>253</v>
      </c>
      <c r="F15" s="67" t="s">
        <v>254</v>
      </c>
      <c r="G15" s="67" t="s">
        <v>255</v>
      </c>
      <c r="H15" s="93" t="s">
        <v>308</v>
      </c>
      <c r="I15" s="69" t="s">
        <v>302</v>
      </c>
      <c r="J15" s="69" t="s">
        <v>256</v>
      </c>
      <c r="K15" s="69" t="s">
        <v>257</v>
      </c>
      <c r="L15" s="69" t="s">
        <v>258</v>
      </c>
      <c r="M15" s="69" t="s">
        <v>259</v>
      </c>
    </row>
    <row r="16" spans="1:13" ht="15.75" x14ac:dyDescent="0.25">
      <c r="A16" s="65">
        <v>1</v>
      </c>
      <c r="B16" s="65"/>
      <c r="C16" s="65">
        <v>2</v>
      </c>
      <c r="D16" s="70"/>
      <c r="E16" s="70"/>
      <c r="F16" s="70"/>
      <c r="G16" s="70"/>
      <c r="H16" s="70"/>
      <c r="I16" s="71">
        <v>3</v>
      </c>
      <c r="J16" s="71">
        <v>4</v>
      </c>
      <c r="K16" s="71">
        <v>5</v>
      </c>
      <c r="L16" s="71">
        <v>6</v>
      </c>
      <c r="M16" s="71">
        <v>7</v>
      </c>
    </row>
    <row r="17" spans="1:13" ht="30.75" customHeight="1" x14ac:dyDescent="0.25">
      <c r="A17" s="95">
        <v>1</v>
      </c>
      <c r="B17" s="95"/>
      <c r="C17" s="95" t="s">
        <v>303</v>
      </c>
      <c r="D17" s="95"/>
      <c r="E17" s="95"/>
      <c r="F17" s="95"/>
      <c r="G17" s="95"/>
      <c r="H17" s="95"/>
      <c r="I17" s="96"/>
      <c r="J17" s="96"/>
      <c r="K17" s="96"/>
      <c r="L17" s="96"/>
      <c r="M17" s="96"/>
    </row>
    <row r="18" spans="1:13" ht="30.75" customHeight="1" x14ac:dyDescent="0.25">
      <c r="A18" s="132" t="s">
        <v>260</v>
      </c>
      <c r="B18" s="128"/>
      <c r="C18" s="128" t="s">
        <v>174</v>
      </c>
      <c r="D18" s="128"/>
      <c r="E18" s="128"/>
      <c r="F18" s="128"/>
      <c r="G18" s="128"/>
      <c r="H18" s="128"/>
      <c r="I18" s="151">
        <f>I19+I20</f>
        <v>25576962.010000002</v>
      </c>
      <c r="J18" s="151"/>
      <c r="K18" s="151">
        <f>K19+K20</f>
        <v>26334040.09</v>
      </c>
      <c r="L18" s="151"/>
      <c r="M18" s="151">
        <f>M19+M20</f>
        <v>26747484.52</v>
      </c>
    </row>
    <row r="19" spans="1:13" ht="30.75" customHeight="1" x14ac:dyDescent="0.25">
      <c r="A19" s="134" t="s">
        <v>406</v>
      </c>
      <c r="B19" s="118" t="s">
        <v>404</v>
      </c>
      <c r="C19" s="130" t="s">
        <v>402</v>
      </c>
      <c r="D19" s="127"/>
      <c r="E19" s="127"/>
      <c r="F19" s="127"/>
      <c r="G19" s="127"/>
      <c r="H19" s="127"/>
      <c r="I19" s="182">
        <v>24832001.949999999</v>
      </c>
      <c r="J19" s="168">
        <f>$F$131</f>
        <v>1.0296000000000001</v>
      </c>
      <c r="K19" s="182">
        <f>I19*J19</f>
        <v>25567029.210000001</v>
      </c>
      <c r="L19" s="168">
        <f>$F$145</f>
        <v>1.0157</v>
      </c>
      <c r="M19" s="182">
        <f>K19*L19</f>
        <v>25968431.57</v>
      </c>
    </row>
    <row r="20" spans="1:13" ht="30.75" customHeight="1" x14ac:dyDescent="0.25">
      <c r="A20" s="134" t="s">
        <v>407</v>
      </c>
      <c r="B20" s="73" t="s">
        <v>197</v>
      </c>
      <c r="C20" s="73" t="s">
        <v>408</v>
      </c>
      <c r="D20" s="127"/>
      <c r="E20" s="127"/>
      <c r="F20" s="127"/>
      <c r="G20" s="127"/>
      <c r="H20" s="127"/>
      <c r="I20" s="182">
        <f>I19*0.03</f>
        <v>744960.06</v>
      </c>
      <c r="J20" s="168">
        <f>$F$131</f>
        <v>1.0296000000000001</v>
      </c>
      <c r="K20" s="182">
        <f>I20*J20</f>
        <v>767010.88</v>
      </c>
      <c r="L20" s="168">
        <f>$F$145</f>
        <v>1.0157</v>
      </c>
      <c r="M20" s="182">
        <f>K20*L20</f>
        <v>779052.95</v>
      </c>
    </row>
    <row r="21" spans="1:13" ht="30.75" customHeight="1" x14ac:dyDescent="0.25">
      <c r="A21" s="132" t="s">
        <v>261</v>
      </c>
      <c r="B21" s="128"/>
      <c r="C21" s="128" t="s">
        <v>405</v>
      </c>
      <c r="D21" s="128"/>
      <c r="E21" s="128"/>
      <c r="F21" s="128"/>
      <c r="G21" s="128"/>
      <c r="H21" s="128"/>
      <c r="I21" s="151">
        <f>I22+I23+I24+I25+I41+I46+I49+I50+I60+I61+I62+I66</f>
        <v>595989050.46000004</v>
      </c>
      <c r="J21" s="129"/>
      <c r="K21" s="151">
        <f>K22+K23+K24+K25+K41+K46+K49+K50+K60+K61+K62+K66</f>
        <v>602083171.44000006</v>
      </c>
      <c r="L21" s="129"/>
      <c r="M21" s="151">
        <f>M22+M23+M24+M25+M41+M46+M49+M50+M60+M61+M62+M66</f>
        <v>611940082.69000006</v>
      </c>
    </row>
    <row r="22" spans="1:13" ht="31.5" x14ac:dyDescent="0.25">
      <c r="A22" s="135" t="s">
        <v>410</v>
      </c>
      <c r="B22" s="112" t="s">
        <v>19</v>
      </c>
      <c r="C22" s="94" t="s">
        <v>20</v>
      </c>
      <c r="D22" s="103"/>
      <c r="E22" s="103"/>
      <c r="F22" s="103">
        <v>366131.19</v>
      </c>
      <c r="G22" s="103">
        <f>F22</f>
        <v>366131.19</v>
      </c>
      <c r="H22" s="103">
        <f>D22*1.031*1.005-D22*0.031*0.15+E22+F22</f>
        <v>366131.19</v>
      </c>
      <c r="I22" s="103">
        <f>H22</f>
        <v>366131.19</v>
      </c>
      <c r="J22" s="168">
        <f>$F$131</f>
        <v>1.0296000000000001</v>
      </c>
      <c r="K22" s="103">
        <f>I22*J22</f>
        <v>376968.67</v>
      </c>
      <c r="L22" s="179">
        <f>$F$161</f>
        <v>1.0465</v>
      </c>
      <c r="M22" s="103">
        <f>K22*L22</f>
        <v>394497.71</v>
      </c>
    </row>
    <row r="23" spans="1:13" ht="31.5" x14ac:dyDescent="0.25">
      <c r="A23" s="136" t="s">
        <v>411</v>
      </c>
      <c r="B23" s="113" t="s">
        <v>28</v>
      </c>
      <c r="C23" s="105" t="s">
        <v>29</v>
      </c>
      <c r="D23" s="7"/>
      <c r="E23" s="7"/>
      <c r="F23" s="7">
        <v>58290</v>
      </c>
      <c r="G23" s="7">
        <f>F23</f>
        <v>58290</v>
      </c>
      <c r="H23" s="103">
        <f>D23*1.031*1.005-D23*0.031*0.15+E23+F23</f>
        <v>58290</v>
      </c>
      <c r="I23" s="103">
        <f>H23</f>
        <v>58290</v>
      </c>
      <c r="J23" s="168">
        <f>$F$131</f>
        <v>1.0296000000000001</v>
      </c>
      <c r="K23" s="103">
        <f>I23*J23</f>
        <v>60015.38</v>
      </c>
      <c r="L23" s="179">
        <f>$F$161</f>
        <v>1.0465</v>
      </c>
      <c r="M23" s="103">
        <f>K23*L23</f>
        <v>62806.1</v>
      </c>
    </row>
    <row r="24" spans="1:13" ht="36" customHeight="1" x14ac:dyDescent="0.25">
      <c r="A24" s="135" t="s">
        <v>412</v>
      </c>
      <c r="B24" s="113" t="s">
        <v>30</v>
      </c>
      <c r="C24" s="105" t="s">
        <v>31</v>
      </c>
      <c r="D24" s="103">
        <v>7666027.5700000003</v>
      </c>
      <c r="E24" s="103"/>
      <c r="F24" s="103"/>
      <c r="G24" s="103">
        <f>F24+E24+D24</f>
        <v>7666027.5700000003</v>
      </c>
      <c r="H24" s="103">
        <f>D24*1.031*1.005-D24*0.031*0.15+E24+F24</f>
        <v>7907545.7699999996</v>
      </c>
      <c r="I24" s="103">
        <f>H24</f>
        <v>7907545.7699999996</v>
      </c>
      <c r="J24" s="168">
        <f>$F$131</f>
        <v>1.0296000000000001</v>
      </c>
      <c r="K24" s="103">
        <f>I24*J24</f>
        <v>8141609.1200000001</v>
      </c>
      <c r="L24" s="179">
        <f>$F$161</f>
        <v>1.0465</v>
      </c>
      <c r="M24" s="103">
        <f>K24*L24</f>
        <v>8520193.9399999995</v>
      </c>
    </row>
    <row r="25" spans="1:13" ht="42" customHeight="1" x14ac:dyDescent="0.25">
      <c r="A25" s="135" t="s">
        <v>413</v>
      </c>
      <c r="B25" s="113" t="s">
        <v>39</v>
      </c>
      <c r="C25" s="105" t="s">
        <v>40</v>
      </c>
      <c r="D25" s="103">
        <f>D26+D27+D28+D29+D30+D31+D32+D33+D34+D35+D36+D37+D38+D39+D40</f>
        <v>95760129.730000004</v>
      </c>
      <c r="E25" s="103">
        <f>E26+E27+E28+E29+E30+E31+E32+E33+E34+E35+E36+E37+E38+E39+E40</f>
        <v>389545835.49000001</v>
      </c>
      <c r="F25" s="103"/>
      <c r="G25" s="103">
        <f>G26+G27+G28+G29+G30+G31+G32+G33+G34+G35+G36+G37+G38+G39+G40</f>
        <v>485305965.22000003</v>
      </c>
      <c r="H25" s="103">
        <f>H26+H27+H28+H29+H30+H31+H32+H33+H34+H35+H36+H37+H38+H39+H40</f>
        <v>488322888.10000002</v>
      </c>
      <c r="I25" s="103">
        <f>I26+I27+I28+I29+I30+I31+I32+I33+I34+I35+I36+I37+I38+I39+I40</f>
        <v>488322888.10000002</v>
      </c>
      <c r="J25" s="103"/>
      <c r="K25" s="103">
        <f>K26+K27+K28+K29+K30+K31+K32+K33+K34+K35+K36+K37+K38+K39+K40</f>
        <v>491612165.32999998</v>
      </c>
      <c r="L25" s="103"/>
      <c r="M25" s="103">
        <f>M26+M27+M28+M29+M30+M31+M32+M33+M34+M35+M36+M37+M38+M39+M40</f>
        <v>496932393.43000001</v>
      </c>
    </row>
    <row r="26" spans="1:13" ht="31.5" x14ac:dyDescent="0.25">
      <c r="A26" s="137" t="s">
        <v>414</v>
      </c>
      <c r="B26" s="111" t="s">
        <v>264</v>
      </c>
      <c r="C26" s="110" t="s">
        <v>309</v>
      </c>
      <c r="D26" s="109">
        <v>8329306.9000000004</v>
      </c>
      <c r="E26" s="109"/>
      <c r="F26" s="109"/>
      <c r="G26" s="109">
        <f t="shared" ref="G26:G40" si="0">F26+E26+D26</f>
        <v>8329306.9000000004</v>
      </c>
      <c r="H26" s="109">
        <f t="shared" ref="H26:H40" si="1">D26*1.031*1.005-D26*0.031*0.15+E26+F26</f>
        <v>8591721.7100000009</v>
      </c>
      <c r="I26" s="109">
        <f>H26</f>
        <v>8591721.7100000009</v>
      </c>
      <c r="J26" s="169">
        <f t="shared" ref="J26:J64" si="2">$F$131</f>
        <v>1.0296000000000001</v>
      </c>
      <c r="K26" s="109">
        <f>I26*J26</f>
        <v>8846036.6699999999</v>
      </c>
      <c r="L26" s="180">
        <f t="shared" ref="L26:L36" si="3">$F$161</f>
        <v>1.0465</v>
      </c>
      <c r="M26" s="109">
        <f>K26*L26</f>
        <v>9257377.3800000008</v>
      </c>
    </row>
    <row r="27" spans="1:13" ht="31.5" x14ac:dyDescent="0.25">
      <c r="A27" s="137" t="s">
        <v>415</v>
      </c>
      <c r="B27" s="111" t="s">
        <v>310</v>
      </c>
      <c r="C27" s="110" t="s">
        <v>311</v>
      </c>
      <c r="D27" s="109">
        <v>5100978.2</v>
      </c>
      <c r="E27" s="109">
        <v>8083333.3499999996</v>
      </c>
      <c r="F27" s="109"/>
      <c r="G27" s="109">
        <f t="shared" si="0"/>
        <v>13184311.550000001</v>
      </c>
      <c r="H27" s="109">
        <f t="shared" si="1"/>
        <v>13345017.869999999</v>
      </c>
      <c r="I27" s="109">
        <f t="shared" ref="I27:I45" si="4">H27</f>
        <v>13345017.869999999</v>
      </c>
      <c r="J27" s="169">
        <f t="shared" si="2"/>
        <v>1.0296000000000001</v>
      </c>
      <c r="K27" s="109">
        <f t="shared" ref="K27:K40" si="5">I27*J27</f>
        <v>13740030.4</v>
      </c>
      <c r="L27" s="180">
        <f t="shared" si="3"/>
        <v>1.0465</v>
      </c>
      <c r="M27" s="109">
        <f t="shared" ref="M27:M40" si="6">K27*L27</f>
        <v>14378941.810000001</v>
      </c>
    </row>
    <row r="28" spans="1:13" ht="47.25" x14ac:dyDescent="0.25">
      <c r="A28" s="137" t="s">
        <v>416</v>
      </c>
      <c r="B28" s="111" t="s">
        <v>265</v>
      </c>
      <c r="C28" s="110" t="s">
        <v>312</v>
      </c>
      <c r="D28" s="109">
        <v>57289.4</v>
      </c>
      <c r="E28" s="109"/>
      <c r="F28" s="109"/>
      <c r="G28" s="109">
        <f t="shared" si="0"/>
        <v>57289.4</v>
      </c>
      <c r="H28" s="109">
        <f t="shared" si="1"/>
        <v>59094.3</v>
      </c>
      <c r="I28" s="109">
        <f t="shared" si="4"/>
        <v>59094.3</v>
      </c>
      <c r="J28" s="169">
        <f t="shared" si="2"/>
        <v>1.0296000000000001</v>
      </c>
      <c r="K28" s="109">
        <f t="shared" si="5"/>
        <v>60843.49</v>
      </c>
      <c r="L28" s="180">
        <f t="shared" si="3"/>
        <v>1.0465</v>
      </c>
      <c r="M28" s="109">
        <f t="shared" si="6"/>
        <v>63672.71</v>
      </c>
    </row>
    <row r="29" spans="1:13" ht="63" x14ac:dyDescent="0.25">
      <c r="A29" s="137" t="s">
        <v>417</v>
      </c>
      <c r="B29" s="111" t="s">
        <v>313</v>
      </c>
      <c r="C29" s="110" t="s">
        <v>314</v>
      </c>
      <c r="D29" s="109">
        <v>715319.8</v>
      </c>
      <c r="E29" s="109"/>
      <c r="F29" s="109"/>
      <c r="G29" s="109">
        <f t="shared" si="0"/>
        <v>715319.8</v>
      </c>
      <c r="H29" s="109">
        <f t="shared" si="1"/>
        <v>737855.95</v>
      </c>
      <c r="I29" s="109">
        <f t="shared" si="4"/>
        <v>737855.95</v>
      </c>
      <c r="J29" s="169">
        <f t="shared" si="2"/>
        <v>1.0296000000000001</v>
      </c>
      <c r="K29" s="109">
        <f t="shared" si="5"/>
        <v>759696.49</v>
      </c>
      <c r="L29" s="180">
        <f t="shared" si="3"/>
        <v>1.0465</v>
      </c>
      <c r="M29" s="109">
        <f t="shared" si="6"/>
        <v>795022.38</v>
      </c>
    </row>
    <row r="30" spans="1:13" ht="31.5" x14ac:dyDescent="0.25">
      <c r="A30" s="137" t="s">
        <v>418</v>
      </c>
      <c r="B30" s="111" t="s">
        <v>266</v>
      </c>
      <c r="C30" s="110" t="s">
        <v>315</v>
      </c>
      <c r="D30" s="109">
        <f>2728.09+1328768.94</f>
        <v>1331497.03</v>
      </c>
      <c r="E30" s="109">
        <v>721791.66</v>
      </c>
      <c r="F30" s="109"/>
      <c r="G30" s="109">
        <f t="shared" si="0"/>
        <v>2053288.69</v>
      </c>
      <c r="H30" s="109">
        <f t="shared" si="1"/>
        <v>2095237.5</v>
      </c>
      <c r="I30" s="109">
        <f t="shared" si="4"/>
        <v>2095237.5</v>
      </c>
      <c r="J30" s="169">
        <f t="shared" si="2"/>
        <v>1.0296000000000001</v>
      </c>
      <c r="K30" s="109">
        <f t="shared" si="5"/>
        <v>2157256.5299999998</v>
      </c>
      <c r="L30" s="180">
        <f t="shared" si="3"/>
        <v>1.0465</v>
      </c>
      <c r="M30" s="109">
        <f t="shared" si="6"/>
        <v>2257568.96</v>
      </c>
    </row>
    <row r="31" spans="1:13" ht="31.5" x14ac:dyDescent="0.25">
      <c r="A31" s="137" t="s">
        <v>419</v>
      </c>
      <c r="B31" s="111" t="s">
        <v>267</v>
      </c>
      <c r="C31" s="110" t="s">
        <v>316</v>
      </c>
      <c r="D31" s="109">
        <f>12760.05+3878657.83</f>
        <v>3891417.88</v>
      </c>
      <c r="E31" s="109">
        <v>2858400.56</v>
      </c>
      <c r="F31" s="109"/>
      <c r="G31" s="109">
        <f t="shared" si="0"/>
        <v>6749818.4400000004</v>
      </c>
      <c r="H31" s="109">
        <f t="shared" si="1"/>
        <v>6872417.5599999996</v>
      </c>
      <c r="I31" s="109">
        <f t="shared" si="4"/>
        <v>6872417.5599999996</v>
      </c>
      <c r="J31" s="169">
        <f t="shared" si="2"/>
        <v>1.0296000000000001</v>
      </c>
      <c r="K31" s="109">
        <f t="shared" si="5"/>
        <v>7075841.1200000001</v>
      </c>
      <c r="L31" s="180">
        <f t="shared" si="3"/>
        <v>1.0465</v>
      </c>
      <c r="M31" s="109">
        <f t="shared" si="6"/>
        <v>7404867.7300000004</v>
      </c>
    </row>
    <row r="32" spans="1:13" ht="21" customHeight="1" x14ac:dyDescent="0.25">
      <c r="A32" s="137" t="s">
        <v>420</v>
      </c>
      <c r="B32" s="111" t="s">
        <v>268</v>
      </c>
      <c r="C32" s="110" t="s">
        <v>317</v>
      </c>
      <c r="D32" s="109">
        <v>2764749.08</v>
      </c>
      <c r="E32" s="109"/>
      <c r="F32" s="109"/>
      <c r="G32" s="109">
        <f t="shared" si="0"/>
        <v>2764749.08</v>
      </c>
      <c r="H32" s="109">
        <f t="shared" si="1"/>
        <v>2851852.5</v>
      </c>
      <c r="I32" s="109">
        <f t="shared" si="4"/>
        <v>2851852.5</v>
      </c>
      <c r="J32" s="169">
        <f t="shared" si="2"/>
        <v>1.0296000000000001</v>
      </c>
      <c r="K32" s="109">
        <f t="shared" si="5"/>
        <v>2936267.33</v>
      </c>
      <c r="L32" s="180">
        <f t="shared" si="3"/>
        <v>1.0465</v>
      </c>
      <c r="M32" s="109">
        <f t="shared" si="6"/>
        <v>3072803.76</v>
      </c>
    </row>
    <row r="33" spans="1:13" ht="31.5" x14ac:dyDescent="0.25">
      <c r="A33" s="137" t="s">
        <v>421</v>
      </c>
      <c r="B33" s="111" t="s">
        <v>269</v>
      </c>
      <c r="C33" s="110" t="s">
        <v>318</v>
      </c>
      <c r="D33" s="109">
        <f>320844.82+500096.6</f>
        <v>820941.42</v>
      </c>
      <c r="E33" s="109">
        <v>37441.629999999997</v>
      </c>
      <c r="F33" s="109"/>
      <c r="G33" s="109">
        <f t="shared" si="0"/>
        <v>858383.05</v>
      </c>
      <c r="H33" s="109">
        <f t="shared" si="1"/>
        <v>884246.81</v>
      </c>
      <c r="I33" s="109">
        <f t="shared" si="4"/>
        <v>884246.81</v>
      </c>
      <c r="J33" s="169">
        <f t="shared" si="2"/>
        <v>1.0296000000000001</v>
      </c>
      <c r="K33" s="109">
        <f t="shared" si="5"/>
        <v>910420.52</v>
      </c>
      <c r="L33" s="180">
        <f t="shared" si="3"/>
        <v>1.0465</v>
      </c>
      <c r="M33" s="109">
        <f t="shared" si="6"/>
        <v>952755.07</v>
      </c>
    </row>
    <row r="34" spans="1:13" ht="31.5" x14ac:dyDescent="0.25">
      <c r="A34" s="137" t="s">
        <v>422</v>
      </c>
      <c r="B34" s="111" t="s">
        <v>270</v>
      </c>
      <c r="C34" s="110" t="s">
        <v>319</v>
      </c>
      <c r="D34" s="109">
        <v>35233375.899999999</v>
      </c>
      <c r="E34" s="109"/>
      <c r="F34" s="109"/>
      <c r="G34" s="109">
        <f t="shared" si="0"/>
        <v>35233375.899999999</v>
      </c>
      <c r="H34" s="109">
        <f t="shared" si="1"/>
        <v>36343403.409999996</v>
      </c>
      <c r="I34" s="109">
        <f t="shared" si="4"/>
        <v>36343403.409999996</v>
      </c>
      <c r="J34" s="169">
        <f t="shared" si="2"/>
        <v>1.0296000000000001</v>
      </c>
      <c r="K34" s="109">
        <f t="shared" si="5"/>
        <v>37419168.149999999</v>
      </c>
      <c r="L34" s="180">
        <f t="shared" si="3"/>
        <v>1.0465</v>
      </c>
      <c r="M34" s="109">
        <f t="shared" si="6"/>
        <v>39159159.469999999</v>
      </c>
    </row>
    <row r="35" spans="1:13" ht="31.5" x14ac:dyDescent="0.25">
      <c r="A35" s="137" t="s">
        <v>423</v>
      </c>
      <c r="B35" s="111" t="s">
        <v>271</v>
      </c>
      <c r="C35" s="110" t="s">
        <v>320</v>
      </c>
      <c r="D35" s="109">
        <v>84161.93</v>
      </c>
      <c r="E35" s="109"/>
      <c r="F35" s="109"/>
      <c r="G35" s="109">
        <f t="shared" si="0"/>
        <v>84161.93</v>
      </c>
      <c r="H35" s="109">
        <f t="shared" si="1"/>
        <v>86813.45</v>
      </c>
      <c r="I35" s="109">
        <f t="shared" si="4"/>
        <v>86813.45</v>
      </c>
      <c r="J35" s="169">
        <f t="shared" si="2"/>
        <v>1.0296000000000001</v>
      </c>
      <c r="K35" s="109">
        <f t="shared" si="5"/>
        <v>89383.13</v>
      </c>
      <c r="L35" s="180">
        <f t="shared" si="3"/>
        <v>1.0465</v>
      </c>
      <c r="M35" s="109">
        <f t="shared" si="6"/>
        <v>93539.45</v>
      </c>
    </row>
    <row r="36" spans="1:13" ht="31.5" x14ac:dyDescent="0.25">
      <c r="A36" s="137" t="s">
        <v>424</v>
      </c>
      <c r="B36" s="111" t="s">
        <v>272</v>
      </c>
      <c r="C36" s="110" t="s">
        <v>321</v>
      </c>
      <c r="D36" s="109">
        <f>16498+1398625.57</f>
        <v>1415123.57</v>
      </c>
      <c r="E36" s="109">
        <v>646210.56999999995</v>
      </c>
      <c r="F36" s="109"/>
      <c r="G36" s="109">
        <f t="shared" si="0"/>
        <v>2061334.14</v>
      </c>
      <c r="H36" s="109">
        <f t="shared" si="1"/>
        <v>2105917.61</v>
      </c>
      <c r="I36" s="109">
        <f t="shared" si="4"/>
        <v>2105917.61</v>
      </c>
      <c r="J36" s="169">
        <f t="shared" si="2"/>
        <v>1.0296000000000001</v>
      </c>
      <c r="K36" s="109">
        <f t="shared" si="5"/>
        <v>2168252.77</v>
      </c>
      <c r="L36" s="180">
        <f t="shared" si="3"/>
        <v>1.0465</v>
      </c>
      <c r="M36" s="109">
        <f t="shared" si="6"/>
        <v>2269076.52</v>
      </c>
    </row>
    <row r="37" spans="1:13" ht="31.5" x14ac:dyDescent="0.25">
      <c r="A37" s="137" t="s">
        <v>425</v>
      </c>
      <c r="B37" s="111" t="s">
        <v>322</v>
      </c>
      <c r="C37" s="110" t="s">
        <v>323</v>
      </c>
      <c r="D37" s="109"/>
      <c r="E37" s="109">
        <v>377198657.72000003</v>
      </c>
      <c r="F37" s="109"/>
      <c r="G37" s="109">
        <f t="shared" si="0"/>
        <v>377198657.72000003</v>
      </c>
      <c r="H37" s="109">
        <f t="shared" si="1"/>
        <v>377198657.72000003</v>
      </c>
      <c r="I37" s="109">
        <f t="shared" si="4"/>
        <v>377198657.72000003</v>
      </c>
      <c r="J37" s="114">
        <v>1</v>
      </c>
      <c r="K37" s="109">
        <f t="shared" si="5"/>
        <v>377198657.72000003</v>
      </c>
      <c r="L37" s="114">
        <v>1</v>
      </c>
      <c r="M37" s="109">
        <f t="shared" si="6"/>
        <v>377198657.72000003</v>
      </c>
    </row>
    <row r="38" spans="1:13" ht="31.5" x14ac:dyDescent="0.25">
      <c r="A38" s="137" t="s">
        <v>426</v>
      </c>
      <c r="B38" s="111" t="s">
        <v>324</v>
      </c>
      <c r="C38" s="110" t="s">
        <v>325</v>
      </c>
      <c r="D38" s="109">
        <v>4804305.7699999996</v>
      </c>
      <c r="E38" s="109"/>
      <c r="F38" s="109"/>
      <c r="G38" s="109">
        <f t="shared" si="0"/>
        <v>4804305.7699999996</v>
      </c>
      <c r="H38" s="109">
        <f t="shared" si="1"/>
        <v>4955665.42</v>
      </c>
      <c r="I38" s="109">
        <f t="shared" si="4"/>
        <v>4955665.42</v>
      </c>
      <c r="J38" s="169">
        <f t="shared" si="2"/>
        <v>1.0296000000000001</v>
      </c>
      <c r="K38" s="109">
        <f t="shared" si="5"/>
        <v>5102353.12</v>
      </c>
      <c r="L38" s="180">
        <f t="shared" ref="L38:L40" si="7">$F$161</f>
        <v>1.0465</v>
      </c>
      <c r="M38" s="109">
        <f t="shared" si="6"/>
        <v>5339612.54</v>
      </c>
    </row>
    <row r="39" spans="1:13" ht="31.5" x14ac:dyDescent="0.25">
      <c r="A39" s="137" t="s">
        <v>427</v>
      </c>
      <c r="B39" s="111" t="s">
        <v>326</v>
      </c>
      <c r="C39" s="110" t="s">
        <v>327</v>
      </c>
      <c r="D39" s="109">
        <v>29022216.390000001</v>
      </c>
      <c r="E39" s="109"/>
      <c r="F39" s="109"/>
      <c r="G39" s="109">
        <f t="shared" si="0"/>
        <v>29022216.390000001</v>
      </c>
      <c r="H39" s="109">
        <f t="shared" si="1"/>
        <v>29936561.32</v>
      </c>
      <c r="I39" s="109">
        <f t="shared" si="4"/>
        <v>29936561.32</v>
      </c>
      <c r="J39" s="169">
        <f t="shared" si="2"/>
        <v>1.0296000000000001</v>
      </c>
      <c r="K39" s="109">
        <f t="shared" si="5"/>
        <v>30822683.539999999</v>
      </c>
      <c r="L39" s="180">
        <f t="shared" si="7"/>
        <v>1.0465</v>
      </c>
      <c r="M39" s="109">
        <f t="shared" si="6"/>
        <v>32255938.32</v>
      </c>
    </row>
    <row r="40" spans="1:13" ht="47.25" x14ac:dyDescent="0.25">
      <c r="A40" s="137" t="s">
        <v>428</v>
      </c>
      <c r="B40" s="111" t="s">
        <v>328</v>
      </c>
      <c r="C40" s="110" t="s">
        <v>329</v>
      </c>
      <c r="D40" s="109">
        <v>2189446.46</v>
      </c>
      <c r="E40" s="109"/>
      <c r="F40" s="109"/>
      <c r="G40" s="109">
        <f t="shared" si="0"/>
        <v>2189446.46</v>
      </c>
      <c r="H40" s="109">
        <f t="shared" si="1"/>
        <v>2258424.9700000002</v>
      </c>
      <c r="I40" s="109">
        <f t="shared" si="4"/>
        <v>2258424.9700000002</v>
      </c>
      <c r="J40" s="169">
        <f t="shared" si="2"/>
        <v>1.0296000000000001</v>
      </c>
      <c r="K40" s="109">
        <f t="shared" si="5"/>
        <v>2325274.35</v>
      </c>
      <c r="L40" s="180">
        <f t="shared" si="7"/>
        <v>1.0465</v>
      </c>
      <c r="M40" s="109">
        <f t="shared" si="6"/>
        <v>2433399.61</v>
      </c>
    </row>
    <row r="41" spans="1:13" ht="31.5" x14ac:dyDescent="0.25">
      <c r="A41" s="135" t="s">
        <v>429</v>
      </c>
      <c r="B41" s="113" t="s">
        <v>49</v>
      </c>
      <c r="C41" s="105" t="s">
        <v>50</v>
      </c>
      <c r="D41" s="103">
        <f>D42+D43+D44+D45</f>
        <v>19190991.09</v>
      </c>
      <c r="E41" s="103">
        <f>E42+E43+E44+E45</f>
        <v>37325058.890000001</v>
      </c>
      <c r="F41" s="103"/>
      <c r="G41" s="103">
        <f>G42+G43+G44+G45</f>
        <v>56516049.979999997</v>
      </c>
      <c r="H41" s="103">
        <f>H42+H43+H44+H45</f>
        <v>57120662.159999996</v>
      </c>
      <c r="I41" s="103">
        <f>I42+I43+I44+I45</f>
        <v>57120662.159999996</v>
      </c>
      <c r="J41" s="103"/>
      <c r="K41" s="103">
        <f>K42+K43+K44+K45</f>
        <v>58811433.770000003</v>
      </c>
      <c r="L41" s="103"/>
      <c r="M41" s="103">
        <f>M42+M43+M44+M45</f>
        <v>61546165.439999998</v>
      </c>
    </row>
    <row r="42" spans="1:13" ht="15.75" x14ac:dyDescent="0.25">
      <c r="A42" s="74" t="s">
        <v>432</v>
      </c>
      <c r="B42" s="111" t="s">
        <v>349</v>
      </c>
      <c r="C42" s="110" t="s">
        <v>350</v>
      </c>
      <c r="D42" s="75">
        <v>11208693.83</v>
      </c>
      <c r="E42" s="75"/>
      <c r="F42" s="75"/>
      <c r="G42" s="75">
        <f>F42+E42+D42</f>
        <v>11208693.83</v>
      </c>
      <c r="H42" s="109">
        <f>D42*1.031*1.005-D42*0.031*0.15+E42+F42</f>
        <v>11561823.73</v>
      </c>
      <c r="I42" s="109">
        <f t="shared" si="4"/>
        <v>11561823.73</v>
      </c>
      <c r="J42" s="169">
        <f t="shared" si="2"/>
        <v>1.0296000000000001</v>
      </c>
      <c r="K42" s="109">
        <f t="shared" ref="K42:K45" si="8">I42*J42</f>
        <v>11904053.710000001</v>
      </c>
      <c r="L42" s="180">
        <f t="shared" ref="L42:L44" si="9">$F$161</f>
        <v>1.0465</v>
      </c>
      <c r="M42" s="109">
        <f t="shared" ref="M42:M45" si="10">K42*L42</f>
        <v>12457592.210000001</v>
      </c>
    </row>
    <row r="43" spans="1:13" ht="15.75" x14ac:dyDescent="0.25">
      <c r="A43" s="74" t="s">
        <v>433</v>
      </c>
      <c r="B43" s="111" t="s">
        <v>351</v>
      </c>
      <c r="C43" s="110" t="s">
        <v>352</v>
      </c>
      <c r="D43" s="75">
        <f>568660.83+3136360.18</f>
        <v>3705021.01</v>
      </c>
      <c r="E43" s="75">
        <v>33027.54</v>
      </c>
      <c r="F43" s="75"/>
      <c r="G43" s="75">
        <f>F43+E43+D43</f>
        <v>3738048.55</v>
      </c>
      <c r="H43" s="109">
        <f>D43*1.031*1.005-D43*0.031*0.15+E43+F43</f>
        <v>3854775.24</v>
      </c>
      <c r="I43" s="109">
        <f t="shared" si="4"/>
        <v>3854775.24</v>
      </c>
      <c r="J43" s="169">
        <f t="shared" si="2"/>
        <v>1.0296000000000001</v>
      </c>
      <c r="K43" s="109">
        <f t="shared" si="8"/>
        <v>3968876.59</v>
      </c>
      <c r="L43" s="180">
        <f t="shared" si="9"/>
        <v>1.0465</v>
      </c>
      <c r="M43" s="109">
        <f t="shared" si="10"/>
        <v>4153429.35</v>
      </c>
    </row>
    <row r="44" spans="1:13" ht="15.75" x14ac:dyDescent="0.25">
      <c r="A44" s="74" t="s">
        <v>434</v>
      </c>
      <c r="B44" s="111" t="s">
        <v>353</v>
      </c>
      <c r="C44" s="110" t="s">
        <v>354</v>
      </c>
      <c r="D44" s="75">
        <v>3301326.74</v>
      </c>
      <c r="E44" s="75">
        <v>37292031.350000001</v>
      </c>
      <c r="F44" s="75"/>
      <c r="G44" s="75">
        <f>F44+E44+D44</f>
        <v>40593358.090000004</v>
      </c>
      <c r="H44" s="109">
        <f>D44*1.031*1.005-D44*0.031*0.15+E44+F44</f>
        <v>40697366.390000001</v>
      </c>
      <c r="I44" s="109">
        <f t="shared" si="4"/>
        <v>40697366.390000001</v>
      </c>
      <c r="J44" s="169">
        <f t="shared" si="2"/>
        <v>1.0296000000000001</v>
      </c>
      <c r="K44" s="109">
        <f t="shared" si="8"/>
        <v>41902008.439999998</v>
      </c>
      <c r="L44" s="180">
        <f t="shared" si="9"/>
        <v>1.0465</v>
      </c>
      <c r="M44" s="109">
        <f t="shared" si="10"/>
        <v>43850451.829999998</v>
      </c>
    </row>
    <row r="45" spans="1:13" ht="47.25" x14ac:dyDescent="0.25">
      <c r="A45" s="74" t="s">
        <v>435</v>
      </c>
      <c r="B45" s="111" t="s">
        <v>355</v>
      </c>
      <c r="C45" s="110" t="s">
        <v>356</v>
      </c>
      <c r="D45" s="75">
        <v>975949.51</v>
      </c>
      <c r="E45" s="75"/>
      <c r="F45" s="75"/>
      <c r="G45" s="75">
        <f>F45+E45+D45</f>
        <v>975949.51</v>
      </c>
      <c r="H45" s="109">
        <f>D45*1.031*1.005-D45*0.031*0.15+E45+F45</f>
        <v>1006696.8</v>
      </c>
      <c r="I45" s="109">
        <f t="shared" si="4"/>
        <v>1006696.8</v>
      </c>
      <c r="J45" s="169">
        <f t="shared" si="2"/>
        <v>1.0296000000000001</v>
      </c>
      <c r="K45" s="109">
        <f t="shared" si="8"/>
        <v>1036495.03</v>
      </c>
      <c r="L45" s="180">
        <f>$F$161</f>
        <v>1.0465</v>
      </c>
      <c r="M45" s="109">
        <f t="shared" si="10"/>
        <v>1084692.05</v>
      </c>
    </row>
    <row r="46" spans="1:13" ht="31.5" x14ac:dyDescent="0.25">
      <c r="A46" s="72" t="s">
        <v>436</v>
      </c>
      <c r="B46" s="113" t="s">
        <v>59</v>
      </c>
      <c r="C46" s="105" t="s">
        <v>60</v>
      </c>
      <c r="D46" s="7">
        <f>D47+D48</f>
        <v>9308082.5299999993</v>
      </c>
      <c r="E46" s="7">
        <f>E47+E48</f>
        <v>198048.42</v>
      </c>
      <c r="F46" s="7"/>
      <c r="G46" s="7">
        <f>G47+G48</f>
        <v>9506130.9499999993</v>
      </c>
      <c r="H46" s="7">
        <f>H47+H48</f>
        <v>9799382.0899999999</v>
      </c>
      <c r="I46" s="7">
        <f>I47+I48</f>
        <v>9799382.0899999999</v>
      </c>
      <c r="J46" s="7"/>
      <c r="K46" s="7">
        <f>K47+K48</f>
        <v>10089443.800000001</v>
      </c>
      <c r="L46" s="7"/>
      <c r="M46" s="7">
        <f>M47+M48</f>
        <v>10558602.939999999</v>
      </c>
    </row>
    <row r="47" spans="1:13" ht="31.5" x14ac:dyDescent="0.25">
      <c r="A47" s="74" t="s">
        <v>437</v>
      </c>
      <c r="B47" s="111" t="s">
        <v>363</v>
      </c>
      <c r="C47" s="110" t="s">
        <v>364</v>
      </c>
      <c r="D47" s="75">
        <v>7690614.1399999997</v>
      </c>
      <c r="E47" s="75"/>
      <c r="F47" s="75"/>
      <c r="G47" s="75">
        <f>F47+E47+D47</f>
        <v>7690614.1399999997</v>
      </c>
      <c r="H47" s="109">
        <f>D47*1.031*1.005-D47*0.031*0.15+E47+F47</f>
        <v>7932906.9400000004</v>
      </c>
      <c r="I47" s="75">
        <f>H47</f>
        <v>7932906.9400000004</v>
      </c>
      <c r="J47" s="169">
        <f t="shared" si="2"/>
        <v>1.0296000000000001</v>
      </c>
      <c r="K47" s="109">
        <f t="shared" ref="K47:K48" si="11">I47*J47</f>
        <v>8167720.9900000002</v>
      </c>
      <c r="L47" s="180">
        <f t="shared" ref="L47:L48" si="12">$F$161</f>
        <v>1.0465</v>
      </c>
      <c r="M47" s="109">
        <f t="shared" ref="M47:M48" si="13">K47*L47</f>
        <v>8547520.0199999996</v>
      </c>
    </row>
    <row r="48" spans="1:13" ht="31.5" x14ac:dyDescent="0.25">
      <c r="A48" s="74" t="s">
        <v>438</v>
      </c>
      <c r="B48" s="111" t="s">
        <v>365</v>
      </c>
      <c r="C48" s="110" t="s">
        <v>366</v>
      </c>
      <c r="D48" s="75">
        <v>1617468.39</v>
      </c>
      <c r="E48" s="75">
        <v>198048.42</v>
      </c>
      <c r="F48" s="75"/>
      <c r="G48" s="75">
        <f>F48+E48+D48</f>
        <v>1815516.81</v>
      </c>
      <c r="H48" s="109">
        <f>D48*1.031*1.005-D48*0.031*0.15+E48+F48</f>
        <v>1866475.15</v>
      </c>
      <c r="I48" s="75">
        <f>H48</f>
        <v>1866475.15</v>
      </c>
      <c r="J48" s="169">
        <f t="shared" si="2"/>
        <v>1.0296000000000001</v>
      </c>
      <c r="K48" s="109">
        <f t="shared" si="11"/>
        <v>1921722.81</v>
      </c>
      <c r="L48" s="180">
        <f t="shared" si="12"/>
        <v>1.0465</v>
      </c>
      <c r="M48" s="109">
        <f t="shared" si="13"/>
        <v>2011082.92</v>
      </c>
    </row>
    <row r="49" spans="1:13" ht="15.75" x14ac:dyDescent="0.25">
      <c r="A49" s="140" t="s">
        <v>430</v>
      </c>
      <c r="B49" s="113" t="s">
        <v>69</v>
      </c>
      <c r="C49" s="105" t="s">
        <v>70</v>
      </c>
      <c r="D49" s="76">
        <v>5778733.0999999996</v>
      </c>
      <c r="E49" s="76"/>
      <c r="F49" s="76"/>
      <c r="G49" s="76">
        <f>F49+E49+D49</f>
        <v>5778733.0999999996</v>
      </c>
      <c r="H49" s="103">
        <f>D49*1.031*1.005-D49*0.031*0.15+E49+F49</f>
        <v>5960792.0899999999</v>
      </c>
      <c r="I49" s="76">
        <f>H49</f>
        <v>5960792.0899999999</v>
      </c>
      <c r="J49" s="168">
        <f t="shared" si="2"/>
        <v>1.0296000000000001</v>
      </c>
      <c r="K49" s="103">
        <f>I49*J49</f>
        <v>6137231.54</v>
      </c>
      <c r="L49" s="179">
        <f>$F$161</f>
        <v>1.0465</v>
      </c>
      <c r="M49" s="76">
        <f>K49*L49</f>
        <v>6422612.8099999996</v>
      </c>
    </row>
    <row r="50" spans="1:13" ht="33" customHeight="1" x14ac:dyDescent="0.25">
      <c r="A50" s="141" t="s">
        <v>431</v>
      </c>
      <c r="B50" s="118" t="s">
        <v>105</v>
      </c>
      <c r="C50" s="119" t="s">
        <v>106</v>
      </c>
      <c r="D50" s="76"/>
      <c r="E50" s="76"/>
      <c r="F50" s="76">
        <f>F51+F52+F53+F54+F55+F56+F57+F58+F59</f>
        <v>3522131.68</v>
      </c>
      <c r="G50" s="76">
        <f>G51+G52+G53+G54+G55+G56+G57+G58+G59</f>
        <v>3522131.68</v>
      </c>
      <c r="H50" s="76">
        <f>H51+H52+H53+H54+H55+H56+H57+H58+H59</f>
        <v>3522131.68</v>
      </c>
      <c r="I50" s="76">
        <f>I51+I52+I53+I54+I55+I56+I57+I58+I59</f>
        <v>3522131.68</v>
      </c>
      <c r="J50" s="76"/>
      <c r="K50" s="76">
        <f>K51+K52+K53+K54+K55+K56+K57+K58+K59</f>
        <v>3626386.77</v>
      </c>
      <c r="L50" s="76"/>
      <c r="M50" s="76">
        <f>M51+M52+M53+M54+M55+M56+M57+M58+M59</f>
        <v>3795013.76</v>
      </c>
    </row>
    <row r="51" spans="1:13" ht="31.5" x14ac:dyDescent="0.25">
      <c r="A51" s="74" t="s">
        <v>439</v>
      </c>
      <c r="B51" s="111" t="s">
        <v>274</v>
      </c>
      <c r="C51" s="110" t="s">
        <v>370</v>
      </c>
      <c r="D51" s="75"/>
      <c r="E51" s="75"/>
      <c r="F51" s="75">
        <v>72702.33</v>
      </c>
      <c r="G51" s="75">
        <f t="shared" ref="G51:G61" si="14">F51</f>
        <v>72702.33</v>
      </c>
      <c r="H51" s="109">
        <f t="shared" ref="H51:H61" si="15">D51*1.031*1.005-D51*0.031*0.15+E51+F51</f>
        <v>72702.33</v>
      </c>
      <c r="I51" s="75">
        <f>H51</f>
        <v>72702.33</v>
      </c>
      <c r="J51" s="169">
        <f t="shared" si="2"/>
        <v>1.0296000000000001</v>
      </c>
      <c r="K51" s="109">
        <f t="shared" ref="K51:K59" si="16">I51*J51</f>
        <v>74854.320000000007</v>
      </c>
      <c r="L51" s="180">
        <f t="shared" ref="L51:L59" si="17">$F$161</f>
        <v>1.0465</v>
      </c>
      <c r="M51" s="109">
        <f t="shared" ref="M51:M65" si="18">K51*L51</f>
        <v>78335.05</v>
      </c>
    </row>
    <row r="52" spans="1:13" ht="31.5" x14ac:dyDescent="0.25">
      <c r="A52" s="74" t="s">
        <v>440</v>
      </c>
      <c r="B52" s="111" t="s">
        <v>371</v>
      </c>
      <c r="C52" s="110" t="s">
        <v>372</v>
      </c>
      <c r="D52" s="75"/>
      <c r="E52" s="75"/>
      <c r="F52" s="75">
        <v>6895.18</v>
      </c>
      <c r="G52" s="75">
        <f t="shared" si="14"/>
        <v>6895.18</v>
      </c>
      <c r="H52" s="109">
        <f t="shared" si="15"/>
        <v>6895.18</v>
      </c>
      <c r="I52" s="75">
        <f t="shared" ref="I52:I59" si="19">H52</f>
        <v>6895.18</v>
      </c>
      <c r="J52" s="169">
        <f t="shared" si="2"/>
        <v>1.0296000000000001</v>
      </c>
      <c r="K52" s="109">
        <f t="shared" si="16"/>
        <v>7099.28</v>
      </c>
      <c r="L52" s="180">
        <f t="shared" si="17"/>
        <v>1.0465</v>
      </c>
      <c r="M52" s="109">
        <f t="shared" si="18"/>
        <v>7429.4</v>
      </c>
    </row>
    <row r="53" spans="1:13" ht="31.5" x14ac:dyDescent="0.25">
      <c r="A53" s="74" t="s">
        <v>441</v>
      </c>
      <c r="B53" s="111" t="s">
        <v>373</v>
      </c>
      <c r="C53" s="110" t="s">
        <v>374</v>
      </c>
      <c r="D53" s="75"/>
      <c r="E53" s="75"/>
      <c r="F53" s="75">
        <v>445447.69</v>
      </c>
      <c r="G53" s="75">
        <f t="shared" si="14"/>
        <v>445447.69</v>
      </c>
      <c r="H53" s="109">
        <f t="shared" si="15"/>
        <v>445447.69</v>
      </c>
      <c r="I53" s="75">
        <f t="shared" si="19"/>
        <v>445447.69</v>
      </c>
      <c r="J53" s="169">
        <f t="shared" si="2"/>
        <v>1.0296000000000001</v>
      </c>
      <c r="K53" s="109">
        <f t="shared" si="16"/>
        <v>458632.94</v>
      </c>
      <c r="L53" s="180">
        <f t="shared" si="17"/>
        <v>1.0465</v>
      </c>
      <c r="M53" s="109">
        <f t="shared" si="18"/>
        <v>479959.37</v>
      </c>
    </row>
    <row r="54" spans="1:13" ht="31.5" x14ac:dyDescent="0.25">
      <c r="A54" s="74" t="s">
        <v>442</v>
      </c>
      <c r="B54" s="111" t="s">
        <v>375</v>
      </c>
      <c r="C54" s="110" t="s">
        <v>376</v>
      </c>
      <c r="D54" s="75"/>
      <c r="E54" s="75"/>
      <c r="F54" s="75">
        <v>734416</v>
      </c>
      <c r="G54" s="75">
        <f t="shared" si="14"/>
        <v>734416</v>
      </c>
      <c r="H54" s="109">
        <f t="shared" si="15"/>
        <v>734416</v>
      </c>
      <c r="I54" s="75">
        <f t="shared" si="19"/>
        <v>734416</v>
      </c>
      <c r="J54" s="169">
        <f t="shared" si="2"/>
        <v>1.0296000000000001</v>
      </c>
      <c r="K54" s="109">
        <f t="shared" si="16"/>
        <v>756154.71</v>
      </c>
      <c r="L54" s="180">
        <f t="shared" si="17"/>
        <v>1.0465</v>
      </c>
      <c r="M54" s="109">
        <f t="shared" si="18"/>
        <v>791315.9</v>
      </c>
    </row>
    <row r="55" spans="1:13" ht="31.5" x14ac:dyDescent="0.25">
      <c r="A55" s="74" t="s">
        <v>443</v>
      </c>
      <c r="B55" s="111" t="s">
        <v>377</v>
      </c>
      <c r="C55" s="110" t="s">
        <v>378</v>
      </c>
      <c r="D55" s="75"/>
      <c r="E55" s="75"/>
      <c r="F55" s="75">
        <v>63136.86</v>
      </c>
      <c r="G55" s="75">
        <f t="shared" si="14"/>
        <v>63136.86</v>
      </c>
      <c r="H55" s="109">
        <f t="shared" si="15"/>
        <v>63136.86</v>
      </c>
      <c r="I55" s="75">
        <f t="shared" si="19"/>
        <v>63136.86</v>
      </c>
      <c r="J55" s="169">
        <f t="shared" si="2"/>
        <v>1.0296000000000001</v>
      </c>
      <c r="K55" s="109">
        <f t="shared" si="16"/>
        <v>65005.71</v>
      </c>
      <c r="L55" s="180">
        <f t="shared" si="17"/>
        <v>1.0465</v>
      </c>
      <c r="M55" s="109">
        <f t="shared" si="18"/>
        <v>68028.479999999996</v>
      </c>
    </row>
    <row r="56" spans="1:13" ht="31.5" x14ac:dyDescent="0.25">
      <c r="A56" s="74" t="s">
        <v>444</v>
      </c>
      <c r="B56" s="111" t="s">
        <v>379</v>
      </c>
      <c r="C56" s="110" t="s">
        <v>380</v>
      </c>
      <c r="D56" s="75"/>
      <c r="E56" s="75"/>
      <c r="F56" s="75">
        <v>112652.79</v>
      </c>
      <c r="G56" s="75">
        <f t="shared" si="14"/>
        <v>112652.79</v>
      </c>
      <c r="H56" s="109">
        <f t="shared" si="15"/>
        <v>112652.79</v>
      </c>
      <c r="I56" s="75">
        <f t="shared" si="19"/>
        <v>112652.79</v>
      </c>
      <c r="J56" s="169">
        <f t="shared" si="2"/>
        <v>1.0296000000000001</v>
      </c>
      <c r="K56" s="109">
        <f t="shared" si="16"/>
        <v>115987.31</v>
      </c>
      <c r="L56" s="180">
        <f t="shared" si="17"/>
        <v>1.0465</v>
      </c>
      <c r="M56" s="109">
        <f t="shared" si="18"/>
        <v>121380.72</v>
      </c>
    </row>
    <row r="57" spans="1:13" ht="31.5" x14ac:dyDescent="0.25">
      <c r="A57" s="74" t="s">
        <v>445</v>
      </c>
      <c r="B57" s="111" t="s">
        <v>381</v>
      </c>
      <c r="C57" s="110" t="s">
        <v>382</v>
      </c>
      <c r="D57" s="75"/>
      <c r="E57" s="75"/>
      <c r="F57" s="75">
        <v>1542606.82</v>
      </c>
      <c r="G57" s="75">
        <f t="shared" si="14"/>
        <v>1542606.82</v>
      </c>
      <c r="H57" s="109">
        <f t="shared" si="15"/>
        <v>1542606.82</v>
      </c>
      <c r="I57" s="75">
        <f t="shared" si="19"/>
        <v>1542606.82</v>
      </c>
      <c r="J57" s="169">
        <f t="shared" si="2"/>
        <v>1.0296000000000001</v>
      </c>
      <c r="K57" s="109">
        <f t="shared" si="16"/>
        <v>1588267.98</v>
      </c>
      <c r="L57" s="180">
        <f t="shared" si="17"/>
        <v>1.0465</v>
      </c>
      <c r="M57" s="109">
        <f t="shared" si="18"/>
        <v>1662122.44</v>
      </c>
    </row>
    <row r="58" spans="1:13" ht="31.5" x14ac:dyDescent="0.25">
      <c r="A58" s="74" t="s">
        <v>446</v>
      </c>
      <c r="B58" s="111" t="s">
        <v>383</v>
      </c>
      <c r="C58" s="110" t="s">
        <v>384</v>
      </c>
      <c r="D58" s="75"/>
      <c r="E58" s="75"/>
      <c r="F58" s="75">
        <v>163670.29999999999</v>
      </c>
      <c r="G58" s="75">
        <f t="shared" si="14"/>
        <v>163670.29999999999</v>
      </c>
      <c r="H58" s="109">
        <f t="shared" si="15"/>
        <v>163670.29999999999</v>
      </c>
      <c r="I58" s="75">
        <f t="shared" si="19"/>
        <v>163670.29999999999</v>
      </c>
      <c r="J58" s="169">
        <f t="shared" si="2"/>
        <v>1.0296000000000001</v>
      </c>
      <c r="K58" s="109">
        <f t="shared" si="16"/>
        <v>168514.94</v>
      </c>
      <c r="L58" s="180">
        <f t="shared" si="17"/>
        <v>1.0465</v>
      </c>
      <c r="M58" s="109">
        <f t="shared" si="18"/>
        <v>176350.88</v>
      </c>
    </row>
    <row r="59" spans="1:13" ht="31.5" x14ac:dyDescent="0.25">
      <c r="A59" s="74" t="s">
        <v>447</v>
      </c>
      <c r="B59" s="111" t="s">
        <v>385</v>
      </c>
      <c r="C59" s="110" t="s">
        <v>386</v>
      </c>
      <c r="D59" s="75"/>
      <c r="E59" s="75"/>
      <c r="F59" s="75">
        <v>380603.71</v>
      </c>
      <c r="G59" s="75">
        <f t="shared" si="14"/>
        <v>380603.71</v>
      </c>
      <c r="H59" s="109">
        <f t="shared" si="15"/>
        <v>380603.71</v>
      </c>
      <c r="I59" s="75">
        <f t="shared" si="19"/>
        <v>380603.71</v>
      </c>
      <c r="J59" s="169">
        <f t="shared" si="2"/>
        <v>1.0296000000000001</v>
      </c>
      <c r="K59" s="109">
        <f t="shared" si="16"/>
        <v>391869.58</v>
      </c>
      <c r="L59" s="180">
        <f t="shared" si="17"/>
        <v>1.0465</v>
      </c>
      <c r="M59" s="109">
        <f t="shared" si="18"/>
        <v>410091.52000000002</v>
      </c>
    </row>
    <row r="60" spans="1:13" ht="31.5" x14ac:dyDescent="0.25">
      <c r="A60" s="72" t="s">
        <v>448</v>
      </c>
      <c r="B60" s="113" t="s">
        <v>121</v>
      </c>
      <c r="C60" s="105" t="s">
        <v>122</v>
      </c>
      <c r="D60" s="7"/>
      <c r="E60" s="7"/>
      <c r="F60" s="7">
        <v>116086.39999999999</v>
      </c>
      <c r="G60" s="7">
        <f t="shared" si="14"/>
        <v>116086.39999999999</v>
      </c>
      <c r="H60" s="103">
        <f t="shared" si="15"/>
        <v>116086.39999999999</v>
      </c>
      <c r="I60" s="7">
        <f>H60</f>
        <v>116086.39999999999</v>
      </c>
      <c r="J60" s="168">
        <f t="shared" si="2"/>
        <v>1.0296000000000001</v>
      </c>
      <c r="K60" s="103">
        <f>I60*J60</f>
        <v>119522.56</v>
      </c>
      <c r="L60" s="179">
        <f>$F$161</f>
        <v>1.0465</v>
      </c>
      <c r="M60" s="103">
        <f t="shared" si="18"/>
        <v>125080.36</v>
      </c>
    </row>
    <row r="61" spans="1:13" ht="31.5" x14ac:dyDescent="0.25">
      <c r="A61" s="72" t="s">
        <v>449</v>
      </c>
      <c r="B61" s="113" t="s">
        <v>129</v>
      </c>
      <c r="C61" s="105" t="s">
        <v>130</v>
      </c>
      <c r="D61" s="7"/>
      <c r="E61" s="7"/>
      <c r="F61" s="7">
        <v>383181.6</v>
      </c>
      <c r="G61" s="7">
        <f t="shared" si="14"/>
        <v>383181.6</v>
      </c>
      <c r="H61" s="103">
        <f t="shared" si="15"/>
        <v>383181.6</v>
      </c>
      <c r="I61" s="7">
        <f>H61</f>
        <v>383181.6</v>
      </c>
      <c r="J61" s="168">
        <f t="shared" si="2"/>
        <v>1.0296000000000001</v>
      </c>
      <c r="K61" s="103">
        <f>I61*J61</f>
        <v>394523.78</v>
      </c>
      <c r="L61" s="179">
        <f>$F$161</f>
        <v>1.0465</v>
      </c>
      <c r="M61" s="103">
        <f t="shared" si="18"/>
        <v>412869.14</v>
      </c>
    </row>
    <row r="62" spans="1:13" ht="47.25" x14ac:dyDescent="0.25">
      <c r="A62" s="72" t="s">
        <v>450</v>
      </c>
      <c r="B62" s="113" t="s">
        <v>139</v>
      </c>
      <c r="C62" s="105" t="s">
        <v>140</v>
      </c>
      <c r="D62" s="7"/>
      <c r="E62" s="7"/>
      <c r="F62" s="7">
        <f>F63+F64+F65</f>
        <v>5073055</v>
      </c>
      <c r="G62" s="7">
        <f>G63+G64+G65</f>
        <v>5073055</v>
      </c>
      <c r="H62" s="7">
        <f>H63+H64+H65</f>
        <v>5073055</v>
      </c>
      <c r="I62" s="7">
        <f>I63+I64+I65</f>
        <v>5073055</v>
      </c>
      <c r="J62" s="7"/>
      <c r="K62" s="7">
        <f>K63+K64+K65</f>
        <v>5177467.67</v>
      </c>
      <c r="L62" s="7"/>
      <c r="M62" s="7">
        <f>M63+M64+M65</f>
        <v>5346349.51</v>
      </c>
    </row>
    <row r="63" spans="1:13" ht="31.5" x14ac:dyDescent="0.25">
      <c r="A63" s="74" t="s">
        <v>451</v>
      </c>
      <c r="B63" s="126"/>
      <c r="C63" s="125" t="s">
        <v>399</v>
      </c>
      <c r="D63" s="75"/>
      <c r="E63" s="75"/>
      <c r="F63" s="75">
        <v>70257</v>
      </c>
      <c r="G63" s="75">
        <f>F63</f>
        <v>70257</v>
      </c>
      <c r="H63" s="109">
        <f>D63*1.031*1.005-D63*0.031*0.15+E63+F63</f>
        <v>70257</v>
      </c>
      <c r="I63" s="75">
        <f>H63</f>
        <v>70257</v>
      </c>
      <c r="J63" s="169">
        <f t="shared" si="2"/>
        <v>1.0296000000000001</v>
      </c>
      <c r="K63" s="109">
        <f t="shared" ref="K63:K65" si="20">I63*J63</f>
        <v>72336.61</v>
      </c>
      <c r="L63" s="180">
        <f t="shared" ref="L63:L64" si="21">$F$161</f>
        <v>1.0465</v>
      </c>
      <c r="M63" s="109">
        <f t="shared" si="18"/>
        <v>75700.259999999995</v>
      </c>
    </row>
    <row r="64" spans="1:13" ht="15.75" x14ac:dyDescent="0.25">
      <c r="A64" s="74" t="s">
        <v>452</v>
      </c>
      <c r="B64" s="126"/>
      <c r="C64" s="125" t="s">
        <v>401</v>
      </c>
      <c r="D64" s="75"/>
      <c r="E64" s="75"/>
      <c r="F64" s="75">
        <v>3457198</v>
      </c>
      <c r="G64" s="75">
        <f>F64</f>
        <v>3457198</v>
      </c>
      <c r="H64" s="109">
        <f>D64*1.031*1.005-D64*0.031*0.15+E64+F64</f>
        <v>3457198</v>
      </c>
      <c r="I64" s="75">
        <f>H64</f>
        <v>3457198</v>
      </c>
      <c r="J64" s="169">
        <f t="shared" si="2"/>
        <v>1.0296000000000001</v>
      </c>
      <c r="K64" s="109">
        <f t="shared" si="20"/>
        <v>3559531.06</v>
      </c>
      <c r="L64" s="180">
        <f t="shared" si="21"/>
        <v>1.0465</v>
      </c>
      <c r="M64" s="109">
        <f t="shared" si="18"/>
        <v>3725049.25</v>
      </c>
    </row>
    <row r="65" spans="1:13" ht="31.5" x14ac:dyDescent="0.25">
      <c r="A65" s="74" t="s">
        <v>453</v>
      </c>
      <c r="B65" s="126"/>
      <c r="C65" s="125" t="s">
        <v>400</v>
      </c>
      <c r="D65" s="7"/>
      <c r="E65" s="7"/>
      <c r="F65" s="75">
        <v>1545600</v>
      </c>
      <c r="G65" s="75">
        <f>F65</f>
        <v>1545600</v>
      </c>
      <c r="H65" s="109">
        <f>D65*1.031*1.005-D65*0.031*0.15+E65+F65</f>
        <v>1545600</v>
      </c>
      <c r="I65" s="75">
        <f>H65</f>
        <v>1545600</v>
      </c>
      <c r="J65" s="114">
        <v>1</v>
      </c>
      <c r="K65" s="109">
        <f t="shared" si="20"/>
        <v>1545600</v>
      </c>
      <c r="L65" s="114">
        <v>1</v>
      </c>
      <c r="M65" s="109">
        <f t="shared" si="18"/>
        <v>1545600</v>
      </c>
    </row>
    <row r="66" spans="1:13" ht="47.25" x14ac:dyDescent="0.25">
      <c r="A66" s="72" t="s">
        <v>454</v>
      </c>
      <c r="B66" s="73" t="s">
        <v>197</v>
      </c>
      <c r="C66" s="73" t="s">
        <v>409</v>
      </c>
      <c r="D66" s="7"/>
      <c r="E66" s="7"/>
      <c r="F66" s="7"/>
      <c r="G66" s="7"/>
      <c r="H66" s="7"/>
      <c r="I66" s="7">
        <f>(I22+I23+I24+I25+I41+I46+I49+I50+I60+I61+I62)*0.03</f>
        <v>17358904.379999999</v>
      </c>
      <c r="J66" s="168"/>
      <c r="K66" s="7">
        <f>(K22+K23+K24+K25+K41+K46+K49+K50+K60+K61+K62)*0.03</f>
        <v>17536403.050000001</v>
      </c>
      <c r="L66" s="7"/>
      <c r="M66" s="7">
        <f>(M22+M23+M24+M25+M41+M46+M49+M50+M60+M61+M62)*0.03</f>
        <v>17823497.550000001</v>
      </c>
    </row>
    <row r="67" spans="1:13" ht="19.5" customHeight="1" x14ac:dyDescent="0.25">
      <c r="A67" s="142"/>
      <c r="B67" s="143"/>
      <c r="C67" s="145" t="s">
        <v>455</v>
      </c>
      <c r="D67" s="144"/>
      <c r="E67" s="144"/>
      <c r="F67" s="144"/>
      <c r="G67" s="144"/>
      <c r="H67" s="144"/>
      <c r="I67" s="77">
        <f>I18+I21</f>
        <v>621566012.47000003</v>
      </c>
      <c r="J67" s="77"/>
      <c r="K67" s="77">
        <f>K18+K21</f>
        <v>628417211.52999997</v>
      </c>
      <c r="L67" s="77"/>
      <c r="M67" s="77">
        <f>M18+M21</f>
        <v>638687567.21000004</v>
      </c>
    </row>
    <row r="68" spans="1:13" ht="15.75" x14ac:dyDescent="0.25">
      <c r="A68" s="142"/>
      <c r="B68" s="143"/>
      <c r="C68" s="145" t="s">
        <v>275</v>
      </c>
      <c r="D68" s="144"/>
      <c r="E68" s="144"/>
      <c r="F68" s="144"/>
      <c r="G68" s="144"/>
      <c r="H68" s="144"/>
      <c r="I68" s="77">
        <f>I67*0.2</f>
        <v>124313202.48999999</v>
      </c>
      <c r="J68" s="77"/>
      <c r="K68" s="77">
        <f>K67*0.2</f>
        <v>125683442.31</v>
      </c>
      <c r="L68" s="77"/>
      <c r="M68" s="77">
        <f>M67*0.2</f>
        <v>127737513.44</v>
      </c>
    </row>
    <row r="69" spans="1:13" ht="20.25" customHeight="1" x14ac:dyDescent="0.25">
      <c r="A69" s="142"/>
      <c r="B69" s="143"/>
      <c r="C69" s="145" t="s">
        <v>456</v>
      </c>
      <c r="D69" s="144"/>
      <c r="E69" s="144"/>
      <c r="F69" s="144"/>
      <c r="G69" s="144"/>
      <c r="H69" s="144"/>
      <c r="I69" s="77">
        <f>I67+I68</f>
        <v>745879214.96000004</v>
      </c>
      <c r="J69" s="77"/>
      <c r="K69" s="77">
        <f>K67+K68</f>
        <v>754100653.84000003</v>
      </c>
      <c r="L69" s="77"/>
      <c r="M69" s="77">
        <f>M67+M68</f>
        <v>766425080.64999998</v>
      </c>
    </row>
    <row r="70" spans="1:13" ht="32.25" customHeight="1" x14ac:dyDescent="0.25">
      <c r="A70" s="133" t="s">
        <v>459</v>
      </c>
      <c r="B70" s="95"/>
      <c r="C70" s="95" t="s">
        <v>304</v>
      </c>
      <c r="D70" s="101"/>
      <c r="E70" s="101"/>
      <c r="F70" s="101"/>
      <c r="G70" s="101"/>
      <c r="H70" s="101"/>
      <c r="I70" s="97"/>
      <c r="J70" s="97"/>
      <c r="K70" s="97"/>
      <c r="L70" s="97"/>
      <c r="M70" s="97"/>
    </row>
    <row r="71" spans="1:13" ht="32.25" customHeight="1" x14ac:dyDescent="0.25">
      <c r="A71" s="132" t="s">
        <v>262</v>
      </c>
      <c r="B71" s="128"/>
      <c r="C71" s="128" t="s">
        <v>174</v>
      </c>
      <c r="D71" s="128"/>
      <c r="E71" s="128"/>
      <c r="F71" s="128"/>
      <c r="G71" s="128"/>
      <c r="H71" s="128"/>
      <c r="I71" s="151">
        <f>I72+I73</f>
        <v>9728144.9900000002</v>
      </c>
      <c r="J71" s="129"/>
      <c r="K71" s="151">
        <f>K72+K73</f>
        <v>10016098.08</v>
      </c>
      <c r="L71" s="129"/>
      <c r="M71" s="151">
        <f>M72+M73</f>
        <v>10173350.82</v>
      </c>
    </row>
    <row r="72" spans="1:13" ht="32.25" customHeight="1" x14ac:dyDescent="0.25">
      <c r="A72" s="134" t="s">
        <v>460</v>
      </c>
      <c r="B72" s="118" t="s">
        <v>457</v>
      </c>
      <c r="C72" s="130" t="s">
        <v>458</v>
      </c>
      <c r="D72" s="127"/>
      <c r="E72" s="127"/>
      <c r="F72" s="127"/>
      <c r="G72" s="127"/>
      <c r="H72" s="127"/>
      <c r="I72" s="182">
        <v>9444800.9600000009</v>
      </c>
      <c r="J72" s="168">
        <f t="shared" ref="J72:J73" si="22">$F$131</f>
        <v>1.0296000000000001</v>
      </c>
      <c r="K72" s="103">
        <f>I72*J72</f>
        <v>9724367.0700000003</v>
      </c>
      <c r="L72" s="168">
        <f>$F$173</f>
        <v>1.0157</v>
      </c>
      <c r="M72" s="182">
        <f>K72*L72</f>
        <v>9877039.6300000008</v>
      </c>
    </row>
    <row r="73" spans="1:13" ht="32.25" customHeight="1" x14ac:dyDescent="0.25">
      <c r="A73" s="134" t="s">
        <v>461</v>
      </c>
      <c r="B73" s="73" t="s">
        <v>197</v>
      </c>
      <c r="C73" s="73" t="s">
        <v>408</v>
      </c>
      <c r="D73" s="127"/>
      <c r="E73" s="127"/>
      <c r="F73" s="127"/>
      <c r="G73" s="127"/>
      <c r="H73" s="127"/>
      <c r="I73" s="182">
        <f>I72*0.03</f>
        <v>283344.03000000003</v>
      </c>
      <c r="J73" s="168">
        <f t="shared" si="22"/>
        <v>1.0296000000000001</v>
      </c>
      <c r="K73" s="103">
        <f>I73*J73</f>
        <v>291731.01</v>
      </c>
      <c r="L73" s="168">
        <f>$F$173</f>
        <v>1.0157</v>
      </c>
      <c r="M73" s="182">
        <f>K73*L73</f>
        <v>296311.19</v>
      </c>
    </row>
    <row r="74" spans="1:13" ht="32.25" customHeight="1" x14ac:dyDescent="0.25">
      <c r="A74" s="132" t="s">
        <v>263</v>
      </c>
      <c r="B74" s="128"/>
      <c r="C74" s="128" t="s">
        <v>405</v>
      </c>
      <c r="D74" s="128"/>
      <c r="E74" s="128"/>
      <c r="F74" s="128"/>
      <c r="G74" s="128"/>
      <c r="H74" s="128"/>
      <c r="I74" s="151">
        <f>I75+I76+I87+I91+I94+I95+I102+I103+I104+I108</f>
        <v>390984366.44999999</v>
      </c>
      <c r="J74" s="129"/>
      <c r="K74" s="151">
        <f>K75+K76+K87+K91+K94+K95+K102+K103+K104+K108</f>
        <v>394686012.63</v>
      </c>
      <c r="L74" s="129"/>
      <c r="M74" s="151">
        <f>M75+M76+M87+M91+M94+M95+M102+M103+M104+M108</f>
        <v>400673225.26999998</v>
      </c>
    </row>
    <row r="75" spans="1:13" ht="31.5" x14ac:dyDescent="0.25">
      <c r="A75" s="135" t="s">
        <v>462</v>
      </c>
      <c r="B75" s="112" t="s">
        <v>21</v>
      </c>
      <c r="C75" s="94" t="s">
        <v>22</v>
      </c>
      <c r="D75" s="103"/>
      <c r="E75" s="103"/>
      <c r="F75" s="106">
        <v>306718.75</v>
      </c>
      <c r="G75" s="103">
        <f>F75</f>
        <v>306718.75</v>
      </c>
      <c r="H75" s="103">
        <f>D75*1.031*1.005-D75*0.031*0.15+E75+F75</f>
        <v>306718.75</v>
      </c>
      <c r="I75" s="103">
        <f>H75</f>
        <v>306718.75</v>
      </c>
      <c r="J75" s="168">
        <f t="shared" ref="J75" si="23">$F$131</f>
        <v>1.0296000000000001</v>
      </c>
      <c r="K75" s="103">
        <f>I75*J75</f>
        <v>315797.63</v>
      </c>
      <c r="L75" s="179">
        <f>$F$189</f>
        <v>1.0465</v>
      </c>
      <c r="M75" s="103">
        <f>K75*L75</f>
        <v>330482.21999999997</v>
      </c>
    </row>
    <row r="76" spans="1:13" ht="31.5" x14ac:dyDescent="0.25">
      <c r="A76" s="135" t="s">
        <v>463</v>
      </c>
      <c r="B76" s="113" t="s">
        <v>41</v>
      </c>
      <c r="C76" s="105" t="s">
        <v>42</v>
      </c>
      <c r="D76" s="103">
        <f>D77+D78+D79+D80+D81+D82+D83+D84+D85+D86</f>
        <v>52815290.109999999</v>
      </c>
      <c r="E76" s="103">
        <f>E77+E78+E79+E80+E81+E82+E83+E84+E85+E86</f>
        <v>258187520.06</v>
      </c>
      <c r="F76" s="103"/>
      <c r="G76" s="103">
        <f>G77+G78+G79+G80+G81+G82+G83+G84+G85+G86</f>
        <v>311002810.17000002</v>
      </c>
      <c r="H76" s="103">
        <f>H77+H78+H79+H80+H81+H82+H83+H84+H85+H86</f>
        <v>312666755.88</v>
      </c>
      <c r="I76" s="103">
        <f>I77+I78+I79+I80+I81+I82+I83+I84+I85+I86</f>
        <v>312666755.88</v>
      </c>
      <c r="J76" s="103"/>
      <c r="K76" s="103">
        <f>K77+K78+K79+K80+K81+K82+K83+K84+K85+K86</f>
        <v>314311542.07999998</v>
      </c>
      <c r="L76" s="103"/>
      <c r="M76" s="103">
        <f>M77+M78+M79+M80+M81+M82+M83+M84+M85+M86</f>
        <v>316971894.87</v>
      </c>
    </row>
    <row r="77" spans="1:13" ht="31.5" x14ac:dyDescent="0.25">
      <c r="A77" s="137" t="s">
        <v>464</v>
      </c>
      <c r="B77" s="111" t="s">
        <v>273</v>
      </c>
      <c r="C77" s="110" t="s">
        <v>330</v>
      </c>
      <c r="D77" s="109">
        <v>7171682.96</v>
      </c>
      <c r="E77" s="109"/>
      <c r="F77" s="109"/>
      <c r="G77" s="109">
        <f t="shared" ref="G77:G86" si="24">F77+E77+D77</f>
        <v>7171682.96</v>
      </c>
      <c r="H77" s="109">
        <f t="shared" ref="H77:H86" si="25">D77*1.031*1.005-D77*0.031*0.15+E77+F77</f>
        <v>7397626.8300000001</v>
      </c>
      <c r="I77" s="109">
        <f>H77</f>
        <v>7397626.8300000001</v>
      </c>
      <c r="J77" s="169">
        <f t="shared" ref="J77:J84" si="26">$F$131</f>
        <v>1.0296000000000001</v>
      </c>
      <c r="K77" s="109">
        <f t="shared" ref="K77:K86" si="27">I77*J77</f>
        <v>7616596.5800000001</v>
      </c>
      <c r="L77" s="180">
        <f t="shared" ref="L77:L84" si="28">$F$189</f>
        <v>1.0465</v>
      </c>
      <c r="M77" s="109">
        <f>K77*L77</f>
        <v>7970768.3200000003</v>
      </c>
    </row>
    <row r="78" spans="1:13" ht="47.25" x14ac:dyDescent="0.25">
      <c r="A78" s="137" t="s">
        <v>465</v>
      </c>
      <c r="B78" s="111" t="s">
        <v>331</v>
      </c>
      <c r="C78" s="110" t="s">
        <v>332</v>
      </c>
      <c r="D78" s="109">
        <v>53451.77</v>
      </c>
      <c r="E78" s="109"/>
      <c r="F78" s="109"/>
      <c r="G78" s="109">
        <f t="shared" si="24"/>
        <v>53451.77</v>
      </c>
      <c r="H78" s="109">
        <f t="shared" si="25"/>
        <v>55135.77</v>
      </c>
      <c r="I78" s="109">
        <f t="shared" ref="I78:I86" si="29">H78</f>
        <v>55135.77</v>
      </c>
      <c r="J78" s="169">
        <f t="shared" si="26"/>
        <v>1.0296000000000001</v>
      </c>
      <c r="K78" s="109">
        <f t="shared" si="27"/>
        <v>56767.79</v>
      </c>
      <c r="L78" s="180">
        <f t="shared" si="28"/>
        <v>1.0465</v>
      </c>
      <c r="M78" s="109">
        <f t="shared" ref="M78:M85" si="30">K78*L78</f>
        <v>59407.49</v>
      </c>
    </row>
    <row r="79" spans="1:13" ht="47.25" x14ac:dyDescent="0.25">
      <c r="A79" s="137" t="s">
        <v>466</v>
      </c>
      <c r="B79" s="111" t="s">
        <v>333</v>
      </c>
      <c r="C79" s="110" t="s">
        <v>334</v>
      </c>
      <c r="D79" s="109">
        <v>420028.39</v>
      </c>
      <c r="E79" s="109"/>
      <c r="F79" s="109"/>
      <c r="G79" s="109">
        <f t="shared" si="24"/>
        <v>420028.39</v>
      </c>
      <c r="H79" s="109">
        <f t="shared" si="25"/>
        <v>433261.38</v>
      </c>
      <c r="I79" s="109">
        <f t="shared" si="29"/>
        <v>433261.38</v>
      </c>
      <c r="J79" s="169">
        <f t="shared" si="26"/>
        <v>1.0296000000000001</v>
      </c>
      <c r="K79" s="109">
        <f t="shared" si="27"/>
        <v>446085.92</v>
      </c>
      <c r="L79" s="180">
        <f t="shared" si="28"/>
        <v>1.0465</v>
      </c>
      <c r="M79" s="109">
        <f t="shared" si="30"/>
        <v>466828.92</v>
      </c>
    </row>
    <row r="80" spans="1:13" ht="15.75" x14ac:dyDescent="0.25">
      <c r="A80" s="137" t="s">
        <v>467</v>
      </c>
      <c r="B80" s="111" t="s">
        <v>335</v>
      </c>
      <c r="C80" s="110" t="s">
        <v>336</v>
      </c>
      <c r="D80" s="109">
        <f>1967.7+544583.99</f>
        <v>546551.68999999994</v>
      </c>
      <c r="E80" s="109">
        <v>270227.5</v>
      </c>
      <c r="F80" s="109"/>
      <c r="G80" s="109">
        <f t="shared" si="24"/>
        <v>816779.19</v>
      </c>
      <c r="H80" s="109">
        <f t="shared" si="25"/>
        <v>833998.3</v>
      </c>
      <c r="I80" s="109">
        <f t="shared" si="29"/>
        <v>833998.3</v>
      </c>
      <c r="J80" s="169">
        <f t="shared" si="26"/>
        <v>1.0296000000000001</v>
      </c>
      <c r="K80" s="109">
        <f t="shared" si="27"/>
        <v>858684.65</v>
      </c>
      <c r="L80" s="180">
        <f t="shared" si="28"/>
        <v>1.0465</v>
      </c>
      <c r="M80" s="109">
        <f t="shared" si="30"/>
        <v>898613.49</v>
      </c>
    </row>
    <row r="81" spans="1:13" ht="31.5" x14ac:dyDescent="0.25">
      <c r="A81" s="137" t="s">
        <v>468</v>
      </c>
      <c r="B81" s="111" t="s">
        <v>337</v>
      </c>
      <c r="C81" s="110" t="s">
        <v>338</v>
      </c>
      <c r="D81" s="109">
        <f>1976.88+1269870.67</f>
        <v>1271847.55</v>
      </c>
      <c r="E81" s="109">
        <v>705168.07</v>
      </c>
      <c r="F81" s="109"/>
      <c r="G81" s="109">
        <f t="shared" si="24"/>
        <v>1977015.62</v>
      </c>
      <c r="H81" s="109">
        <f t="shared" si="25"/>
        <v>2017085.18</v>
      </c>
      <c r="I81" s="109">
        <f t="shared" si="29"/>
        <v>2017085.18</v>
      </c>
      <c r="J81" s="169">
        <f t="shared" si="26"/>
        <v>1.0296000000000001</v>
      </c>
      <c r="K81" s="109">
        <f t="shared" si="27"/>
        <v>2076790.9</v>
      </c>
      <c r="L81" s="180">
        <f t="shared" si="28"/>
        <v>1.0465</v>
      </c>
      <c r="M81" s="109">
        <f t="shared" si="30"/>
        <v>2173361.6800000002</v>
      </c>
    </row>
    <row r="82" spans="1:13" ht="15.75" x14ac:dyDescent="0.25">
      <c r="A82" s="137" t="s">
        <v>469</v>
      </c>
      <c r="B82" s="111" t="s">
        <v>339</v>
      </c>
      <c r="C82" s="110" t="s">
        <v>340</v>
      </c>
      <c r="D82" s="109">
        <f>222999.12+247583.05</f>
        <v>470582.17</v>
      </c>
      <c r="E82" s="109">
        <v>17405.810000000001</v>
      </c>
      <c r="F82" s="109"/>
      <c r="G82" s="109">
        <f t="shared" si="24"/>
        <v>487987.98</v>
      </c>
      <c r="H82" s="109">
        <f t="shared" si="25"/>
        <v>502813.67</v>
      </c>
      <c r="I82" s="109">
        <f t="shared" si="29"/>
        <v>502813.67</v>
      </c>
      <c r="J82" s="169">
        <f t="shared" si="26"/>
        <v>1.0296000000000001</v>
      </c>
      <c r="K82" s="109">
        <f t="shared" si="27"/>
        <v>517696.95</v>
      </c>
      <c r="L82" s="180">
        <f t="shared" si="28"/>
        <v>1.0465</v>
      </c>
      <c r="M82" s="109">
        <f t="shared" si="30"/>
        <v>541769.86</v>
      </c>
    </row>
    <row r="83" spans="1:13" ht="31.5" x14ac:dyDescent="0.25">
      <c r="A83" s="137" t="s">
        <v>470</v>
      </c>
      <c r="B83" s="111" t="s">
        <v>341</v>
      </c>
      <c r="C83" s="110" t="s">
        <v>342</v>
      </c>
      <c r="D83" s="109">
        <v>41480832</v>
      </c>
      <c r="E83" s="109"/>
      <c r="F83" s="109"/>
      <c r="G83" s="109">
        <f t="shared" si="24"/>
        <v>41480832</v>
      </c>
      <c r="H83" s="109">
        <f t="shared" si="25"/>
        <v>42787685.609999999</v>
      </c>
      <c r="I83" s="109">
        <f t="shared" si="29"/>
        <v>42787685.609999999</v>
      </c>
      <c r="J83" s="169">
        <f t="shared" si="26"/>
        <v>1.0296000000000001</v>
      </c>
      <c r="K83" s="109">
        <f t="shared" si="27"/>
        <v>44054201.100000001</v>
      </c>
      <c r="L83" s="180">
        <f t="shared" si="28"/>
        <v>1.0465</v>
      </c>
      <c r="M83" s="109">
        <f t="shared" si="30"/>
        <v>46102721.450000003</v>
      </c>
    </row>
    <row r="84" spans="1:13" ht="31.5" x14ac:dyDescent="0.25">
      <c r="A84" s="137" t="s">
        <v>471</v>
      </c>
      <c r="B84" s="111" t="s">
        <v>343</v>
      </c>
      <c r="C84" s="110" t="s">
        <v>344</v>
      </c>
      <c r="D84" s="109">
        <f>922.83+532839.38</f>
        <v>533762.21</v>
      </c>
      <c r="E84" s="109">
        <v>95064.45</v>
      </c>
      <c r="F84" s="109"/>
      <c r="G84" s="109">
        <f t="shared" si="24"/>
        <v>628826.66</v>
      </c>
      <c r="H84" s="109">
        <f t="shared" si="25"/>
        <v>645642.84</v>
      </c>
      <c r="I84" s="109">
        <f t="shared" si="29"/>
        <v>645642.84</v>
      </c>
      <c r="J84" s="169">
        <f t="shared" si="26"/>
        <v>1.0296000000000001</v>
      </c>
      <c r="K84" s="109">
        <f t="shared" si="27"/>
        <v>664753.87</v>
      </c>
      <c r="L84" s="180">
        <f t="shared" si="28"/>
        <v>1.0465</v>
      </c>
      <c r="M84" s="109">
        <f t="shared" si="30"/>
        <v>695664.92</v>
      </c>
    </row>
    <row r="85" spans="1:13" ht="31.5" x14ac:dyDescent="0.25">
      <c r="A85" s="137" t="s">
        <v>472</v>
      </c>
      <c r="B85" s="111" t="s">
        <v>345</v>
      </c>
      <c r="C85" s="110" t="s">
        <v>346</v>
      </c>
      <c r="D85" s="109"/>
      <c r="E85" s="109">
        <v>257099654.22999999</v>
      </c>
      <c r="F85" s="109"/>
      <c r="G85" s="109">
        <f t="shared" si="24"/>
        <v>257099654.22999999</v>
      </c>
      <c r="H85" s="109">
        <f t="shared" si="25"/>
        <v>257099654.22999999</v>
      </c>
      <c r="I85" s="109">
        <f t="shared" si="29"/>
        <v>257099654.22999999</v>
      </c>
      <c r="J85" s="114">
        <v>1</v>
      </c>
      <c r="K85" s="109">
        <f t="shared" si="27"/>
        <v>257099654.22999999</v>
      </c>
      <c r="L85" s="114">
        <v>1</v>
      </c>
      <c r="M85" s="109">
        <f t="shared" si="30"/>
        <v>257099654.22999999</v>
      </c>
    </row>
    <row r="86" spans="1:13" ht="47.25" x14ac:dyDescent="0.25">
      <c r="A86" s="137" t="s">
        <v>473</v>
      </c>
      <c r="B86" s="111" t="s">
        <v>347</v>
      </c>
      <c r="C86" s="110" t="s">
        <v>348</v>
      </c>
      <c r="D86" s="109">
        <v>866551.37</v>
      </c>
      <c r="E86" s="109"/>
      <c r="F86" s="109"/>
      <c r="G86" s="109">
        <f t="shared" si="24"/>
        <v>866551.37</v>
      </c>
      <c r="H86" s="109">
        <f t="shared" si="25"/>
        <v>893852.07</v>
      </c>
      <c r="I86" s="109">
        <f t="shared" si="29"/>
        <v>893852.07</v>
      </c>
      <c r="J86" s="169">
        <f t="shared" ref="J86" si="31">$F$131</f>
        <v>1.0296000000000001</v>
      </c>
      <c r="K86" s="109">
        <f t="shared" si="27"/>
        <v>920310.09</v>
      </c>
      <c r="L86" s="180">
        <f>$F$189</f>
        <v>1.0465</v>
      </c>
      <c r="M86" s="109">
        <f>K86*L86</f>
        <v>963104.51</v>
      </c>
    </row>
    <row r="87" spans="1:13" ht="31.5" x14ac:dyDescent="0.25">
      <c r="A87" s="135" t="s">
        <v>474</v>
      </c>
      <c r="B87" s="113" t="s">
        <v>51</v>
      </c>
      <c r="C87" s="105" t="s">
        <v>52</v>
      </c>
      <c r="D87" s="103">
        <f>D88+D89+D90</f>
        <v>15819513.970000001</v>
      </c>
      <c r="E87" s="103">
        <f>E88+E89+E90</f>
        <v>27936777.030000001</v>
      </c>
      <c r="F87" s="103"/>
      <c r="G87" s="103">
        <f>G88+G89+G90</f>
        <v>43756291</v>
      </c>
      <c r="H87" s="103">
        <f>H88+H89+H90</f>
        <v>44254684.789999999</v>
      </c>
      <c r="I87" s="103">
        <f>I88+I89+I90</f>
        <v>44254684.789999999</v>
      </c>
      <c r="J87" s="103"/>
      <c r="K87" s="103">
        <f>K88+K89+K90</f>
        <v>45564623.460000001</v>
      </c>
      <c r="L87" s="103"/>
      <c r="M87" s="103">
        <f>M88+M89+M90</f>
        <v>47683378.460000001</v>
      </c>
    </row>
    <row r="88" spans="1:13" ht="15.75" x14ac:dyDescent="0.25">
      <c r="A88" s="138" t="s">
        <v>475</v>
      </c>
      <c r="B88" s="111" t="s">
        <v>357</v>
      </c>
      <c r="C88" s="110" t="s">
        <v>358</v>
      </c>
      <c r="D88" s="75">
        <v>10828897.210000001</v>
      </c>
      <c r="E88" s="75"/>
      <c r="F88" s="75"/>
      <c r="G88" s="75">
        <f>F88+E88+D88</f>
        <v>10828897.210000001</v>
      </c>
      <c r="H88" s="109">
        <f>D88*1.031*1.005-D88*0.031*0.15+E88+F88</f>
        <v>11170061.619999999</v>
      </c>
      <c r="I88" s="75">
        <f>H88</f>
        <v>11170061.619999999</v>
      </c>
      <c r="J88" s="169">
        <f t="shared" ref="J88:J90" si="32">$F$131</f>
        <v>1.0296000000000001</v>
      </c>
      <c r="K88" s="109">
        <f t="shared" ref="K88:K93" si="33">I88*J88</f>
        <v>11500695.439999999</v>
      </c>
      <c r="L88" s="180">
        <f>$F$189</f>
        <v>1.0465</v>
      </c>
      <c r="M88" s="109">
        <f t="shared" ref="M88:M90" si="34">K88*L88</f>
        <v>12035477.779999999</v>
      </c>
    </row>
    <row r="89" spans="1:13" ht="15.75" x14ac:dyDescent="0.25">
      <c r="A89" s="138" t="s">
        <v>476</v>
      </c>
      <c r="B89" s="111" t="s">
        <v>359</v>
      </c>
      <c r="C89" s="110" t="s">
        <v>360</v>
      </c>
      <c r="D89" s="75">
        <f>351227.18+1725841.02</f>
        <v>2077068.2</v>
      </c>
      <c r="E89" s="75">
        <v>33027.54</v>
      </c>
      <c r="F89" s="75"/>
      <c r="G89" s="75">
        <f>F89+E89+D89</f>
        <v>2110095.7400000002</v>
      </c>
      <c r="H89" s="109">
        <f>D89*1.031*1.005-D89*0.031*0.15+E89+F89</f>
        <v>2175533.77</v>
      </c>
      <c r="I89" s="75">
        <f t="shared" ref="I89:I90" si="35">H89</f>
        <v>2175533.77</v>
      </c>
      <c r="J89" s="169">
        <f t="shared" si="32"/>
        <v>1.0296000000000001</v>
      </c>
      <c r="K89" s="109">
        <f t="shared" si="33"/>
        <v>2239929.5699999998</v>
      </c>
      <c r="L89" s="180">
        <f>$F$189</f>
        <v>1.0465</v>
      </c>
      <c r="M89" s="109">
        <f t="shared" si="34"/>
        <v>2344086.2999999998</v>
      </c>
    </row>
    <row r="90" spans="1:13" ht="15.75" x14ac:dyDescent="0.25">
      <c r="A90" s="138" t="s">
        <v>477</v>
      </c>
      <c r="B90" s="111" t="s">
        <v>361</v>
      </c>
      <c r="C90" s="110" t="s">
        <v>362</v>
      </c>
      <c r="D90" s="75">
        <f>2913548.56</f>
        <v>2913548.56</v>
      </c>
      <c r="E90" s="75">
        <v>27903749.489999998</v>
      </c>
      <c r="F90" s="75"/>
      <c r="G90" s="75">
        <f>D90+E90+F90</f>
        <v>30817298.050000001</v>
      </c>
      <c r="H90" s="109">
        <f>D90*1.031*1.005-D90*0.031*0.15+E90+F90</f>
        <v>30909089.399999999</v>
      </c>
      <c r="I90" s="75">
        <f t="shared" si="35"/>
        <v>30909089.399999999</v>
      </c>
      <c r="J90" s="169">
        <f t="shared" si="32"/>
        <v>1.0296000000000001</v>
      </c>
      <c r="K90" s="109">
        <f t="shared" si="33"/>
        <v>31823998.449999999</v>
      </c>
      <c r="L90" s="180">
        <f>$F$189</f>
        <v>1.0465</v>
      </c>
      <c r="M90" s="109">
        <f t="shared" si="34"/>
        <v>33303814.379999999</v>
      </c>
    </row>
    <row r="91" spans="1:13" ht="31.5" x14ac:dyDescent="0.25">
      <c r="A91" s="72" t="s">
        <v>478</v>
      </c>
      <c r="B91" s="113" t="s">
        <v>61</v>
      </c>
      <c r="C91" s="105" t="s">
        <v>62</v>
      </c>
      <c r="D91" s="7">
        <f>D92+D93</f>
        <v>8783388.6099999994</v>
      </c>
      <c r="E91" s="7">
        <f>E92+E93</f>
        <v>256373.4</v>
      </c>
      <c r="F91" s="7"/>
      <c r="G91" s="7">
        <f>G92+G93</f>
        <v>9039762.0099999998</v>
      </c>
      <c r="H91" s="7">
        <f>H92+H93</f>
        <v>9316482.6699999999</v>
      </c>
      <c r="I91" s="7">
        <f>I92+I93</f>
        <v>9316482.6699999999</v>
      </c>
      <c r="J91" s="7"/>
      <c r="K91" s="7">
        <f>K92+K93</f>
        <v>9592250.5500000007</v>
      </c>
      <c r="L91" s="7"/>
      <c r="M91" s="7">
        <f>M92+M93</f>
        <v>10038290.199999999</v>
      </c>
    </row>
    <row r="92" spans="1:13" ht="31.5" x14ac:dyDescent="0.25">
      <c r="A92" s="74" t="s">
        <v>479</v>
      </c>
      <c r="B92" s="111" t="s">
        <v>367</v>
      </c>
      <c r="C92" s="110" t="s">
        <v>364</v>
      </c>
      <c r="D92" s="75">
        <v>7088439.29</v>
      </c>
      <c r="E92" s="75"/>
      <c r="F92" s="75"/>
      <c r="G92" s="75">
        <f>F92+E92+D92</f>
        <v>7088439.29</v>
      </c>
      <c r="H92" s="109">
        <f>D92*1.031*1.005-D92*0.031*0.15+E92+F92</f>
        <v>7311760.5700000003</v>
      </c>
      <c r="I92" s="75">
        <f t="shared" ref="I92:I93" si="36">H92</f>
        <v>7311760.5700000003</v>
      </c>
      <c r="J92" s="169">
        <f t="shared" ref="J92:J94" si="37">$F$131</f>
        <v>1.0296000000000001</v>
      </c>
      <c r="K92" s="109">
        <f t="shared" si="33"/>
        <v>7528188.6799999997</v>
      </c>
      <c r="L92" s="180">
        <f>$F$189</f>
        <v>1.0465</v>
      </c>
      <c r="M92" s="109">
        <f t="shared" ref="M92:M93" si="38">K92*L92</f>
        <v>7878249.4500000002</v>
      </c>
    </row>
    <row r="93" spans="1:13" ht="31.5" x14ac:dyDescent="0.25">
      <c r="A93" s="74" t="s">
        <v>480</v>
      </c>
      <c r="B93" s="111" t="s">
        <v>368</v>
      </c>
      <c r="C93" s="110" t="s">
        <v>369</v>
      </c>
      <c r="D93" s="75">
        <v>1694949.32</v>
      </c>
      <c r="E93" s="75">
        <v>256373.4</v>
      </c>
      <c r="F93" s="75"/>
      <c r="G93" s="75">
        <f>F93+E93+D93</f>
        <v>1951322.72</v>
      </c>
      <c r="H93" s="109">
        <f>D93*1.031*1.005-D93*0.031*0.15+E93+F93</f>
        <v>2004722.1</v>
      </c>
      <c r="I93" s="75">
        <f t="shared" si="36"/>
        <v>2004722.1</v>
      </c>
      <c r="J93" s="169">
        <f t="shared" si="37"/>
        <v>1.0296000000000001</v>
      </c>
      <c r="K93" s="109">
        <f t="shared" si="33"/>
        <v>2064061.87</v>
      </c>
      <c r="L93" s="180">
        <f>$F$189</f>
        <v>1.0465</v>
      </c>
      <c r="M93" s="109">
        <f t="shared" si="38"/>
        <v>2160040.75</v>
      </c>
    </row>
    <row r="94" spans="1:13" ht="15.75" x14ac:dyDescent="0.25">
      <c r="A94" s="139" t="s">
        <v>481</v>
      </c>
      <c r="B94" s="113" t="s">
        <v>71</v>
      </c>
      <c r="C94" s="105" t="s">
        <v>72</v>
      </c>
      <c r="D94" s="7">
        <v>6312303.1200000001</v>
      </c>
      <c r="E94" s="7"/>
      <c r="F94" s="7"/>
      <c r="G94" s="7">
        <f>F94+E94+D94</f>
        <v>6312303.1200000001</v>
      </c>
      <c r="H94" s="103">
        <f>D94*1.031*1.005-D94*0.031*0.15+E94+F94</f>
        <v>6511172.2300000004</v>
      </c>
      <c r="I94" s="7">
        <f>H94</f>
        <v>6511172.2300000004</v>
      </c>
      <c r="J94" s="168">
        <f t="shared" si="37"/>
        <v>1.0296000000000001</v>
      </c>
      <c r="K94" s="7">
        <f>I94*J94</f>
        <v>6703902.9299999997</v>
      </c>
      <c r="L94" s="179">
        <f>$F$189</f>
        <v>1.0465</v>
      </c>
      <c r="M94" s="103">
        <f>K94*L94</f>
        <v>7015634.4199999999</v>
      </c>
    </row>
    <row r="95" spans="1:13" ht="31.5" x14ac:dyDescent="0.25">
      <c r="A95" s="72" t="s">
        <v>482</v>
      </c>
      <c r="B95" s="113" t="s">
        <v>107</v>
      </c>
      <c r="C95" s="105" t="s">
        <v>108</v>
      </c>
      <c r="D95" s="7"/>
      <c r="E95" s="7"/>
      <c r="F95" s="7">
        <f>F96+F97+F98+F99+F100+F101</f>
        <v>2773406.59</v>
      </c>
      <c r="G95" s="7">
        <f>G96+G97+G98+G99+G100+G101</f>
        <v>2773406.59</v>
      </c>
      <c r="H95" s="7">
        <f>H96+H97+H98+H99+H100+H101</f>
        <v>2773406.59</v>
      </c>
      <c r="I95" s="7">
        <f>I96+I97+I98+I99+I100+I101</f>
        <v>2773406.59</v>
      </c>
      <c r="J95" s="7"/>
      <c r="K95" s="7">
        <f>K96+K97+K98+K99+K100+K101</f>
        <v>2855499.42</v>
      </c>
      <c r="L95" s="7"/>
      <c r="M95" s="7">
        <f>M96+M97+M98+M99+M100+M101</f>
        <v>2988280.14</v>
      </c>
    </row>
    <row r="96" spans="1:13" ht="31.5" x14ac:dyDescent="0.25">
      <c r="A96" s="74" t="s">
        <v>483</v>
      </c>
      <c r="B96" s="120" t="s">
        <v>387</v>
      </c>
      <c r="C96" s="121" t="s">
        <v>388</v>
      </c>
      <c r="D96" s="75"/>
      <c r="E96" s="75"/>
      <c r="F96" s="75">
        <v>57750.35</v>
      </c>
      <c r="G96" s="75">
        <f t="shared" ref="G96:G103" si="39">F96</f>
        <v>57750.35</v>
      </c>
      <c r="H96" s="109">
        <f t="shared" ref="H96:H103" si="40">D96*1.031*1.005-D96*0.031*0.15+E96+F96</f>
        <v>57750.35</v>
      </c>
      <c r="I96" s="75">
        <f t="shared" ref="I96:I101" si="41">H96</f>
        <v>57750.35</v>
      </c>
      <c r="J96" s="169">
        <f t="shared" ref="J96:J103" si="42">$F$131</f>
        <v>1.0296000000000001</v>
      </c>
      <c r="K96" s="109">
        <f t="shared" ref="K96:K101" si="43">I96*J96</f>
        <v>59459.76</v>
      </c>
      <c r="L96" s="180">
        <f t="shared" ref="L96:L103" si="44">$F$189</f>
        <v>1.0465</v>
      </c>
      <c r="M96" s="109">
        <f t="shared" ref="M96:M107" si="45">K96*L96</f>
        <v>62224.639999999999</v>
      </c>
    </row>
    <row r="97" spans="1:13" ht="31.5" x14ac:dyDescent="0.25">
      <c r="A97" s="74" t="s">
        <v>484</v>
      </c>
      <c r="B97" s="120" t="s">
        <v>389</v>
      </c>
      <c r="C97" s="121" t="s">
        <v>390</v>
      </c>
      <c r="D97" s="75"/>
      <c r="E97" s="75"/>
      <c r="F97" s="75">
        <v>7661.55</v>
      </c>
      <c r="G97" s="75">
        <f t="shared" si="39"/>
        <v>7661.55</v>
      </c>
      <c r="H97" s="109">
        <f t="shared" si="40"/>
        <v>7661.55</v>
      </c>
      <c r="I97" s="75">
        <f t="shared" si="41"/>
        <v>7661.55</v>
      </c>
      <c r="J97" s="169">
        <f t="shared" si="42"/>
        <v>1.0296000000000001</v>
      </c>
      <c r="K97" s="109">
        <f t="shared" si="43"/>
        <v>7888.33</v>
      </c>
      <c r="L97" s="180">
        <f t="shared" si="44"/>
        <v>1.0465</v>
      </c>
      <c r="M97" s="109">
        <f t="shared" si="45"/>
        <v>8255.14</v>
      </c>
    </row>
    <row r="98" spans="1:13" ht="31.5" x14ac:dyDescent="0.25">
      <c r="A98" s="74" t="s">
        <v>485</v>
      </c>
      <c r="B98" s="120" t="s">
        <v>391</v>
      </c>
      <c r="C98" s="121" t="s">
        <v>392</v>
      </c>
      <c r="D98" s="75"/>
      <c r="E98" s="75"/>
      <c r="F98" s="75">
        <v>478117.6</v>
      </c>
      <c r="G98" s="75">
        <f t="shared" si="39"/>
        <v>478117.6</v>
      </c>
      <c r="H98" s="109">
        <f t="shared" si="40"/>
        <v>478117.6</v>
      </c>
      <c r="I98" s="75">
        <f t="shared" si="41"/>
        <v>478117.6</v>
      </c>
      <c r="J98" s="169">
        <f t="shared" si="42"/>
        <v>1.0296000000000001</v>
      </c>
      <c r="K98" s="109">
        <f t="shared" si="43"/>
        <v>492269.88</v>
      </c>
      <c r="L98" s="180">
        <f t="shared" si="44"/>
        <v>1.0465</v>
      </c>
      <c r="M98" s="109">
        <f t="shared" si="45"/>
        <v>515160.43</v>
      </c>
    </row>
    <row r="99" spans="1:13" ht="15.75" x14ac:dyDescent="0.25">
      <c r="A99" s="74" t="s">
        <v>486</v>
      </c>
      <c r="B99" s="120" t="s">
        <v>393</v>
      </c>
      <c r="C99" s="121" t="s">
        <v>394</v>
      </c>
      <c r="D99" s="75"/>
      <c r="E99" s="75"/>
      <c r="F99" s="75">
        <v>418762.34</v>
      </c>
      <c r="G99" s="75">
        <f t="shared" si="39"/>
        <v>418762.34</v>
      </c>
      <c r="H99" s="109">
        <f t="shared" si="40"/>
        <v>418762.34</v>
      </c>
      <c r="I99" s="75">
        <f t="shared" si="41"/>
        <v>418762.34</v>
      </c>
      <c r="J99" s="169">
        <f t="shared" si="42"/>
        <v>1.0296000000000001</v>
      </c>
      <c r="K99" s="109">
        <f t="shared" si="43"/>
        <v>431157.71</v>
      </c>
      <c r="L99" s="180">
        <f t="shared" si="44"/>
        <v>1.0465</v>
      </c>
      <c r="M99" s="109">
        <f t="shared" si="45"/>
        <v>451206.54</v>
      </c>
    </row>
    <row r="100" spans="1:13" ht="31.5" x14ac:dyDescent="0.25">
      <c r="A100" s="74" t="s">
        <v>487</v>
      </c>
      <c r="B100" s="120" t="s">
        <v>395</v>
      </c>
      <c r="C100" s="121" t="s">
        <v>396</v>
      </c>
      <c r="D100" s="75"/>
      <c r="E100" s="75"/>
      <c r="F100" s="75">
        <v>1613873.71</v>
      </c>
      <c r="G100" s="75">
        <f t="shared" si="39"/>
        <v>1613873.71</v>
      </c>
      <c r="H100" s="109">
        <f t="shared" si="40"/>
        <v>1613873.71</v>
      </c>
      <c r="I100" s="75">
        <f t="shared" si="41"/>
        <v>1613873.71</v>
      </c>
      <c r="J100" s="169">
        <f t="shared" si="42"/>
        <v>1.0296000000000001</v>
      </c>
      <c r="K100" s="109">
        <f t="shared" si="43"/>
        <v>1661644.37</v>
      </c>
      <c r="L100" s="180">
        <f t="shared" si="44"/>
        <v>1.0465</v>
      </c>
      <c r="M100" s="109">
        <f t="shared" si="45"/>
        <v>1738910.83</v>
      </c>
    </row>
    <row r="101" spans="1:13" ht="31.5" x14ac:dyDescent="0.25">
      <c r="A101" s="74" t="s">
        <v>488</v>
      </c>
      <c r="B101" s="120" t="s">
        <v>397</v>
      </c>
      <c r="C101" s="121" t="s">
        <v>398</v>
      </c>
      <c r="D101" s="75"/>
      <c r="E101" s="75"/>
      <c r="F101" s="75">
        <v>197241.04</v>
      </c>
      <c r="G101" s="75">
        <f t="shared" si="39"/>
        <v>197241.04</v>
      </c>
      <c r="H101" s="109">
        <f t="shared" si="40"/>
        <v>197241.04</v>
      </c>
      <c r="I101" s="75">
        <f t="shared" si="41"/>
        <v>197241.04</v>
      </c>
      <c r="J101" s="169">
        <f t="shared" si="42"/>
        <v>1.0296000000000001</v>
      </c>
      <c r="K101" s="109">
        <f t="shared" si="43"/>
        <v>203079.37</v>
      </c>
      <c r="L101" s="180">
        <f t="shared" si="44"/>
        <v>1.0465</v>
      </c>
      <c r="M101" s="109">
        <f t="shared" si="45"/>
        <v>212522.56</v>
      </c>
    </row>
    <row r="102" spans="1:13" ht="31.5" x14ac:dyDescent="0.25">
      <c r="A102" s="139" t="s">
        <v>489</v>
      </c>
      <c r="B102" s="113" t="s">
        <v>123</v>
      </c>
      <c r="C102" s="105" t="s">
        <v>124</v>
      </c>
      <c r="D102" s="7"/>
      <c r="E102" s="7"/>
      <c r="F102" s="7">
        <v>73483.600000000006</v>
      </c>
      <c r="G102" s="7">
        <f t="shared" si="39"/>
        <v>73483.600000000006</v>
      </c>
      <c r="H102" s="103">
        <f t="shared" si="40"/>
        <v>73483.600000000006</v>
      </c>
      <c r="I102" s="7">
        <f>H102</f>
        <v>73483.600000000006</v>
      </c>
      <c r="J102" s="168">
        <f t="shared" si="42"/>
        <v>1.0296000000000001</v>
      </c>
      <c r="K102" s="7">
        <f>I102*J102</f>
        <v>75658.710000000006</v>
      </c>
      <c r="L102" s="179">
        <f t="shared" si="44"/>
        <v>1.0465</v>
      </c>
      <c r="M102" s="103">
        <f t="shared" si="45"/>
        <v>79176.84</v>
      </c>
    </row>
    <row r="103" spans="1:13" ht="31.5" x14ac:dyDescent="0.25">
      <c r="A103" s="139" t="s">
        <v>490</v>
      </c>
      <c r="B103" s="113" t="s">
        <v>131</v>
      </c>
      <c r="C103" s="105" t="s">
        <v>132</v>
      </c>
      <c r="D103" s="7"/>
      <c r="E103" s="7"/>
      <c r="F103" s="7">
        <v>120017.77</v>
      </c>
      <c r="G103" s="7">
        <f t="shared" si="39"/>
        <v>120017.77</v>
      </c>
      <c r="H103" s="103">
        <f t="shared" si="40"/>
        <v>120017.77</v>
      </c>
      <c r="I103" s="7">
        <f>H103</f>
        <v>120017.77</v>
      </c>
      <c r="J103" s="168">
        <f t="shared" si="42"/>
        <v>1.0296000000000001</v>
      </c>
      <c r="K103" s="7">
        <f>I103*J103</f>
        <v>123570.3</v>
      </c>
      <c r="L103" s="179">
        <f t="shared" si="44"/>
        <v>1.0465</v>
      </c>
      <c r="M103" s="103">
        <f t="shared" si="45"/>
        <v>129316.32</v>
      </c>
    </row>
    <row r="104" spans="1:13" ht="47.25" x14ac:dyDescent="0.25">
      <c r="A104" s="72" t="s">
        <v>491</v>
      </c>
      <c r="B104" s="113" t="s">
        <v>141</v>
      </c>
      <c r="C104" s="105" t="s">
        <v>142</v>
      </c>
      <c r="D104" s="7"/>
      <c r="E104" s="7"/>
      <c r="F104" s="7">
        <f>F105+F106+F107</f>
        <v>3573750</v>
      </c>
      <c r="G104" s="7">
        <f>G105+G106+G107</f>
        <v>3573750</v>
      </c>
      <c r="H104" s="7">
        <f>H105+H106+H107</f>
        <v>3573750</v>
      </c>
      <c r="I104" s="7">
        <f>I105+I106+I107</f>
        <v>3573750</v>
      </c>
      <c r="J104" s="7"/>
      <c r="K104" s="7">
        <f>K105+K106+K107</f>
        <v>3647458.44</v>
      </c>
      <c r="L104" s="7"/>
      <c r="M104" s="7">
        <f>M105+M106+M107</f>
        <v>3766677.86</v>
      </c>
    </row>
    <row r="105" spans="1:13" ht="31.5" x14ac:dyDescent="0.25">
      <c r="A105" s="74" t="s">
        <v>492</v>
      </c>
      <c r="B105" s="126"/>
      <c r="C105" s="125" t="s">
        <v>399</v>
      </c>
      <c r="D105" s="75"/>
      <c r="E105" s="75"/>
      <c r="F105" s="75">
        <v>66354</v>
      </c>
      <c r="G105" s="75">
        <f>F105</f>
        <v>66354</v>
      </c>
      <c r="H105" s="109">
        <f>D105*1.031*1.005-D105*0.031*0.15+E105+F105</f>
        <v>66354</v>
      </c>
      <c r="I105" s="75">
        <f t="shared" ref="I105:I107" si="46">H105</f>
        <v>66354</v>
      </c>
      <c r="J105" s="169">
        <f t="shared" ref="J105:J106" si="47">$F$131</f>
        <v>1.0296000000000001</v>
      </c>
      <c r="K105" s="109">
        <f t="shared" ref="K105:K107" si="48">I105*J105</f>
        <v>68318.080000000002</v>
      </c>
      <c r="L105" s="180">
        <f>$F$189</f>
        <v>1.0465</v>
      </c>
      <c r="M105" s="109">
        <f t="shared" si="45"/>
        <v>71494.87</v>
      </c>
    </row>
    <row r="106" spans="1:13" ht="15.75" x14ac:dyDescent="0.25">
      <c r="A106" s="74" t="s">
        <v>493</v>
      </c>
      <c r="B106" s="126"/>
      <c r="C106" s="125" t="s">
        <v>401</v>
      </c>
      <c r="D106" s="75"/>
      <c r="E106" s="75"/>
      <c r="F106" s="75">
        <v>2423796</v>
      </c>
      <c r="G106" s="75">
        <f>F106</f>
        <v>2423796</v>
      </c>
      <c r="H106" s="109">
        <f>D106*1.031*1.005-D106*0.031*0.15+E106+F106</f>
        <v>2423796</v>
      </c>
      <c r="I106" s="75">
        <f t="shared" si="46"/>
        <v>2423796</v>
      </c>
      <c r="J106" s="169">
        <f t="shared" si="47"/>
        <v>1.0296000000000001</v>
      </c>
      <c r="K106" s="109">
        <f t="shared" si="48"/>
        <v>2495540.36</v>
      </c>
      <c r="L106" s="180">
        <f>$F$189</f>
        <v>1.0465</v>
      </c>
      <c r="M106" s="109">
        <f t="shared" si="45"/>
        <v>2611582.9900000002</v>
      </c>
    </row>
    <row r="107" spans="1:13" ht="31.5" x14ac:dyDescent="0.25">
      <c r="A107" s="74" t="s">
        <v>494</v>
      </c>
      <c r="B107" s="113"/>
      <c r="C107" s="125" t="s">
        <v>400</v>
      </c>
      <c r="D107" s="7"/>
      <c r="E107" s="7"/>
      <c r="F107" s="75">
        <v>1083600</v>
      </c>
      <c r="G107" s="75">
        <f>F107</f>
        <v>1083600</v>
      </c>
      <c r="H107" s="109">
        <f>D107*1.031*1.005-D107*0.031*0.15+E107+F107</f>
        <v>1083600</v>
      </c>
      <c r="I107" s="75">
        <f t="shared" si="46"/>
        <v>1083600</v>
      </c>
      <c r="J107" s="114">
        <v>1</v>
      </c>
      <c r="K107" s="109">
        <f t="shared" si="48"/>
        <v>1083600</v>
      </c>
      <c r="L107" s="114">
        <v>1</v>
      </c>
      <c r="M107" s="109">
        <f t="shared" si="45"/>
        <v>1083600</v>
      </c>
    </row>
    <row r="108" spans="1:13" ht="47.25" x14ac:dyDescent="0.25">
      <c r="A108" s="72" t="s">
        <v>495</v>
      </c>
      <c r="B108" s="73" t="s">
        <v>197</v>
      </c>
      <c r="C108" s="73" t="s">
        <v>409</v>
      </c>
      <c r="D108" s="7"/>
      <c r="E108" s="7"/>
      <c r="F108" s="7"/>
      <c r="G108" s="7"/>
      <c r="H108" s="7"/>
      <c r="I108" s="7">
        <f>(I75+I76+I87+I91+I94+I95+I102+I103+I104)*0.03</f>
        <v>11387894.17</v>
      </c>
      <c r="J108" s="168"/>
      <c r="K108" s="7">
        <f>(K75+K76+K87+K91+K94+K95+K102+K103+K104)*0.03</f>
        <v>11495709.109999999</v>
      </c>
      <c r="L108" s="7"/>
      <c r="M108" s="7">
        <f>(M75+M76+M87+M91+M94+M95+M102+M103+M104)*0.03</f>
        <v>11670093.939999999</v>
      </c>
    </row>
    <row r="109" spans="1:13" ht="15.75" x14ac:dyDescent="0.25">
      <c r="A109" s="142"/>
      <c r="B109" s="143"/>
      <c r="C109" s="145" t="s">
        <v>496</v>
      </c>
      <c r="D109" s="144"/>
      <c r="E109" s="144"/>
      <c r="F109" s="144"/>
      <c r="G109" s="144"/>
      <c r="H109" s="144"/>
      <c r="I109" s="77">
        <f>I71+I74</f>
        <v>400712511.44</v>
      </c>
      <c r="J109" s="77"/>
      <c r="K109" s="77">
        <f>K71+K74</f>
        <v>404702110.70999998</v>
      </c>
      <c r="L109" s="77"/>
      <c r="M109" s="77">
        <f>M71+M74</f>
        <v>410846576.08999997</v>
      </c>
    </row>
    <row r="110" spans="1:13" ht="15.75" x14ac:dyDescent="0.25">
      <c r="A110" s="142"/>
      <c r="B110" s="143"/>
      <c r="C110" s="145" t="s">
        <v>275</v>
      </c>
      <c r="D110" s="144"/>
      <c r="E110" s="144"/>
      <c r="F110" s="144"/>
      <c r="G110" s="144"/>
      <c r="H110" s="144"/>
      <c r="I110" s="77">
        <f>I109*0.2</f>
        <v>80142502.290000007</v>
      </c>
      <c r="J110" s="77"/>
      <c r="K110" s="77">
        <f>K109*0.2</f>
        <v>80940422.140000001</v>
      </c>
      <c r="L110" s="77"/>
      <c r="M110" s="77">
        <f>M109*0.2</f>
        <v>82169315.219999999</v>
      </c>
    </row>
    <row r="111" spans="1:13" ht="15.75" x14ac:dyDescent="0.25">
      <c r="A111" s="142"/>
      <c r="B111" s="143"/>
      <c r="C111" s="145" t="s">
        <v>497</v>
      </c>
      <c r="D111" s="144"/>
      <c r="E111" s="144"/>
      <c r="F111" s="144"/>
      <c r="G111" s="144"/>
      <c r="H111" s="144"/>
      <c r="I111" s="77">
        <f>I109+I110</f>
        <v>480855013.73000002</v>
      </c>
      <c r="J111" s="77"/>
      <c r="K111" s="77">
        <f>K109+K110</f>
        <v>485642532.85000002</v>
      </c>
      <c r="L111" s="77"/>
      <c r="M111" s="77">
        <f>M109+M110</f>
        <v>493015891.31</v>
      </c>
    </row>
    <row r="112" spans="1:13" ht="15.75" x14ac:dyDescent="0.25">
      <c r="A112" s="146"/>
      <c r="B112" s="147"/>
      <c r="C112" s="149" t="s">
        <v>498</v>
      </c>
      <c r="D112" s="148"/>
      <c r="E112" s="148"/>
      <c r="F112" s="148"/>
      <c r="G112" s="148"/>
      <c r="H112" s="148"/>
      <c r="I112" s="152">
        <f>I67+I109</f>
        <v>1022278523.91</v>
      </c>
      <c r="J112" s="152"/>
      <c r="K112" s="152">
        <f>K67+K109</f>
        <v>1033119322.24</v>
      </c>
      <c r="L112" s="152"/>
      <c r="M112" s="152">
        <f>M67+M109</f>
        <v>1049534143.3</v>
      </c>
    </row>
    <row r="113" spans="1:16" ht="15.75" x14ac:dyDescent="0.25">
      <c r="A113" s="146"/>
      <c r="B113" s="147"/>
      <c r="C113" s="150" t="s">
        <v>275</v>
      </c>
      <c r="D113" s="148"/>
      <c r="E113" s="148"/>
      <c r="F113" s="148"/>
      <c r="G113" s="148"/>
      <c r="H113" s="148"/>
      <c r="I113" s="152">
        <f>I68+I110</f>
        <v>204455704.78</v>
      </c>
      <c r="J113" s="152"/>
      <c r="K113" s="152">
        <f>K68+K110</f>
        <v>206623864.44999999</v>
      </c>
      <c r="L113" s="152"/>
      <c r="M113" s="152">
        <f>M68+M110</f>
        <v>209906828.66</v>
      </c>
    </row>
    <row r="114" spans="1:16" ht="15.75" x14ac:dyDescent="0.25">
      <c r="A114" s="146"/>
      <c r="B114" s="147"/>
      <c r="C114" s="149" t="s">
        <v>499</v>
      </c>
      <c r="D114" s="148"/>
      <c r="E114" s="148"/>
      <c r="F114" s="148"/>
      <c r="G114" s="148"/>
      <c r="H114" s="148"/>
      <c r="I114" s="152">
        <f>I69+I111</f>
        <v>1226734228.6900001</v>
      </c>
      <c r="J114" s="152"/>
      <c r="K114" s="152">
        <f>K69+K111</f>
        <v>1239743186.6900001</v>
      </c>
      <c r="L114" s="152"/>
      <c r="M114" s="152">
        <f>M69+M111</f>
        <v>1259440971.96</v>
      </c>
      <c r="P114" s="286">
        <v>1253397849.77</v>
      </c>
    </row>
    <row r="115" spans="1:16" ht="15.75" x14ac:dyDescent="0.2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1:16" ht="15.75" x14ac:dyDescent="0.25">
      <c r="A116" s="104"/>
      <c r="B116" s="104"/>
      <c r="C116" s="104"/>
      <c r="D116" s="104"/>
      <c r="E116" s="104"/>
      <c r="F116" s="104"/>
      <c r="G116" s="104"/>
      <c r="H116" s="104"/>
      <c r="I116" s="153"/>
      <c r="J116" s="104" t="s">
        <v>515</v>
      </c>
      <c r="K116" s="104"/>
      <c r="L116" s="104"/>
      <c r="M116" s="181">
        <f>F131*F145</f>
        <v>1.0458000000000001</v>
      </c>
    </row>
    <row r="117" spans="1:16" ht="15.75" x14ac:dyDescent="0.2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 t="s">
        <v>516</v>
      </c>
      <c r="K117" s="104"/>
      <c r="L117" s="104"/>
      <c r="M117" s="181">
        <f>F131*F161</f>
        <v>1.0774999999999999</v>
      </c>
    </row>
    <row r="118" spans="1:16" ht="15.75" x14ac:dyDescent="0.2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 t="s">
        <v>517</v>
      </c>
      <c r="K118" s="104"/>
      <c r="L118" s="104"/>
      <c r="M118" s="181">
        <f>F131*F173</f>
        <v>1.0458000000000001</v>
      </c>
    </row>
    <row r="119" spans="1:16" ht="15.75" x14ac:dyDescent="0.2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 t="s">
        <v>518</v>
      </c>
      <c r="K119" s="104"/>
      <c r="L119" s="104"/>
      <c r="M119" s="181">
        <f>F131*F189</f>
        <v>1.0774999999999999</v>
      </c>
    </row>
    <row r="120" spans="1:16" ht="15.75" x14ac:dyDescent="0.25">
      <c r="A120" s="368" t="s">
        <v>506</v>
      </c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</row>
    <row r="121" spans="1:16" ht="15.75" x14ac:dyDescent="0.2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</row>
    <row r="122" spans="1:16" ht="51" customHeight="1" x14ac:dyDescent="0.25">
      <c r="A122" s="162"/>
      <c r="B122" s="380" t="s">
        <v>500</v>
      </c>
      <c r="C122" s="380"/>
      <c r="D122" s="380"/>
      <c r="E122" s="380"/>
      <c r="F122" s="381"/>
      <c r="G122" s="381"/>
      <c r="H122" s="381"/>
      <c r="I122" s="381"/>
      <c r="J122" s="381"/>
      <c r="K122" s="381"/>
      <c r="L122" s="381"/>
      <c r="M122" s="381"/>
    </row>
    <row r="123" spans="1:16" ht="15.75" x14ac:dyDescent="0.25">
      <c r="A123" s="162"/>
      <c r="B123" s="382" t="s">
        <v>501</v>
      </c>
      <c r="C123" s="382"/>
      <c r="D123" s="383"/>
      <c r="E123" s="383"/>
      <c r="F123" s="384"/>
      <c r="G123" s="384"/>
      <c r="H123" s="384"/>
      <c r="I123" s="384"/>
      <c r="J123" s="384"/>
      <c r="K123" s="384"/>
      <c r="L123" s="384"/>
      <c r="M123" s="384"/>
    </row>
    <row r="124" spans="1:16" ht="15.75" x14ac:dyDescent="0.25">
      <c r="A124" s="162"/>
      <c r="B124" s="386"/>
      <c r="C124" s="386" t="s">
        <v>502</v>
      </c>
      <c r="D124" s="385" t="s">
        <v>277</v>
      </c>
      <c r="E124" s="385" t="s">
        <v>276</v>
      </c>
      <c r="F124" s="385" t="s">
        <v>276</v>
      </c>
      <c r="G124" s="385" t="s">
        <v>276</v>
      </c>
      <c r="H124" s="385" t="s">
        <v>276</v>
      </c>
      <c r="I124" s="385" t="s">
        <v>276</v>
      </c>
      <c r="J124" s="385" t="s">
        <v>276</v>
      </c>
      <c r="K124" s="385" t="s">
        <v>276</v>
      </c>
      <c r="L124" s="385" t="s">
        <v>276</v>
      </c>
      <c r="M124" s="385" t="s">
        <v>276</v>
      </c>
      <c r="N124" s="385" t="s">
        <v>276</v>
      </c>
      <c r="O124" s="385" t="s">
        <v>276</v>
      </c>
      <c r="P124" s="164" t="s">
        <v>503</v>
      </c>
    </row>
    <row r="125" spans="1:16" ht="15.75" x14ac:dyDescent="0.25">
      <c r="A125" s="162"/>
      <c r="B125" s="386"/>
      <c r="C125" s="386"/>
      <c r="D125" s="164" t="s">
        <v>278</v>
      </c>
      <c r="E125" s="164" t="s">
        <v>279</v>
      </c>
      <c r="F125" s="164" t="s">
        <v>280</v>
      </c>
      <c r="G125" s="164" t="s">
        <v>281</v>
      </c>
      <c r="H125" s="164" t="s">
        <v>282</v>
      </c>
      <c r="I125" s="164" t="s">
        <v>283</v>
      </c>
      <c r="J125" s="164" t="s">
        <v>284</v>
      </c>
      <c r="K125" s="164" t="s">
        <v>285</v>
      </c>
      <c r="L125" s="164" t="s">
        <v>286</v>
      </c>
      <c r="M125" s="164" t="s">
        <v>287</v>
      </c>
      <c r="N125" s="164" t="s">
        <v>288</v>
      </c>
      <c r="O125" s="164" t="s">
        <v>504</v>
      </c>
      <c r="P125" s="164" t="s">
        <v>278</v>
      </c>
    </row>
    <row r="126" spans="1:16" ht="15.75" x14ac:dyDescent="0.25">
      <c r="A126" s="104"/>
      <c r="B126" s="386"/>
      <c r="C126" s="386"/>
      <c r="D126" s="165">
        <v>100.73</v>
      </c>
      <c r="E126" s="165">
        <v>100.74</v>
      </c>
      <c r="F126" s="165">
        <v>104.44</v>
      </c>
      <c r="G126" s="165">
        <v>101.05</v>
      </c>
      <c r="H126" s="165">
        <v>100.71</v>
      </c>
      <c r="I126" s="165">
        <v>100.51</v>
      </c>
      <c r="J126" s="166">
        <v>100</v>
      </c>
      <c r="K126" s="165">
        <v>100.37</v>
      </c>
      <c r="L126" s="165">
        <v>100.17</v>
      </c>
      <c r="M126" s="165">
        <v>100.32</v>
      </c>
      <c r="N126" s="165">
        <v>100.74</v>
      </c>
      <c r="O126" s="165">
        <v>100.13</v>
      </c>
      <c r="P126" s="165">
        <v>100.58</v>
      </c>
    </row>
    <row r="127" spans="1:16" ht="15.75" x14ac:dyDescent="0.25">
      <c r="A127" s="104"/>
      <c r="B127" s="104"/>
      <c r="C127" s="167" t="s">
        <v>289</v>
      </c>
      <c r="D127" s="161">
        <f>D126/100</f>
        <v>1.0073000000000001</v>
      </c>
      <c r="E127" s="161">
        <f t="shared" ref="E127:P127" si="49">E126/100</f>
        <v>1.0074000000000001</v>
      </c>
      <c r="F127" s="161">
        <f t="shared" si="49"/>
        <v>1.0444</v>
      </c>
      <c r="G127" s="161">
        <f t="shared" si="49"/>
        <v>1.0105</v>
      </c>
      <c r="H127" s="161">
        <f t="shared" si="49"/>
        <v>1.0071000000000001</v>
      </c>
      <c r="I127" s="161">
        <f t="shared" si="49"/>
        <v>1.0051000000000001</v>
      </c>
      <c r="J127" s="161">
        <f t="shared" si="49"/>
        <v>1</v>
      </c>
      <c r="K127" s="161">
        <f t="shared" si="49"/>
        <v>1.0037</v>
      </c>
      <c r="L127" s="161">
        <f t="shared" si="49"/>
        <v>1.0017</v>
      </c>
      <c r="M127" s="161">
        <f t="shared" si="49"/>
        <v>1.0032000000000001</v>
      </c>
      <c r="N127" s="161">
        <f t="shared" si="49"/>
        <v>1.0074000000000001</v>
      </c>
      <c r="O127" s="161">
        <f t="shared" si="49"/>
        <v>1.0013000000000001</v>
      </c>
      <c r="P127" s="161">
        <f t="shared" si="49"/>
        <v>1.0058</v>
      </c>
    </row>
    <row r="128" spans="1:16" ht="15.75" x14ac:dyDescent="0.2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</row>
    <row r="129" spans="1:13" ht="15.75" x14ac:dyDescent="0.2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5.75" x14ac:dyDescent="0.25">
      <c r="A130" s="369" t="s">
        <v>290</v>
      </c>
      <c r="B130" s="369"/>
      <c r="C130" s="369"/>
      <c r="D130" s="369"/>
      <c r="E130" s="369"/>
      <c r="F130" s="170">
        <v>45017</v>
      </c>
      <c r="G130" s="154"/>
      <c r="H130" s="154"/>
      <c r="I130" s="257"/>
      <c r="J130" s="104"/>
      <c r="K130" s="104"/>
      <c r="L130" s="104"/>
      <c r="M130" s="104"/>
    </row>
    <row r="131" spans="1:13" ht="15.75" x14ac:dyDescent="0.25">
      <c r="A131" s="370" t="s">
        <v>291</v>
      </c>
      <c r="B131" s="370"/>
      <c r="C131" s="370"/>
      <c r="D131" s="370"/>
      <c r="E131" s="370"/>
      <c r="F131" s="371">
        <f>M127*N127*O127*P127*P127*P127</f>
        <v>1.0296000000000001</v>
      </c>
      <c r="G131" s="155"/>
      <c r="H131" s="155"/>
      <c r="J131" s="104"/>
      <c r="K131" s="104"/>
      <c r="L131" s="104"/>
      <c r="M131" s="104"/>
    </row>
    <row r="132" spans="1:13" x14ac:dyDescent="0.25">
      <c r="A132" s="372" t="str">
        <f>CONCATENATE(M127,"*",N127,"*",O127,"*",P127,"*",P127,"*",P127)</f>
        <v>1,0032*1,0074*1,0013*1,0058*1,0058*1,0058</v>
      </c>
      <c r="B132" s="372"/>
      <c r="C132" s="372"/>
      <c r="D132" s="372"/>
      <c r="E132" s="372"/>
      <c r="F132" s="371"/>
      <c r="G132" s="155"/>
      <c r="H132" s="156"/>
    </row>
    <row r="133" spans="1:13" ht="42.75" customHeight="1" x14ac:dyDescent="0.25">
      <c r="A133" s="373" t="s">
        <v>505</v>
      </c>
      <c r="B133" s="373"/>
      <c r="C133" s="373"/>
      <c r="D133" s="373"/>
      <c r="E133" s="373"/>
      <c r="F133" s="373"/>
      <c r="G133" s="80"/>
      <c r="H133" s="80"/>
      <c r="I133" s="80"/>
    </row>
    <row r="134" spans="1:13" ht="27" customHeight="1" x14ac:dyDescent="0.25">
      <c r="A134" s="81"/>
      <c r="B134" s="81"/>
      <c r="C134" s="81"/>
      <c r="D134" s="81"/>
      <c r="E134" s="81"/>
      <c r="F134" s="81"/>
      <c r="G134" s="80"/>
      <c r="H134" s="80"/>
      <c r="I134" s="80"/>
    </row>
    <row r="135" spans="1:13" ht="24" customHeight="1" x14ac:dyDescent="0.25">
      <c r="A135" s="368" t="s">
        <v>507</v>
      </c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</row>
    <row r="136" spans="1:13" x14ac:dyDescent="0.25">
      <c r="A136" s="81"/>
      <c r="B136" s="81"/>
      <c r="C136" s="81"/>
      <c r="D136" s="81"/>
      <c r="E136" s="81"/>
      <c r="F136" s="81"/>
      <c r="G136" s="81"/>
      <c r="H136" s="81"/>
      <c r="I136" s="81"/>
    </row>
    <row r="137" spans="1:13" ht="15.75" x14ac:dyDescent="0.25">
      <c r="A137" s="364" t="s">
        <v>292</v>
      </c>
      <c r="B137" s="364"/>
      <c r="C137" s="364"/>
      <c r="D137" s="364"/>
      <c r="E137" s="364"/>
      <c r="F137" s="364"/>
      <c r="G137" s="364"/>
      <c r="H137" s="364"/>
      <c r="I137" s="364"/>
    </row>
    <row r="138" spans="1:13" x14ac:dyDescent="0.25">
      <c r="A138" s="157"/>
      <c r="B138" s="158"/>
      <c r="C138" s="158"/>
      <c r="D138" s="158"/>
      <c r="E138" s="158"/>
      <c r="F138" s="159"/>
      <c r="G138" s="154"/>
      <c r="H138" s="154"/>
      <c r="I138" s="159"/>
    </row>
    <row r="139" spans="1:13" x14ac:dyDescent="0.25">
      <c r="A139" s="369" t="s">
        <v>290</v>
      </c>
      <c r="B139" s="369"/>
      <c r="C139" s="369"/>
      <c r="D139" s="369"/>
      <c r="E139" s="369"/>
      <c r="F139" s="79">
        <f>F130</f>
        <v>45017</v>
      </c>
    </row>
    <row r="140" spans="1:13" ht="15.75" x14ac:dyDescent="0.25">
      <c r="A140" s="356" t="s">
        <v>293</v>
      </c>
      <c r="B140" s="357"/>
      <c r="C140" s="357"/>
      <c r="D140" s="357"/>
      <c r="E140" s="358"/>
      <c r="F140" s="79">
        <v>45078</v>
      </c>
      <c r="G140" s="82"/>
    </row>
    <row r="141" spans="1:13" ht="15.75" x14ac:dyDescent="0.25">
      <c r="A141" s="356" t="s">
        <v>294</v>
      </c>
      <c r="B141" s="357"/>
      <c r="C141" s="357"/>
      <c r="D141" s="357"/>
      <c r="E141" s="358"/>
      <c r="F141" s="79">
        <v>45153</v>
      </c>
      <c r="G141" s="83"/>
    </row>
    <row r="142" spans="1:13" ht="15.75" x14ac:dyDescent="0.25">
      <c r="A142" s="356" t="s">
        <v>295</v>
      </c>
      <c r="B142" s="357"/>
      <c r="C142" s="357"/>
      <c r="D142" s="357"/>
      <c r="E142" s="358"/>
      <c r="F142" s="84">
        <f>ROUNDUP((F141-F139)/30.5,1)</f>
        <v>4.5</v>
      </c>
    </row>
    <row r="143" spans="1:13" ht="15.75" x14ac:dyDescent="0.25">
      <c r="A143" s="377" t="s">
        <v>296</v>
      </c>
      <c r="B143" s="377"/>
      <c r="C143" s="377"/>
      <c r="D143" s="377"/>
      <c r="E143" s="377"/>
      <c r="F143" s="85">
        <v>1.0589999999999999</v>
      </c>
      <c r="I143" s="83"/>
    </row>
    <row r="144" spans="1:13" ht="15.75" x14ac:dyDescent="0.25">
      <c r="A144" s="374" t="s">
        <v>297</v>
      </c>
      <c r="B144" s="374"/>
      <c r="C144" s="374"/>
      <c r="D144" s="86">
        <f>F143</f>
        <v>1.0589999999999999</v>
      </c>
      <c r="E144" s="87" t="s">
        <v>298</v>
      </c>
      <c r="F144" s="88">
        <f>F143^(1/12)</f>
        <v>1.0047885000000001</v>
      </c>
    </row>
    <row r="145" spans="1:9" ht="15.75" x14ac:dyDescent="0.25">
      <c r="A145" s="375" t="s">
        <v>299</v>
      </c>
      <c r="B145" s="376"/>
      <c r="C145" s="361" t="str">
        <f>CONCATENATE(F144,"^",ROUNDUP(((F140-F139)/30.5),1),"*((",F144,"^",ROUNDUP((F141-F140)/30.5,1),"-1)/2+1)")</f>
        <v>1,0047885^2*((1,0047885^2,5-1)/2+1)</v>
      </c>
      <c r="D145" s="362"/>
      <c r="E145" s="363"/>
      <c r="F145" s="89">
        <f>F144^ROUNDUP(((F140-F139)/30.5),1)*(ROUND(((F144^ROUNDUP((F141-F140)/30.5,1)-1)/2)+1,4))</f>
        <v>1.0157</v>
      </c>
      <c r="H145" s="90"/>
    </row>
    <row r="146" spans="1:9" x14ac:dyDescent="0.25">
      <c r="A146" s="157"/>
      <c r="B146" s="158"/>
      <c r="C146" s="158"/>
      <c r="D146" s="158"/>
      <c r="E146" s="158"/>
      <c r="I146" s="78"/>
    </row>
    <row r="147" spans="1:9" ht="15.75" x14ac:dyDescent="0.25">
      <c r="A147" s="364" t="s">
        <v>300</v>
      </c>
      <c r="B147" s="364"/>
      <c r="C147" s="364"/>
      <c r="D147" s="364"/>
      <c r="E147" s="364"/>
      <c r="F147" s="364"/>
      <c r="G147" s="364"/>
      <c r="H147" s="364"/>
      <c r="I147" s="364"/>
    </row>
    <row r="148" spans="1:9" x14ac:dyDescent="0.25">
      <c r="A148" s="157"/>
      <c r="B148" s="158"/>
      <c r="C148" s="158"/>
      <c r="D148" s="158"/>
      <c r="E148" s="158"/>
      <c r="F148" s="159"/>
      <c r="I148" s="160"/>
    </row>
    <row r="149" spans="1:9" x14ac:dyDescent="0.25">
      <c r="A149" s="365" t="s">
        <v>290</v>
      </c>
      <c r="B149" s="365"/>
      <c r="C149" s="365"/>
      <c r="D149" s="365"/>
      <c r="E149" s="365"/>
      <c r="F149" s="273">
        <v>45017</v>
      </c>
    </row>
    <row r="150" spans="1:9" ht="15.75" x14ac:dyDescent="0.25">
      <c r="A150" s="356" t="s">
        <v>293</v>
      </c>
      <c r="B150" s="357"/>
      <c r="C150" s="357"/>
      <c r="D150" s="357"/>
      <c r="E150" s="358"/>
      <c r="F150" s="273">
        <v>45078</v>
      </c>
      <c r="G150" s="273">
        <v>45291</v>
      </c>
      <c r="H150" t="s">
        <v>618</v>
      </c>
    </row>
    <row r="151" spans="1:9" ht="15.75" x14ac:dyDescent="0.25">
      <c r="A151" s="356" t="s">
        <v>294</v>
      </c>
      <c r="B151" s="357"/>
      <c r="C151" s="357"/>
      <c r="D151" s="357"/>
      <c r="E151" s="358"/>
      <c r="F151" s="273">
        <v>45572</v>
      </c>
      <c r="G151" s="273">
        <v>45292</v>
      </c>
      <c r="H151" t="s">
        <v>619</v>
      </c>
    </row>
    <row r="152" spans="1:9" ht="15.75" x14ac:dyDescent="0.25">
      <c r="A152" s="356" t="s">
        <v>620</v>
      </c>
      <c r="B152" s="357"/>
      <c r="C152" s="357"/>
      <c r="D152" s="357"/>
      <c r="E152" s="358"/>
      <c r="F152" s="274">
        <f>(F151-F150)/30.5</f>
        <v>16.2</v>
      </c>
    </row>
    <row r="153" spans="1:9" ht="15.75" x14ac:dyDescent="0.25">
      <c r="A153" s="359" t="s">
        <v>621</v>
      </c>
      <c r="B153" s="359"/>
      <c r="C153" s="359"/>
      <c r="D153" s="359"/>
      <c r="E153" s="359"/>
      <c r="F153" s="275">
        <f>(G150-F150)/30.5/F152</f>
        <v>0.43</v>
      </c>
    </row>
    <row r="154" spans="1:9" ht="15.75" x14ac:dyDescent="0.25">
      <c r="A154" s="360" t="s">
        <v>624</v>
      </c>
      <c r="B154" s="360"/>
      <c r="C154" s="360"/>
      <c r="D154" s="360"/>
      <c r="E154" s="360"/>
      <c r="F154" s="275">
        <f>1-F153</f>
        <v>0.56999999999999995</v>
      </c>
    </row>
    <row r="155" spans="1:9" ht="15.75" x14ac:dyDescent="0.25">
      <c r="A155" s="351" t="s">
        <v>296</v>
      </c>
      <c r="B155" s="351"/>
      <c r="C155" s="351"/>
      <c r="D155" s="351"/>
      <c r="E155" s="351"/>
      <c r="F155" s="276">
        <v>1.0589999999999999</v>
      </c>
    </row>
    <row r="156" spans="1:9" ht="15.75" x14ac:dyDescent="0.25">
      <c r="A156" s="352" t="s">
        <v>297</v>
      </c>
      <c r="B156" s="352"/>
      <c r="C156" s="352"/>
      <c r="D156" s="86">
        <f>F155</f>
        <v>1.0589999999999999</v>
      </c>
      <c r="E156" s="87" t="s">
        <v>298</v>
      </c>
      <c r="F156" s="277">
        <f>F155^(1/12)</f>
        <v>1.0047885000000001</v>
      </c>
    </row>
    <row r="157" spans="1:9" ht="15.75" x14ac:dyDescent="0.25">
      <c r="A157" s="351" t="s">
        <v>616</v>
      </c>
      <c r="B157" s="351"/>
      <c r="C157" s="351"/>
      <c r="D157" s="351"/>
      <c r="E157" s="351"/>
      <c r="F157" s="272">
        <v>1.0529999999999999</v>
      </c>
    </row>
    <row r="158" spans="1:9" ht="15.75" x14ac:dyDescent="0.25">
      <c r="A158" s="352" t="s">
        <v>617</v>
      </c>
      <c r="B158" s="352"/>
      <c r="C158" s="352"/>
      <c r="D158" s="86">
        <f>F157</f>
        <v>1.0529999999999999</v>
      </c>
      <c r="E158" s="87" t="s">
        <v>298</v>
      </c>
      <c r="F158" s="277">
        <f>F157^(1/12)</f>
        <v>1.0043129</v>
      </c>
    </row>
    <row r="159" spans="1:9" ht="15.75" customHeight="1" x14ac:dyDescent="0.25">
      <c r="A159" s="278" t="s">
        <v>622</v>
      </c>
      <c r="B159" s="278"/>
      <c r="C159" s="353" t="str">
        <f>CONCATENATE("(",F156,"^",ROUNDUP((G150-F149)/30.5,1),"-1)/2+1")</f>
        <v>(1,0047885^9-1)/2+1</v>
      </c>
      <c r="D159" s="354"/>
      <c r="E159" s="355"/>
      <c r="F159" s="280">
        <f>(F156^ROUNDUP((G150-F149)/30.5,1)-1)/2+1</f>
        <v>1.0219655999999999</v>
      </c>
      <c r="H159" s="279"/>
    </row>
    <row r="160" spans="1:9" ht="15.75" x14ac:dyDescent="0.25">
      <c r="A160" s="278" t="s">
        <v>623</v>
      </c>
      <c r="B160" s="278"/>
      <c r="C160" s="353" t="str">
        <f>CONCATENATE(F156,"^",ROUNDUP((G150-F149)/30.5,1),"*((",F158,"^",ROUNDUP((F151-G151)/30.5,1),"-1)/2+1)")</f>
        <v>1,0047885^9*((1,0043129^9,2-1)/2+1)</v>
      </c>
      <c r="D160" s="354"/>
      <c r="E160" s="355"/>
      <c r="F160" s="280">
        <f>F156^ROUNDUP((G150-F149)/30.5,1)*((F158^ROUNDUP((F151-G151)/30.5,1)-1)/2+1)</f>
        <v>1.0650122</v>
      </c>
      <c r="H160" s="279"/>
    </row>
    <row r="161" spans="1:13" ht="15.75" customHeight="1" x14ac:dyDescent="0.25">
      <c r="A161" s="375" t="s">
        <v>299</v>
      </c>
      <c r="B161" s="376"/>
      <c r="C161" s="353" t="str">
        <f>CONCATENATE(F153,"*",F159,"+",F154,"*",F160)</f>
        <v>0,43*1,0219656+0,57*1,0650122</v>
      </c>
      <c r="D161" s="354"/>
      <c r="E161" s="355"/>
      <c r="F161" s="89">
        <f>F153*F159+F154*F160</f>
        <v>1.0465</v>
      </c>
      <c r="H161" s="90"/>
    </row>
    <row r="163" spans="1:13" ht="15.75" x14ac:dyDescent="0.25">
      <c r="A163" s="368" t="s">
        <v>514</v>
      </c>
      <c r="B163" s="368"/>
      <c r="C163" s="368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</row>
    <row r="164" spans="1:13" x14ac:dyDescent="0.25">
      <c r="A164" s="81"/>
      <c r="B164" s="81"/>
      <c r="C164" s="81"/>
      <c r="D164" s="81"/>
      <c r="E164" s="81"/>
      <c r="F164" s="81"/>
      <c r="G164" s="81"/>
      <c r="H164" s="81"/>
      <c r="I164" s="81"/>
    </row>
    <row r="165" spans="1:13" ht="15.75" x14ac:dyDescent="0.25">
      <c r="A165" s="364" t="s">
        <v>292</v>
      </c>
      <c r="B165" s="364"/>
      <c r="C165" s="364"/>
      <c r="D165" s="364"/>
      <c r="E165" s="364"/>
      <c r="F165" s="364"/>
      <c r="G165" s="364"/>
      <c r="H165" s="364"/>
      <c r="I165" s="364"/>
    </row>
    <row r="166" spans="1:13" x14ac:dyDescent="0.25">
      <c r="A166" s="157"/>
      <c r="B166" s="158"/>
      <c r="C166" s="158"/>
      <c r="D166" s="158"/>
      <c r="E166" s="158"/>
      <c r="F166" s="159"/>
      <c r="G166" s="154"/>
      <c r="H166" s="154"/>
      <c r="I166" s="159"/>
    </row>
    <row r="167" spans="1:13" x14ac:dyDescent="0.25">
      <c r="A167" s="369" t="s">
        <v>290</v>
      </c>
      <c r="B167" s="369"/>
      <c r="C167" s="369"/>
      <c r="D167" s="369"/>
      <c r="E167" s="369"/>
      <c r="F167" s="79">
        <v>45017</v>
      </c>
    </row>
    <row r="168" spans="1:13" ht="15.75" x14ac:dyDescent="0.25">
      <c r="A168" s="356" t="s">
        <v>293</v>
      </c>
      <c r="B168" s="357"/>
      <c r="C168" s="357"/>
      <c r="D168" s="357"/>
      <c r="E168" s="358"/>
      <c r="F168" s="79">
        <v>45078</v>
      </c>
      <c r="G168" s="82"/>
    </row>
    <row r="169" spans="1:13" ht="15.75" x14ac:dyDescent="0.25">
      <c r="A169" s="356" t="s">
        <v>294</v>
      </c>
      <c r="B169" s="357"/>
      <c r="C169" s="357"/>
      <c r="D169" s="357"/>
      <c r="E169" s="358"/>
      <c r="F169" s="79">
        <v>45153</v>
      </c>
      <c r="G169" s="83"/>
    </row>
    <row r="170" spans="1:13" ht="15.75" x14ac:dyDescent="0.25">
      <c r="A170" s="356" t="s">
        <v>295</v>
      </c>
      <c r="B170" s="357"/>
      <c r="C170" s="357"/>
      <c r="D170" s="357"/>
      <c r="E170" s="358"/>
      <c r="F170" s="84">
        <f>ROUNDUP((F169-F167)/30.5,1)</f>
        <v>4.5</v>
      </c>
    </row>
    <row r="171" spans="1:13" ht="15.75" x14ac:dyDescent="0.25">
      <c r="A171" s="377" t="s">
        <v>296</v>
      </c>
      <c r="B171" s="377"/>
      <c r="C171" s="377"/>
      <c r="D171" s="377"/>
      <c r="E171" s="377"/>
      <c r="F171" s="85">
        <v>1.0589999999999999</v>
      </c>
      <c r="I171" s="83"/>
    </row>
    <row r="172" spans="1:13" ht="15.75" x14ac:dyDescent="0.25">
      <c r="A172" s="374" t="s">
        <v>297</v>
      </c>
      <c r="B172" s="374"/>
      <c r="C172" s="374"/>
      <c r="D172" s="86">
        <f>F171</f>
        <v>1.0589999999999999</v>
      </c>
      <c r="E172" s="87" t="s">
        <v>298</v>
      </c>
      <c r="F172" s="88">
        <f>F171^(1/12)</f>
        <v>1.0047885000000001</v>
      </c>
    </row>
    <row r="173" spans="1:13" ht="15.75" x14ac:dyDescent="0.25">
      <c r="A173" s="375" t="s">
        <v>299</v>
      </c>
      <c r="B173" s="376"/>
      <c r="C173" s="361" t="str">
        <f>CONCATENATE(F172,"^",ROUNDUP(((F168-F167)/30.5),1),"*((",F172,"^",ROUNDUP((F169-F168)/30.5,1),"-1)/2+1)")</f>
        <v>1,0047885^2*((1,0047885^2,5-1)/2+1)</v>
      </c>
      <c r="D173" s="362"/>
      <c r="E173" s="363"/>
      <c r="F173" s="89">
        <f>F172^ROUNDUP(((F168-F167)/30.5),1)*(ROUND(((F172^ROUNDUP((F169-F168)/30.5,1)-1)/2)+1,4))</f>
        <v>1.0157</v>
      </c>
      <c r="H173" s="90"/>
    </row>
    <row r="174" spans="1:13" x14ac:dyDescent="0.25">
      <c r="A174" s="157"/>
      <c r="B174" s="158"/>
      <c r="C174" s="158"/>
      <c r="D174" s="158"/>
      <c r="E174" s="158"/>
      <c r="I174" s="163"/>
    </row>
    <row r="175" spans="1:13" ht="15.75" x14ac:dyDescent="0.25">
      <c r="A175" s="364" t="s">
        <v>300</v>
      </c>
      <c r="B175" s="364"/>
      <c r="C175" s="364"/>
      <c r="D175" s="364"/>
      <c r="E175" s="364"/>
      <c r="F175" s="364"/>
      <c r="G175" s="364"/>
      <c r="H175" s="364"/>
      <c r="I175" s="364"/>
    </row>
    <row r="176" spans="1:13" x14ac:dyDescent="0.25">
      <c r="A176" s="157"/>
      <c r="B176" s="158"/>
      <c r="C176" s="158"/>
      <c r="D176" s="158"/>
      <c r="E176" s="158"/>
      <c r="F176" s="159"/>
      <c r="I176" s="160"/>
    </row>
    <row r="177" spans="1:8" x14ac:dyDescent="0.25">
      <c r="A177" s="365" t="s">
        <v>290</v>
      </c>
      <c r="B177" s="365"/>
      <c r="C177" s="365"/>
      <c r="D177" s="365"/>
      <c r="E177" s="365"/>
      <c r="F177" s="273">
        <v>45017</v>
      </c>
    </row>
    <row r="178" spans="1:8" ht="15.75" x14ac:dyDescent="0.25">
      <c r="A178" s="356" t="s">
        <v>293</v>
      </c>
      <c r="B178" s="357"/>
      <c r="C178" s="357"/>
      <c r="D178" s="357"/>
      <c r="E178" s="358"/>
      <c r="F178" s="273">
        <v>45078</v>
      </c>
      <c r="G178" s="273">
        <v>45291</v>
      </c>
      <c r="H178" t="s">
        <v>618</v>
      </c>
    </row>
    <row r="179" spans="1:8" ht="15.75" x14ac:dyDescent="0.25">
      <c r="A179" s="356" t="s">
        <v>294</v>
      </c>
      <c r="B179" s="357"/>
      <c r="C179" s="357"/>
      <c r="D179" s="357"/>
      <c r="E179" s="358"/>
      <c r="F179" s="273">
        <v>45572</v>
      </c>
      <c r="G179" s="273">
        <v>45292</v>
      </c>
      <c r="H179" t="s">
        <v>619</v>
      </c>
    </row>
    <row r="180" spans="1:8" ht="15.75" x14ac:dyDescent="0.25">
      <c r="A180" s="356" t="s">
        <v>620</v>
      </c>
      <c r="B180" s="357"/>
      <c r="C180" s="357"/>
      <c r="D180" s="357"/>
      <c r="E180" s="358"/>
      <c r="F180" s="274">
        <f>(F179-F178)/30.5</f>
        <v>16.2</v>
      </c>
    </row>
    <row r="181" spans="1:8" ht="15.75" x14ac:dyDescent="0.25">
      <c r="A181" s="359" t="s">
        <v>621</v>
      </c>
      <c r="B181" s="359"/>
      <c r="C181" s="359"/>
      <c r="D181" s="359"/>
      <c r="E181" s="359"/>
      <c r="F181" s="275">
        <f>(G178-F178)/30.5/F180</f>
        <v>0.43</v>
      </c>
    </row>
    <row r="182" spans="1:8" ht="15.75" x14ac:dyDescent="0.25">
      <c r="A182" s="360" t="s">
        <v>624</v>
      </c>
      <c r="B182" s="360"/>
      <c r="C182" s="360"/>
      <c r="D182" s="360"/>
      <c r="E182" s="360"/>
      <c r="F182" s="275">
        <f>1-F181</f>
        <v>0.56999999999999995</v>
      </c>
    </row>
    <row r="183" spans="1:8" ht="35.25" customHeight="1" x14ac:dyDescent="0.25">
      <c r="A183" s="351" t="s">
        <v>296</v>
      </c>
      <c r="B183" s="351"/>
      <c r="C183" s="351"/>
      <c r="D183" s="351"/>
      <c r="E183" s="351"/>
      <c r="F183" s="276">
        <v>1.0589999999999999</v>
      </c>
    </row>
    <row r="184" spans="1:8" ht="15.75" x14ac:dyDescent="0.25">
      <c r="A184" s="352" t="s">
        <v>297</v>
      </c>
      <c r="B184" s="352"/>
      <c r="C184" s="352"/>
      <c r="D184" s="86">
        <f>F183</f>
        <v>1.0589999999999999</v>
      </c>
      <c r="E184" s="87" t="s">
        <v>298</v>
      </c>
      <c r="F184" s="277">
        <f>F183^(1/12)</f>
        <v>1.0047885000000001</v>
      </c>
    </row>
    <row r="185" spans="1:8" ht="33" customHeight="1" x14ac:dyDescent="0.25">
      <c r="A185" s="351" t="s">
        <v>616</v>
      </c>
      <c r="B185" s="351"/>
      <c r="C185" s="351"/>
      <c r="D185" s="351"/>
      <c r="E185" s="351"/>
      <c r="F185" s="272">
        <v>1.0529999999999999</v>
      </c>
    </row>
    <row r="186" spans="1:8" ht="15.75" x14ac:dyDescent="0.25">
      <c r="A186" s="352" t="s">
        <v>617</v>
      </c>
      <c r="B186" s="352"/>
      <c r="C186" s="352"/>
      <c r="D186" s="86">
        <f>F185</f>
        <v>1.0529999999999999</v>
      </c>
      <c r="E186" s="87" t="s">
        <v>298</v>
      </c>
      <c r="F186" s="277">
        <f>F185^(1/12)</f>
        <v>1.0043129</v>
      </c>
    </row>
    <row r="187" spans="1:8" ht="15.75" customHeight="1" x14ac:dyDescent="0.25">
      <c r="A187" s="278" t="s">
        <v>622</v>
      </c>
      <c r="B187" s="278"/>
      <c r="C187" s="353" t="str">
        <f>CONCATENATE("(",F184,"^",ROUNDUP((G178-F177)/30.5,1),"-1)/2+1")</f>
        <v>(1,0047885^9-1)/2+1</v>
      </c>
      <c r="D187" s="354"/>
      <c r="E187" s="355"/>
      <c r="F187" s="280">
        <f>(F184^ROUNDUP((G178-F177)/30.5,1)-1)/2+1</f>
        <v>1.0219655999999999</v>
      </c>
      <c r="H187" s="279"/>
    </row>
    <row r="188" spans="1:8" ht="40.5" customHeight="1" x14ac:dyDescent="0.25">
      <c r="A188" s="278" t="s">
        <v>623</v>
      </c>
      <c r="B188" s="278"/>
      <c r="C188" s="353" t="str">
        <f>CONCATENATE(F184,"^",ROUNDUP((G178-F177)/30.5,1),"*((",F186,"^",ROUNDUP((F179-G179)/30.5,1),"-1)/2+1)")</f>
        <v>1,0047885^9*((1,0043129^9,2-1)/2+1)</v>
      </c>
      <c r="D188" s="354"/>
      <c r="E188" s="355"/>
      <c r="F188" s="280">
        <f>F184^ROUNDUP((G178-F177)/30.5,1)*((F186^ROUNDUP((F179-G179)/30.5,1)-1)/2+1)</f>
        <v>1.0650122</v>
      </c>
      <c r="H188" s="279"/>
    </row>
    <row r="189" spans="1:8" ht="34.5" customHeight="1" x14ac:dyDescent="0.25">
      <c r="A189" s="375" t="s">
        <v>299</v>
      </c>
      <c r="B189" s="376"/>
      <c r="C189" s="353" t="str">
        <f>CONCATENATE(F181,"*",F187,"+",F182,"*",F188)</f>
        <v>0,43*1,0219656+0,57*1,0650122</v>
      </c>
      <c r="D189" s="354"/>
      <c r="E189" s="355"/>
      <c r="F189" s="89">
        <f>F181*F187+F182*F188</f>
        <v>1.0465</v>
      </c>
      <c r="H189" s="90"/>
    </row>
    <row r="192" spans="1:8" ht="45.75" customHeight="1" x14ac:dyDescent="0.25">
      <c r="A192" s="309" t="s">
        <v>590</v>
      </c>
      <c r="B192" s="309"/>
      <c r="C192" s="309"/>
      <c r="D192" s="256"/>
      <c r="E192" s="255" t="s">
        <v>542</v>
      </c>
    </row>
  </sheetData>
  <mergeCells count="67">
    <mergeCell ref="A154:E154"/>
    <mergeCell ref="A156:C156"/>
    <mergeCell ref="A158:C158"/>
    <mergeCell ref="C159:E159"/>
    <mergeCell ref="C160:E160"/>
    <mergeCell ref="A149:E149"/>
    <mergeCell ref="A150:E150"/>
    <mergeCell ref="A151:E151"/>
    <mergeCell ref="A152:E152"/>
    <mergeCell ref="A153:E153"/>
    <mergeCell ref="C188:E188"/>
    <mergeCell ref="A189:B189"/>
    <mergeCell ref="C189:E189"/>
    <mergeCell ref="A3:M3"/>
    <mergeCell ref="A5:M5"/>
    <mergeCell ref="A120:M120"/>
    <mergeCell ref="B122:M122"/>
    <mergeCell ref="B123:M123"/>
    <mergeCell ref="D124:O124"/>
    <mergeCell ref="C124:C126"/>
    <mergeCell ref="B124:B126"/>
    <mergeCell ref="A169:E169"/>
    <mergeCell ref="A170:E170"/>
    <mergeCell ref="A171:E171"/>
    <mergeCell ref="A172:C172"/>
    <mergeCell ref="A173:B173"/>
    <mergeCell ref="A192:C192"/>
    <mergeCell ref="A135:M135"/>
    <mergeCell ref="A155:E155"/>
    <mergeCell ref="A157:E157"/>
    <mergeCell ref="A143:E143"/>
    <mergeCell ref="A140:E140"/>
    <mergeCell ref="A141:E141"/>
    <mergeCell ref="A142:E142"/>
    <mergeCell ref="A161:B161"/>
    <mergeCell ref="C161:E161"/>
    <mergeCell ref="A167:E167"/>
    <mergeCell ref="A168:E168"/>
    <mergeCell ref="A1:M1"/>
    <mergeCell ref="A8:M8"/>
    <mergeCell ref="A9:M9"/>
    <mergeCell ref="A163:M163"/>
    <mergeCell ref="A165:I165"/>
    <mergeCell ref="A130:E130"/>
    <mergeCell ref="A131:E131"/>
    <mergeCell ref="F131:F132"/>
    <mergeCell ref="A132:E132"/>
    <mergeCell ref="A133:F133"/>
    <mergeCell ref="A144:C144"/>
    <mergeCell ref="A145:B145"/>
    <mergeCell ref="C145:E145"/>
    <mergeCell ref="A147:I147"/>
    <mergeCell ref="A137:I137"/>
    <mergeCell ref="A139:E139"/>
    <mergeCell ref="C173:E173"/>
    <mergeCell ref="A175:I175"/>
    <mergeCell ref="A177:E177"/>
    <mergeCell ref="A178:E178"/>
    <mergeCell ref="A179:E179"/>
    <mergeCell ref="A185:E185"/>
    <mergeCell ref="A186:C186"/>
    <mergeCell ref="C187:E187"/>
    <mergeCell ref="A180:E180"/>
    <mergeCell ref="A181:E181"/>
    <mergeCell ref="A182:E182"/>
    <mergeCell ref="A183:E183"/>
    <mergeCell ref="A184:C184"/>
  </mergeCells>
  <pageMargins left="0.7" right="0.7" top="0.75" bottom="0.75" header="0.3" footer="0.3"/>
  <pageSetup paperSize="9" scale="43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J209"/>
  <sheetViews>
    <sheetView topLeftCell="A115" zoomScale="118" zoomScaleNormal="118" workbookViewId="0">
      <selection activeCell="G135" sqref="G135"/>
    </sheetView>
  </sheetViews>
  <sheetFormatPr defaultColWidth="9.140625" defaultRowHeight="11.25" customHeight="1" x14ac:dyDescent="0.2"/>
  <cols>
    <col min="1" max="1" width="6.7109375" style="54" customWidth="1"/>
    <col min="2" max="2" width="20.140625" style="54" customWidth="1"/>
    <col min="3" max="3" width="39.42578125" style="54" customWidth="1"/>
    <col min="4" max="8" width="14" style="54" customWidth="1"/>
    <col min="9" max="9" width="18" style="54" customWidth="1"/>
    <col min="10" max="10" width="12.42578125" style="54" customWidth="1"/>
    <col min="11" max="16384" width="9.140625" style="54"/>
  </cols>
  <sheetData>
    <row r="1" spans="1:9" s="8" customFormat="1" ht="15" x14ac:dyDescent="0.25">
      <c r="H1" s="9" t="s">
        <v>0</v>
      </c>
      <c r="I1" s="9"/>
    </row>
    <row r="2" spans="1:9" s="8" customFormat="1" ht="15" x14ac:dyDescent="0.25">
      <c r="A2" s="10"/>
      <c r="B2" s="10"/>
      <c r="C2" s="10"/>
      <c r="D2" s="10"/>
      <c r="E2" s="10"/>
      <c r="F2" s="10"/>
      <c r="G2" s="10"/>
      <c r="H2" s="9" t="s">
        <v>1</v>
      </c>
      <c r="I2" s="9"/>
    </row>
    <row r="3" spans="1:9" s="8" customFormat="1" ht="15" x14ac:dyDescent="0.25">
      <c r="A3" s="10"/>
      <c r="B3" s="10"/>
      <c r="C3" s="10"/>
      <c r="D3" s="10"/>
      <c r="E3" s="10"/>
      <c r="F3" s="10"/>
      <c r="G3" s="10"/>
      <c r="H3" s="9"/>
      <c r="I3" s="9"/>
    </row>
    <row r="4" spans="1:9" s="8" customFormat="1" ht="15" x14ac:dyDescent="0.25">
      <c r="A4" s="10"/>
      <c r="B4" s="10" t="s">
        <v>2</v>
      </c>
      <c r="C4" s="387" t="s">
        <v>234</v>
      </c>
      <c r="D4" s="387"/>
      <c r="E4" s="387"/>
      <c r="F4" s="387"/>
      <c r="G4" s="387"/>
      <c r="H4" s="10"/>
      <c r="I4" s="10"/>
    </row>
    <row r="5" spans="1:9" s="8" customFormat="1" ht="10.5" customHeight="1" x14ac:dyDescent="0.25">
      <c r="A5" s="10"/>
      <c r="B5" s="10"/>
      <c r="C5" s="388" t="s">
        <v>3</v>
      </c>
      <c r="D5" s="388"/>
      <c r="E5" s="388"/>
      <c r="F5" s="388"/>
      <c r="G5" s="388"/>
      <c r="H5" s="10"/>
      <c r="I5" s="10"/>
    </row>
    <row r="6" spans="1:9" s="8" customFormat="1" ht="17.25" customHeight="1" x14ac:dyDescent="0.25">
      <c r="A6" s="10"/>
      <c r="B6" s="10" t="s">
        <v>4</v>
      </c>
      <c r="C6" s="11"/>
      <c r="D6" s="11"/>
      <c r="E6" s="11"/>
      <c r="F6" s="11"/>
      <c r="G6" s="11"/>
      <c r="H6" s="10"/>
      <c r="I6" s="10"/>
    </row>
    <row r="7" spans="1:9" s="8" customFormat="1" ht="17.25" customHeight="1" x14ac:dyDescent="0.25">
      <c r="A7" s="10"/>
      <c r="B7" s="10"/>
      <c r="C7" s="11"/>
      <c r="D7" s="11"/>
      <c r="E7" s="11"/>
      <c r="F7" s="11"/>
      <c r="G7" s="11"/>
      <c r="H7" s="10"/>
      <c r="I7" s="10"/>
    </row>
    <row r="8" spans="1:9" s="8" customFormat="1" ht="17.25" customHeight="1" x14ac:dyDescent="0.25">
      <c r="A8" s="10"/>
      <c r="B8" s="391" t="s">
        <v>235</v>
      </c>
      <c r="C8" s="391"/>
      <c r="D8" s="55">
        <f>H189</f>
        <v>2392204.83</v>
      </c>
      <c r="E8" s="11"/>
      <c r="F8" s="11"/>
      <c r="G8" s="11"/>
      <c r="H8" s="10"/>
      <c r="I8" s="10"/>
    </row>
    <row r="9" spans="1:9" s="8" customFormat="1" ht="17.25" customHeight="1" x14ac:dyDescent="0.25">
      <c r="A9" s="10"/>
      <c r="B9" s="10"/>
      <c r="C9" s="389"/>
      <c r="D9" s="389"/>
      <c r="E9" s="389"/>
      <c r="F9" s="389"/>
      <c r="G9" s="389"/>
      <c r="H9" s="10"/>
      <c r="I9" s="10"/>
    </row>
    <row r="10" spans="1:9" s="8" customFormat="1" ht="11.25" customHeight="1" x14ac:dyDescent="0.3">
      <c r="A10" s="12"/>
      <c r="B10" s="12"/>
      <c r="C10" s="388" t="s">
        <v>5</v>
      </c>
      <c r="D10" s="388"/>
      <c r="E10" s="388"/>
      <c r="F10" s="388"/>
      <c r="G10" s="388"/>
      <c r="H10" s="12"/>
      <c r="I10" s="12"/>
    </row>
    <row r="11" spans="1:9" s="8" customFormat="1" ht="11.25" customHeight="1" x14ac:dyDescent="0.3">
      <c r="A11" s="12"/>
      <c r="B11" s="12"/>
      <c r="C11" s="11"/>
      <c r="D11" s="11"/>
      <c r="E11" s="11"/>
      <c r="F11" s="11"/>
      <c r="G11" s="11"/>
      <c r="H11" s="12"/>
      <c r="I11" s="12"/>
    </row>
    <row r="12" spans="1:9" s="8" customFormat="1" ht="18.75" x14ac:dyDescent="0.3">
      <c r="A12" s="12"/>
      <c r="B12" s="390" t="s">
        <v>6</v>
      </c>
      <c r="C12" s="390"/>
      <c r="D12" s="390"/>
      <c r="E12" s="390"/>
      <c r="F12" s="390"/>
      <c r="G12" s="390"/>
      <c r="H12" s="12"/>
      <c r="I12" s="12"/>
    </row>
    <row r="13" spans="1:9" s="8" customFormat="1" ht="11.25" customHeight="1" x14ac:dyDescent="0.3">
      <c r="A13" s="12"/>
      <c r="B13" s="12"/>
      <c r="C13" s="11"/>
      <c r="D13" s="11"/>
      <c r="E13" s="11"/>
      <c r="F13" s="11"/>
      <c r="G13" s="11"/>
      <c r="H13" s="12"/>
      <c r="I13" s="12"/>
    </row>
    <row r="14" spans="1:9" s="8" customFormat="1" ht="11.25" customHeight="1" x14ac:dyDescent="0.3">
      <c r="A14" s="12"/>
      <c r="B14" s="12"/>
      <c r="C14" s="11"/>
      <c r="D14" s="11"/>
      <c r="E14" s="11"/>
      <c r="F14" s="11"/>
      <c r="G14" s="11"/>
      <c r="H14" s="12"/>
      <c r="I14" s="12"/>
    </row>
    <row r="15" spans="1:9" s="8" customFormat="1" ht="11.25" customHeight="1" x14ac:dyDescent="0.3">
      <c r="A15" s="12"/>
      <c r="B15" s="12"/>
      <c r="C15" s="11"/>
      <c r="D15" s="11"/>
      <c r="E15" s="11"/>
      <c r="F15" s="11"/>
      <c r="G15" s="11"/>
      <c r="H15" s="12"/>
      <c r="I15" s="12"/>
    </row>
    <row r="16" spans="1:9" s="8" customFormat="1" ht="15" x14ac:dyDescent="0.25">
      <c r="A16" s="13"/>
      <c r="B16" s="392" t="s">
        <v>7</v>
      </c>
      <c r="C16" s="392"/>
      <c r="D16" s="392"/>
      <c r="E16" s="392"/>
      <c r="F16" s="392"/>
      <c r="G16" s="392"/>
      <c r="H16" s="13"/>
      <c r="I16" s="13"/>
    </row>
    <row r="17" spans="1:9" s="8" customFormat="1" ht="13.5" customHeight="1" x14ac:dyDescent="0.25">
      <c r="A17" s="14"/>
      <c r="B17" s="393" t="s">
        <v>8</v>
      </c>
      <c r="C17" s="393"/>
      <c r="D17" s="393"/>
      <c r="E17" s="393"/>
      <c r="F17" s="393"/>
      <c r="G17" s="393"/>
      <c r="H17" s="14"/>
      <c r="I17" s="14"/>
    </row>
    <row r="18" spans="1:9" s="8" customFormat="1" ht="9.75" customHeight="1" x14ac:dyDescent="0.25">
      <c r="A18" s="10"/>
      <c r="B18" s="10"/>
      <c r="C18" s="10"/>
      <c r="D18" s="15"/>
      <c r="E18" s="15"/>
      <c r="F18" s="15"/>
      <c r="G18" s="16"/>
      <c r="H18" s="16"/>
      <c r="I18" s="16"/>
    </row>
    <row r="19" spans="1:9" s="8" customFormat="1" ht="15" x14ac:dyDescent="0.25">
      <c r="A19" s="17"/>
      <c r="B19" s="394" t="s">
        <v>230</v>
      </c>
      <c r="C19" s="394"/>
      <c r="D19" s="394"/>
      <c r="E19" s="394"/>
      <c r="F19" s="394"/>
      <c r="G19" s="394"/>
      <c r="H19" s="11"/>
      <c r="I19" s="11"/>
    </row>
    <row r="20" spans="1:9" s="8" customFormat="1" ht="9.75" customHeight="1" x14ac:dyDescent="0.25">
      <c r="A20" s="10"/>
      <c r="B20" s="10"/>
      <c r="C20" s="10"/>
      <c r="D20" s="11"/>
      <c r="E20" s="11"/>
      <c r="F20" s="11"/>
      <c r="G20" s="11"/>
      <c r="H20" s="11"/>
      <c r="I20" s="11"/>
    </row>
    <row r="21" spans="1:9" s="8" customFormat="1" ht="16.5" customHeight="1" x14ac:dyDescent="0.25">
      <c r="A21" s="395" t="s">
        <v>9</v>
      </c>
      <c r="B21" s="395" t="s">
        <v>10</v>
      </c>
      <c r="C21" s="395" t="s">
        <v>11</v>
      </c>
      <c r="D21" s="398" t="s">
        <v>12</v>
      </c>
      <c r="E21" s="399"/>
      <c r="F21" s="399"/>
      <c r="G21" s="399"/>
      <c r="H21" s="400"/>
      <c r="I21" s="18"/>
    </row>
    <row r="22" spans="1:9" s="8" customFormat="1" ht="45.75" customHeight="1" x14ac:dyDescent="0.25">
      <c r="A22" s="396"/>
      <c r="B22" s="396"/>
      <c r="C22" s="396"/>
      <c r="D22" s="395" t="s">
        <v>13</v>
      </c>
      <c r="E22" s="395" t="s">
        <v>14</v>
      </c>
      <c r="F22" s="395" t="s">
        <v>15</v>
      </c>
      <c r="G22" s="395" t="s">
        <v>16</v>
      </c>
      <c r="H22" s="395" t="s">
        <v>17</v>
      </c>
      <c r="I22" s="18"/>
    </row>
    <row r="23" spans="1:9" s="8" customFormat="1" ht="24" customHeight="1" x14ac:dyDescent="0.25">
      <c r="A23" s="397"/>
      <c r="B23" s="397"/>
      <c r="C23" s="397"/>
      <c r="D23" s="397"/>
      <c r="E23" s="397"/>
      <c r="F23" s="397"/>
      <c r="G23" s="397"/>
      <c r="H23" s="397"/>
      <c r="I23" s="18"/>
    </row>
    <row r="24" spans="1:9" s="8" customFormat="1" ht="15" x14ac:dyDescent="0.25">
      <c r="A24" s="19">
        <v>1</v>
      </c>
      <c r="B24" s="19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  <c r="I24" s="20"/>
    </row>
    <row r="25" spans="1:9" s="8" customFormat="1" ht="15" x14ac:dyDescent="0.25">
      <c r="A25" s="401" t="s">
        <v>18</v>
      </c>
      <c r="B25" s="402"/>
      <c r="C25" s="402"/>
      <c r="D25" s="402"/>
      <c r="E25" s="402"/>
      <c r="F25" s="402"/>
      <c r="G25" s="402"/>
      <c r="H25" s="403"/>
      <c r="I25" s="21"/>
    </row>
    <row r="26" spans="1:9" s="8" customFormat="1" ht="15" x14ac:dyDescent="0.25">
      <c r="A26" s="99">
        <v>1</v>
      </c>
      <c r="B26" s="100" t="s">
        <v>19</v>
      </c>
      <c r="C26" s="100" t="s">
        <v>20</v>
      </c>
      <c r="D26" s="98"/>
      <c r="E26" s="98"/>
      <c r="F26" s="98"/>
      <c r="G26" s="98">
        <v>366.14</v>
      </c>
      <c r="H26" s="98">
        <f>D26+E26+F26+G26</f>
        <v>366.14</v>
      </c>
      <c r="I26" s="25"/>
    </row>
    <row r="27" spans="1:9" s="8" customFormat="1" ht="15" x14ac:dyDescent="0.25">
      <c r="A27" s="99">
        <v>2</v>
      </c>
      <c r="B27" s="100" t="s">
        <v>21</v>
      </c>
      <c r="C27" s="100" t="s">
        <v>22</v>
      </c>
      <c r="D27" s="98"/>
      <c r="E27" s="98"/>
      <c r="F27" s="98"/>
      <c r="G27" s="98">
        <v>306.72000000000003</v>
      </c>
      <c r="H27" s="98">
        <f t="shared" ref="H27:H32" si="0">D27+E27+F27+G27</f>
        <v>306.72000000000003</v>
      </c>
      <c r="I27" s="25"/>
    </row>
    <row r="28" spans="1:9" s="8" customFormat="1" ht="15" x14ac:dyDescent="0.25">
      <c r="A28" s="22">
        <v>3</v>
      </c>
      <c r="B28" s="23" t="s">
        <v>23</v>
      </c>
      <c r="C28" s="23" t="s">
        <v>24</v>
      </c>
      <c r="D28" s="24"/>
      <c r="E28" s="24"/>
      <c r="F28" s="24"/>
      <c r="G28" s="24">
        <v>346.56</v>
      </c>
      <c r="H28" s="24">
        <f t="shared" si="0"/>
        <v>346.56</v>
      </c>
      <c r="I28" s="25"/>
    </row>
    <row r="29" spans="1:9" s="8" customFormat="1" ht="15" x14ac:dyDescent="0.25">
      <c r="A29" s="22">
        <v>4</v>
      </c>
      <c r="B29" s="23" t="s">
        <v>229</v>
      </c>
      <c r="C29" s="23" t="s">
        <v>25</v>
      </c>
      <c r="D29" s="24"/>
      <c r="E29" s="24"/>
      <c r="F29" s="24"/>
      <c r="G29" s="24">
        <v>345.86</v>
      </c>
      <c r="H29" s="24">
        <f t="shared" si="0"/>
        <v>345.86</v>
      </c>
      <c r="I29" s="25"/>
    </row>
    <row r="30" spans="1:9" s="8" customFormat="1" ht="33.75" x14ac:dyDescent="0.25">
      <c r="A30" s="22">
        <v>5</v>
      </c>
      <c r="B30" s="23" t="s">
        <v>26</v>
      </c>
      <c r="C30" s="23" t="s">
        <v>27</v>
      </c>
      <c r="D30" s="24"/>
      <c r="E30" s="24"/>
      <c r="F30" s="24"/>
      <c r="G30" s="24">
        <v>1450</v>
      </c>
      <c r="H30" s="24">
        <f t="shared" si="0"/>
        <v>1450</v>
      </c>
      <c r="I30" s="25"/>
    </row>
    <row r="31" spans="1:9" s="8" customFormat="1" ht="22.5" x14ac:dyDescent="0.25">
      <c r="A31" s="99">
        <v>6</v>
      </c>
      <c r="B31" s="100" t="s">
        <v>28</v>
      </c>
      <c r="C31" s="100" t="s">
        <v>29</v>
      </c>
      <c r="D31" s="98"/>
      <c r="E31" s="98"/>
      <c r="F31" s="98"/>
      <c r="G31" s="98">
        <v>58.29</v>
      </c>
      <c r="H31" s="98">
        <f t="shared" si="0"/>
        <v>58.29</v>
      </c>
      <c r="I31" s="25"/>
    </row>
    <row r="32" spans="1:9" s="8" customFormat="1" ht="22.5" x14ac:dyDescent="0.25">
      <c r="A32" s="99">
        <v>7</v>
      </c>
      <c r="B32" s="100" t="s">
        <v>30</v>
      </c>
      <c r="C32" s="100" t="s">
        <v>31</v>
      </c>
      <c r="D32" s="98">
        <v>6960.3</v>
      </c>
      <c r="E32" s="98">
        <v>705.73</v>
      </c>
      <c r="F32" s="98"/>
      <c r="G32" s="98"/>
      <c r="H32" s="98">
        <f t="shared" si="0"/>
        <v>7666.03</v>
      </c>
      <c r="I32" s="25"/>
    </row>
    <row r="33" spans="1:9" s="8" customFormat="1" ht="22.5" x14ac:dyDescent="0.25">
      <c r="A33" s="26">
        <v>8</v>
      </c>
      <c r="B33" s="27"/>
      <c r="C33" s="27" t="s">
        <v>32</v>
      </c>
      <c r="D33" s="28">
        <f>D35+D36+D37+D38</f>
        <v>6960.3</v>
      </c>
      <c r="E33" s="28">
        <f t="shared" ref="E33:G33" si="1">E35+E36+E37+E38</f>
        <v>705.73</v>
      </c>
      <c r="F33" s="28"/>
      <c r="G33" s="28">
        <f t="shared" si="1"/>
        <v>2873.57</v>
      </c>
      <c r="H33" s="28">
        <f>D33+E33+F33+G33</f>
        <v>10539.6</v>
      </c>
      <c r="I33" s="29"/>
    </row>
    <row r="34" spans="1:9" s="8" customFormat="1" ht="15" x14ac:dyDescent="0.25">
      <c r="A34" s="26">
        <v>8</v>
      </c>
      <c r="B34" s="27"/>
      <c r="C34" s="27" t="s">
        <v>33</v>
      </c>
      <c r="D34" s="28"/>
      <c r="E34" s="28"/>
      <c r="F34" s="28"/>
      <c r="G34" s="28"/>
      <c r="H34" s="28"/>
      <c r="I34" s="29"/>
    </row>
    <row r="35" spans="1:9" s="8" customFormat="1" ht="15" x14ac:dyDescent="0.25">
      <c r="A35" s="26">
        <v>8</v>
      </c>
      <c r="B35" s="27"/>
      <c r="C35" s="27" t="s">
        <v>34</v>
      </c>
      <c r="D35" s="28">
        <v>6960.3</v>
      </c>
      <c r="E35" s="28">
        <f>E32</f>
        <v>705.73</v>
      </c>
      <c r="F35" s="28"/>
      <c r="G35" s="28">
        <f>G26+G30+G31+G32</f>
        <v>1874.43</v>
      </c>
      <c r="H35" s="28">
        <f>D35+E35+F35+G35</f>
        <v>9540.4599999999991</v>
      </c>
      <c r="I35" s="29"/>
    </row>
    <row r="36" spans="1:9" s="8" customFormat="1" ht="15" x14ac:dyDescent="0.25">
      <c r="A36" s="26">
        <v>8</v>
      </c>
      <c r="B36" s="27"/>
      <c r="C36" s="27" t="s">
        <v>35</v>
      </c>
      <c r="D36" s="28"/>
      <c r="E36" s="28"/>
      <c r="F36" s="28"/>
      <c r="G36" s="28">
        <f>G27</f>
        <v>306.72000000000003</v>
      </c>
      <c r="H36" s="28">
        <f t="shared" ref="H36:H38" si="2">D36+E36+F36+G36</f>
        <v>306.72000000000003</v>
      </c>
      <c r="I36" s="29"/>
    </row>
    <row r="37" spans="1:9" s="8" customFormat="1" ht="15" x14ac:dyDescent="0.25">
      <c r="A37" s="26">
        <v>8</v>
      </c>
      <c r="B37" s="27"/>
      <c r="C37" s="27" t="s">
        <v>36</v>
      </c>
      <c r="D37" s="28"/>
      <c r="E37" s="28"/>
      <c r="F37" s="28"/>
      <c r="G37" s="28">
        <f>G28</f>
        <v>346.56</v>
      </c>
      <c r="H37" s="28">
        <f t="shared" si="2"/>
        <v>346.56</v>
      </c>
      <c r="I37" s="29"/>
    </row>
    <row r="38" spans="1:9" s="8" customFormat="1" ht="15" x14ac:dyDescent="0.25">
      <c r="A38" s="26">
        <v>8</v>
      </c>
      <c r="B38" s="27"/>
      <c r="C38" s="27" t="s">
        <v>37</v>
      </c>
      <c r="D38" s="28"/>
      <c r="E38" s="28"/>
      <c r="F38" s="28"/>
      <c r="G38" s="28">
        <f>G29</f>
        <v>345.86</v>
      </c>
      <c r="H38" s="28">
        <f t="shared" si="2"/>
        <v>345.86</v>
      </c>
      <c r="I38" s="29"/>
    </row>
    <row r="39" spans="1:9" s="8" customFormat="1" ht="15" x14ac:dyDescent="0.25">
      <c r="A39" s="30"/>
      <c r="B39" s="404" t="s">
        <v>32</v>
      </c>
      <c r="C39" s="405"/>
      <c r="D39" s="31">
        <f>D32</f>
        <v>6960.3</v>
      </c>
      <c r="E39" s="31">
        <f>E32</f>
        <v>705.73</v>
      </c>
      <c r="F39" s="32"/>
      <c r="G39" s="32">
        <f>G26+G27+G28+G29+G30+G31+G32</f>
        <v>2873.57</v>
      </c>
      <c r="H39" s="32">
        <f>D39+E39+F39+G39</f>
        <v>10539.6</v>
      </c>
      <c r="I39" s="33"/>
    </row>
    <row r="40" spans="1:9" s="8" customFormat="1" ht="15" x14ac:dyDescent="0.25">
      <c r="A40" s="401" t="s">
        <v>38</v>
      </c>
      <c r="B40" s="402"/>
      <c r="C40" s="402"/>
      <c r="D40" s="402"/>
      <c r="E40" s="402"/>
      <c r="F40" s="402"/>
      <c r="G40" s="402"/>
      <c r="H40" s="403"/>
      <c r="I40" s="21"/>
    </row>
    <row r="41" spans="1:9" s="8" customFormat="1" ht="22.5" x14ac:dyDescent="0.25">
      <c r="A41" s="99">
        <v>8</v>
      </c>
      <c r="B41" s="100" t="s">
        <v>39</v>
      </c>
      <c r="C41" s="100" t="s">
        <v>40</v>
      </c>
      <c r="D41" s="107">
        <v>85641.01</v>
      </c>
      <c r="E41" s="107">
        <v>10119.15</v>
      </c>
      <c r="F41" s="107">
        <v>389545.83</v>
      </c>
      <c r="G41" s="108"/>
      <c r="H41" s="98">
        <f>D41+E41+F41+G41</f>
        <v>485305.99</v>
      </c>
      <c r="I41" s="25"/>
    </row>
    <row r="42" spans="1:9" s="8" customFormat="1" ht="22.5" x14ac:dyDescent="0.25">
      <c r="A42" s="99">
        <v>9</v>
      </c>
      <c r="B42" s="100" t="s">
        <v>41</v>
      </c>
      <c r="C42" s="100" t="s">
        <v>42</v>
      </c>
      <c r="D42" s="107">
        <v>47947.33</v>
      </c>
      <c r="E42" s="107">
        <v>4867.95</v>
      </c>
      <c r="F42" s="107">
        <v>258187.51999999999</v>
      </c>
      <c r="G42" s="108"/>
      <c r="H42" s="98">
        <f t="shared" ref="H42:H44" si="3">D42+E42+F42+G42</f>
        <v>311002.8</v>
      </c>
      <c r="I42" s="25"/>
    </row>
    <row r="43" spans="1:9" s="8" customFormat="1" ht="22.5" x14ac:dyDescent="0.25">
      <c r="A43" s="22">
        <v>10</v>
      </c>
      <c r="B43" s="23" t="s">
        <v>43</v>
      </c>
      <c r="C43" s="23" t="s">
        <v>44</v>
      </c>
      <c r="D43" s="34">
        <v>44471.22</v>
      </c>
      <c r="E43" s="34">
        <v>6973.11</v>
      </c>
      <c r="F43" s="34">
        <v>340585.56</v>
      </c>
      <c r="G43" s="35"/>
      <c r="H43" s="24">
        <f t="shared" si="3"/>
        <v>392029.89</v>
      </c>
      <c r="I43" s="25"/>
    </row>
    <row r="44" spans="1:9" s="8" customFormat="1" ht="22.5" x14ac:dyDescent="0.25">
      <c r="A44" s="22">
        <v>11</v>
      </c>
      <c r="B44" s="23" t="s">
        <v>45</v>
      </c>
      <c r="C44" s="23" t="s">
        <v>46</v>
      </c>
      <c r="D44" s="34">
        <v>47692.47</v>
      </c>
      <c r="E44" s="34">
        <v>4087.92</v>
      </c>
      <c r="F44" s="34">
        <v>221804.85</v>
      </c>
      <c r="G44" s="35"/>
      <c r="H44" s="24">
        <f t="shared" si="3"/>
        <v>273585.24</v>
      </c>
      <c r="I44" s="25"/>
    </row>
    <row r="45" spans="1:9" s="8" customFormat="1" ht="15" x14ac:dyDescent="0.25">
      <c r="A45" s="30"/>
      <c r="B45" s="404" t="s">
        <v>47</v>
      </c>
      <c r="C45" s="405"/>
      <c r="D45" s="31">
        <f>SUM(D41:D44)</f>
        <v>225752.03</v>
      </c>
      <c r="E45" s="31">
        <f t="shared" ref="E45:F45" si="4">SUM(E41:E44)</f>
        <v>26048.13</v>
      </c>
      <c r="F45" s="31">
        <f t="shared" si="4"/>
        <v>1210123.76</v>
      </c>
      <c r="G45" s="36"/>
      <c r="H45" s="32">
        <f>D45+E45+F45+G45</f>
        <v>1461923.92</v>
      </c>
      <c r="I45" s="33"/>
    </row>
    <row r="46" spans="1:9" s="8" customFormat="1" ht="15" x14ac:dyDescent="0.25">
      <c r="A46" s="401" t="s">
        <v>48</v>
      </c>
      <c r="B46" s="402"/>
      <c r="C46" s="402"/>
      <c r="D46" s="402"/>
      <c r="E46" s="402"/>
      <c r="F46" s="402"/>
      <c r="G46" s="402"/>
      <c r="H46" s="403"/>
      <c r="I46" s="21"/>
    </row>
    <row r="47" spans="1:9" s="8" customFormat="1" ht="22.5" x14ac:dyDescent="0.25">
      <c r="A47" s="99">
        <v>12</v>
      </c>
      <c r="B47" s="100" t="s">
        <v>49</v>
      </c>
      <c r="C47" s="100" t="s">
        <v>50</v>
      </c>
      <c r="D47" s="107">
        <v>1281.3800000000001</v>
      </c>
      <c r="E47" s="107">
        <v>17909.62</v>
      </c>
      <c r="F47" s="107">
        <v>37325.06</v>
      </c>
      <c r="G47" s="98"/>
      <c r="H47" s="98">
        <f>D47+E47+F47+G47</f>
        <v>56516.06</v>
      </c>
      <c r="I47" s="25"/>
    </row>
    <row r="48" spans="1:9" s="8" customFormat="1" ht="22.5" x14ac:dyDescent="0.25">
      <c r="A48" s="99">
        <v>13</v>
      </c>
      <c r="B48" s="100" t="s">
        <v>51</v>
      </c>
      <c r="C48" s="100" t="s">
        <v>52</v>
      </c>
      <c r="D48" s="107">
        <v>1047.8399999999999</v>
      </c>
      <c r="E48" s="107">
        <v>14771.68</v>
      </c>
      <c r="F48" s="107">
        <v>27936.78</v>
      </c>
      <c r="G48" s="98"/>
      <c r="H48" s="98">
        <f t="shared" ref="H48:H50" si="5">D48+E48+F48+G48</f>
        <v>43756.3</v>
      </c>
      <c r="I48" s="25"/>
    </row>
    <row r="49" spans="1:9" s="8" customFormat="1" ht="22.5" x14ac:dyDescent="0.25">
      <c r="A49" s="22">
        <v>14</v>
      </c>
      <c r="B49" s="23" t="s">
        <v>53</v>
      </c>
      <c r="C49" s="23" t="s">
        <v>54</v>
      </c>
      <c r="D49" s="34">
        <v>1746.72</v>
      </c>
      <c r="E49" s="34">
        <v>17903.599999999999</v>
      </c>
      <c r="F49" s="34">
        <v>23695.31</v>
      </c>
      <c r="G49" s="24"/>
      <c r="H49" s="24">
        <f t="shared" si="5"/>
        <v>43345.63</v>
      </c>
      <c r="I49" s="25"/>
    </row>
    <row r="50" spans="1:9" s="8" customFormat="1" ht="22.5" x14ac:dyDescent="0.25">
      <c r="A50" s="22">
        <v>15</v>
      </c>
      <c r="B50" s="23" t="s">
        <v>55</v>
      </c>
      <c r="C50" s="23" t="s">
        <v>56</v>
      </c>
      <c r="D50" s="34">
        <v>6177.53</v>
      </c>
      <c r="E50" s="34">
        <v>38686.06</v>
      </c>
      <c r="F50" s="34">
        <v>11483.38</v>
      </c>
      <c r="G50" s="24"/>
      <c r="H50" s="24">
        <f t="shared" si="5"/>
        <v>56346.97</v>
      </c>
      <c r="I50" s="25"/>
    </row>
    <row r="51" spans="1:9" s="8" customFormat="1" ht="15" x14ac:dyDescent="0.25">
      <c r="A51" s="30"/>
      <c r="B51" s="404" t="s">
        <v>57</v>
      </c>
      <c r="C51" s="405"/>
      <c r="D51" s="31">
        <f>SUM(D47:D50)</f>
        <v>10253.469999999999</v>
      </c>
      <c r="E51" s="31">
        <f t="shared" ref="E51:F51" si="6">SUM(E47:E50)</f>
        <v>89270.96</v>
      </c>
      <c r="F51" s="31">
        <f t="shared" si="6"/>
        <v>100440.53</v>
      </c>
      <c r="G51" s="32"/>
      <c r="H51" s="32">
        <f>D51+E51+F51+G51</f>
        <v>199964.96</v>
      </c>
      <c r="I51" s="33"/>
    </row>
    <row r="52" spans="1:9" s="8" customFormat="1" ht="15" x14ac:dyDescent="0.25">
      <c r="A52" s="401" t="s">
        <v>58</v>
      </c>
      <c r="B52" s="402"/>
      <c r="C52" s="402"/>
      <c r="D52" s="402"/>
      <c r="E52" s="402"/>
      <c r="F52" s="402"/>
      <c r="G52" s="402"/>
      <c r="H52" s="403"/>
      <c r="I52" s="21"/>
    </row>
    <row r="53" spans="1:9" s="8" customFormat="1" ht="22.5" x14ac:dyDescent="0.25">
      <c r="A53" s="99">
        <v>16</v>
      </c>
      <c r="B53" s="100" t="s">
        <v>59</v>
      </c>
      <c r="C53" s="100" t="s">
        <v>60</v>
      </c>
      <c r="D53" s="107">
        <v>4571.4799999999996</v>
      </c>
      <c r="E53" s="107">
        <v>4736.6099999999997</v>
      </c>
      <c r="F53" s="107">
        <v>198.05</v>
      </c>
      <c r="G53" s="98"/>
      <c r="H53" s="98">
        <f>D53+E53+F53+G53</f>
        <v>9506.14</v>
      </c>
      <c r="I53" s="25"/>
    </row>
    <row r="54" spans="1:9" s="8" customFormat="1" ht="22.5" x14ac:dyDescent="0.25">
      <c r="A54" s="99">
        <v>17</v>
      </c>
      <c r="B54" s="100" t="s">
        <v>61</v>
      </c>
      <c r="C54" s="100" t="s">
        <v>62</v>
      </c>
      <c r="D54" s="107">
        <v>4791.6400000000003</v>
      </c>
      <c r="E54" s="107">
        <v>3991.75</v>
      </c>
      <c r="F54" s="107">
        <v>256.37</v>
      </c>
      <c r="G54" s="98"/>
      <c r="H54" s="98">
        <f t="shared" ref="H54:H56" si="7">D54+E54+F54+G54</f>
        <v>9039.76</v>
      </c>
      <c r="I54" s="25"/>
    </row>
    <row r="55" spans="1:9" s="8" customFormat="1" ht="22.5" x14ac:dyDescent="0.25">
      <c r="A55" s="22">
        <v>18</v>
      </c>
      <c r="B55" s="23" t="s">
        <v>63</v>
      </c>
      <c r="C55" s="23" t="s">
        <v>64</v>
      </c>
      <c r="D55" s="34">
        <v>2980.14</v>
      </c>
      <c r="E55" s="34">
        <v>4326.8999999999996</v>
      </c>
      <c r="F55" s="34">
        <v>256.37</v>
      </c>
      <c r="G55" s="24"/>
      <c r="H55" s="24">
        <f t="shared" si="7"/>
        <v>7563.41</v>
      </c>
      <c r="I55" s="25"/>
    </row>
    <row r="56" spans="1:9" s="8" customFormat="1" ht="22.5" x14ac:dyDescent="0.25">
      <c r="A56" s="22">
        <v>19</v>
      </c>
      <c r="B56" s="23" t="s">
        <v>65</v>
      </c>
      <c r="C56" s="23" t="s">
        <v>66</v>
      </c>
      <c r="D56" s="34">
        <v>3143.93</v>
      </c>
      <c r="E56" s="34">
        <v>7136.6</v>
      </c>
      <c r="F56" s="34">
        <v>192.28</v>
      </c>
      <c r="G56" s="24"/>
      <c r="H56" s="24">
        <f t="shared" si="7"/>
        <v>10472.81</v>
      </c>
      <c r="I56" s="25"/>
    </row>
    <row r="57" spans="1:9" s="8" customFormat="1" ht="15" x14ac:dyDescent="0.25">
      <c r="A57" s="30"/>
      <c r="B57" s="404" t="s">
        <v>67</v>
      </c>
      <c r="C57" s="405"/>
      <c r="D57" s="31">
        <f>SUM(D53:D56)</f>
        <v>15487.19</v>
      </c>
      <c r="E57" s="31">
        <f t="shared" ref="E57:F57" si="8">SUM(E53:E56)</f>
        <v>20191.86</v>
      </c>
      <c r="F57" s="31">
        <f t="shared" si="8"/>
        <v>903.07</v>
      </c>
      <c r="G57" s="32"/>
      <c r="H57" s="32">
        <f>D57+E57+F57+G57</f>
        <v>36582.120000000003</v>
      </c>
      <c r="I57" s="33"/>
    </row>
    <row r="58" spans="1:9" s="8" customFormat="1" ht="15" x14ac:dyDescent="0.25">
      <c r="A58" s="401" t="s">
        <v>68</v>
      </c>
      <c r="B58" s="402"/>
      <c r="C58" s="402"/>
      <c r="D58" s="402"/>
      <c r="E58" s="402"/>
      <c r="F58" s="402"/>
      <c r="G58" s="402"/>
      <c r="H58" s="403"/>
      <c r="I58" s="21"/>
    </row>
    <row r="59" spans="1:9" s="8" customFormat="1" ht="15" x14ac:dyDescent="0.25">
      <c r="A59" s="99">
        <v>20</v>
      </c>
      <c r="B59" s="100" t="s">
        <v>69</v>
      </c>
      <c r="C59" s="100" t="s">
        <v>70</v>
      </c>
      <c r="D59" s="98">
        <v>5778.73</v>
      </c>
      <c r="E59" s="98"/>
      <c r="F59" s="98"/>
      <c r="G59" s="98"/>
      <c r="H59" s="98">
        <f>D59+E59+F59+G59</f>
        <v>5778.73</v>
      </c>
      <c r="I59" s="25"/>
    </row>
    <row r="60" spans="1:9" s="8" customFormat="1" ht="15" x14ac:dyDescent="0.25">
      <c r="A60" s="99">
        <v>21</v>
      </c>
      <c r="B60" s="100" t="s">
        <v>71</v>
      </c>
      <c r="C60" s="100" t="s">
        <v>72</v>
      </c>
      <c r="D60" s="98">
        <v>6312.3</v>
      </c>
      <c r="E60" s="98"/>
      <c r="F60" s="98"/>
      <c r="G60" s="98"/>
      <c r="H60" s="98">
        <f t="shared" ref="H60:H62" si="9">D60+E60+F60+G60</f>
        <v>6312.3</v>
      </c>
      <c r="I60" s="25"/>
    </row>
    <row r="61" spans="1:9" s="8" customFormat="1" ht="15" x14ac:dyDescent="0.25">
      <c r="A61" s="22">
        <v>22</v>
      </c>
      <c r="B61" s="23" t="s">
        <v>73</v>
      </c>
      <c r="C61" s="23" t="s">
        <v>74</v>
      </c>
      <c r="D61" s="24">
        <v>1070.8900000000001</v>
      </c>
      <c r="E61" s="24"/>
      <c r="F61" s="24"/>
      <c r="G61" s="24"/>
      <c r="H61" s="24">
        <f t="shared" si="9"/>
        <v>1070.8900000000001</v>
      </c>
      <c r="I61" s="25"/>
    </row>
    <row r="62" spans="1:9" s="8" customFormat="1" ht="15" x14ac:dyDescent="0.25">
      <c r="A62" s="22">
        <v>23</v>
      </c>
      <c r="B62" s="23" t="s">
        <v>75</v>
      </c>
      <c r="C62" s="23" t="s">
        <v>76</v>
      </c>
      <c r="D62" s="24">
        <v>3530.42</v>
      </c>
      <c r="E62" s="24"/>
      <c r="F62" s="24"/>
      <c r="G62" s="24"/>
      <c r="H62" s="24">
        <f t="shared" si="9"/>
        <v>3530.42</v>
      </c>
      <c r="I62" s="25"/>
    </row>
    <row r="63" spans="1:9" s="8" customFormat="1" ht="22.5" x14ac:dyDescent="0.25">
      <c r="A63" s="37"/>
      <c r="B63" s="27"/>
      <c r="C63" s="27" t="s">
        <v>77</v>
      </c>
      <c r="D63" s="28">
        <f>D59+D60+D61+D62</f>
        <v>16692.34</v>
      </c>
      <c r="E63" s="28"/>
      <c r="F63" s="28"/>
      <c r="G63" s="28"/>
      <c r="H63" s="28">
        <f>D63+E63+F63+G63</f>
        <v>16692.34</v>
      </c>
      <c r="I63" s="29"/>
    </row>
    <row r="64" spans="1:9" s="8" customFormat="1" ht="15" x14ac:dyDescent="0.25">
      <c r="A64" s="37"/>
      <c r="B64" s="27" t="s">
        <v>78</v>
      </c>
      <c r="C64" s="27"/>
      <c r="D64" s="28">
        <f>D66+D67+D68+D69</f>
        <v>275145.33</v>
      </c>
      <c r="E64" s="28">
        <f t="shared" ref="E64:G64" si="10">E66+E67+E68+E69</f>
        <v>136216.68</v>
      </c>
      <c r="F64" s="28">
        <f t="shared" si="10"/>
        <v>1311467.3600000001</v>
      </c>
      <c r="G64" s="28">
        <f t="shared" si="10"/>
        <v>2873.57</v>
      </c>
      <c r="H64" s="28">
        <f>D64+E64+F64+G64</f>
        <v>1725702.94</v>
      </c>
      <c r="I64" s="29"/>
    </row>
    <row r="65" spans="1:9" s="8" customFormat="1" ht="15" x14ac:dyDescent="0.25">
      <c r="A65" s="37"/>
      <c r="B65" s="27"/>
      <c r="C65" s="27" t="s">
        <v>33</v>
      </c>
      <c r="D65" s="28"/>
      <c r="E65" s="28"/>
      <c r="F65" s="28"/>
      <c r="G65" s="28"/>
      <c r="H65" s="28"/>
      <c r="I65" s="29"/>
    </row>
    <row r="66" spans="1:9" s="8" customFormat="1" ht="15" x14ac:dyDescent="0.25">
      <c r="A66" s="37"/>
      <c r="B66" s="27"/>
      <c r="C66" s="27" t="s">
        <v>79</v>
      </c>
      <c r="D66" s="28">
        <f>D35+D41+D47+D53+D59</f>
        <v>104232.9</v>
      </c>
      <c r="E66" s="28">
        <f t="shared" ref="E66:G66" si="11">E35+E41+E47+E53+E59</f>
        <v>33471.11</v>
      </c>
      <c r="F66" s="28">
        <f t="shared" si="11"/>
        <v>427068.94</v>
      </c>
      <c r="G66" s="28">
        <f t="shared" si="11"/>
        <v>1874.43</v>
      </c>
      <c r="H66" s="28">
        <f>D66+E66+F66+G66</f>
        <v>566647.38</v>
      </c>
      <c r="I66" s="29"/>
    </row>
    <row r="67" spans="1:9" s="8" customFormat="1" ht="15" x14ac:dyDescent="0.25">
      <c r="A67" s="37"/>
      <c r="B67" s="27"/>
      <c r="C67" s="27" t="s">
        <v>80</v>
      </c>
      <c r="D67" s="28">
        <f t="shared" ref="D67:G69" si="12">D36+D42+D48+D54+D60</f>
        <v>60099.11</v>
      </c>
      <c r="E67" s="28">
        <f t="shared" si="12"/>
        <v>23631.38</v>
      </c>
      <c r="F67" s="28">
        <f t="shared" si="12"/>
        <v>286380.67</v>
      </c>
      <c r="G67" s="28">
        <f t="shared" si="12"/>
        <v>306.72000000000003</v>
      </c>
      <c r="H67" s="28">
        <f t="shared" ref="H67:H69" si="13">D67+E67+F67+G67</f>
        <v>370417.88</v>
      </c>
      <c r="I67" s="29"/>
    </row>
    <row r="68" spans="1:9" s="8" customFormat="1" ht="15" x14ac:dyDescent="0.25">
      <c r="A68" s="37"/>
      <c r="B68" s="27"/>
      <c r="C68" s="27" t="s">
        <v>81</v>
      </c>
      <c r="D68" s="28">
        <f t="shared" si="12"/>
        <v>50268.97</v>
      </c>
      <c r="E68" s="28">
        <f t="shared" si="12"/>
        <v>29203.61</v>
      </c>
      <c r="F68" s="28">
        <f t="shared" si="12"/>
        <v>364537.24</v>
      </c>
      <c r="G68" s="28">
        <f t="shared" si="12"/>
        <v>346.56</v>
      </c>
      <c r="H68" s="28">
        <f t="shared" si="13"/>
        <v>444356.38</v>
      </c>
      <c r="I68" s="29"/>
    </row>
    <row r="69" spans="1:9" s="8" customFormat="1" ht="15" x14ac:dyDescent="0.25">
      <c r="A69" s="37"/>
      <c r="B69" s="27"/>
      <c r="C69" s="27" t="s">
        <v>82</v>
      </c>
      <c r="D69" s="28">
        <f t="shared" si="12"/>
        <v>60544.35</v>
      </c>
      <c r="E69" s="28">
        <f t="shared" si="12"/>
        <v>49910.58</v>
      </c>
      <c r="F69" s="28">
        <f t="shared" si="12"/>
        <v>233480.51</v>
      </c>
      <c r="G69" s="28">
        <f t="shared" si="12"/>
        <v>345.86</v>
      </c>
      <c r="H69" s="28">
        <f t="shared" si="13"/>
        <v>344281.3</v>
      </c>
      <c r="I69" s="29"/>
    </row>
    <row r="70" spans="1:9" s="8" customFormat="1" ht="15" x14ac:dyDescent="0.25">
      <c r="A70" s="30"/>
      <c r="B70" s="404" t="s">
        <v>77</v>
      </c>
      <c r="C70" s="405"/>
      <c r="D70" s="31">
        <f>D59+D60+D61+D62</f>
        <v>16692.34</v>
      </c>
      <c r="E70" s="31"/>
      <c r="F70" s="32"/>
      <c r="G70" s="32"/>
      <c r="H70" s="32">
        <f>D70+E70+F70+G70</f>
        <v>16692.34</v>
      </c>
      <c r="I70" s="33"/>
    </row>
    <row r="71" spans="1:9" s="8" customFormat="1" ht="15" x14ac:dyDescent="0.25">
      <c r="A71" s="30"/>
      <c r="B71" s="406" t="s">
        <v>83</v>
      </c>
      <c r="C71" s="407"/>
      <c r="D71" s="31">
        <f>D39+D45+D51+D57+D70</f>
        <v>275145.33</v>
      </c>
      <c r="E71" s="31">
        <f t="shared" ref="E71:G71" si="14">E39+E45+E51+E57+E70</f>
        <v>136216.68</v>
      </c>
      <c r="F71" s="31">
        <f t="shared" si="14"/>
        <v>1311467.3600000001</v>
      </c>
      <c r="G71" s="31">
        <f t="shared" si="14"/>
        <v>2873.57</v>
      </c>
      <c r="H71" s="32">
        <f>D71+E71+F71+G71</f>
        <v>1725702.94</v>
      </c>
      <c r="I71" s="33"/>
    </row>
    <row r="72" spans="1:9" s="8" customFormat="1" ht="15" x14ac:dyDescent="0.25">
      <c r="A72" s="401" t="s">
        <v>84</v>
      </c>
      <c r="B72" s="402"/>
      <c r="C72" s="402"/>
      <c r="D72" s="402"/>
      <c r="E72" s="402"/>
      <c r="F72" s="402"/>
      <c r="G72" s="402"/>
      <c r="H72" s="403"/>
      <c r="I72" s="21"/>
    </row>
    <row r="73" spans="1:9" s="8" customFormat="1" ht="33.75" x14ac:dyDescent="0.25">
      <c r="A73" s="22">
        <v>24</v>
      </c>
      <c r="B73" s="23" t="s">
        <v>85</v>
      </c>
      <c r="C73" s="23" t="s">
        <v>86</v>
      </c>
      <c r="D73" s="24">
        <f>D75+D76+D77+D78</f>
        <v>8529.5</v>
      </c>
      <c r="E73" s="24">
        <f>E75+E76+E77+E78</f>
        <v>4222.71</v>
      </c>
      <c r="F73" s="24"/>
      <c r="G73" s="24"/>
      <c r="H73" s="24">
        <f>D73+E73+F73+G73</f>
        <v>12752.21</v>
      </c>
      <c r="I73" s="25"/>
    </row>
    <row r="74" spans="1:9" s="8" customFormat="1" ht="15" x14ac:dyDescent="0.25">
      <c r="A74" s="37"/>
      <c r="B74" s="27"/>
      <c r="C74" s="27" t="s">
        <v>33</v>
      </c>
      <c r="D74" s="28"/>
      <c r="E74" s="28"/>
      <c r="F74" s="28"/>
      <c r="G74" s="28"/>
      <c r="H74" s="28"/>
      <c r="I74" s="29"/>
    </row>
    <row r="75" spans="1:9" s="8" customFormat="1" ht="15" x14ac:dyDescent="0.25">
      <c r="A75" s="115"/>
      <c r="B75" s="116"/>
      <c r="C75" s="116" t="s">
        <v>87</v>
      </c>
      <c r="D75" s="117">
        <f>D66*3.1%</f>
        <v>3231.22</v>
      </c>
      <c r="E75" s="117">
        <f>E66*3.1%</f>
        <v>1037.5999999999999</v>
      </c>
      <c r="F75" s="117"/>
      <c r="G75" s="117"/>
      <c r="H75" s="117">
        <f>D75+E75+F75+G75</f>
        <v>4268.82</v>
      </c>
      <c r="I75" s="29"/>
    </row>
    <row r="76" spans="1:9" s="8" customFormat="1" ht="15" x14ac:dyDescent="0.25">
      <c r="A76" s="115"/>
      <c r="B76" s="116"/>
      <c r="C76" s="116" t="s">
        <v>88</v>
      </c>
      <c r="D76" s="117">
        <f t="shared" ref="D76:E78" si="15">D67*3.1%</f>
        <v>1863.07</v>
      </c>
      <c r="E76" s="117">
        <f t="shared" si="15"/>
        <v>732.57</v>
      </c>
      <c r="F76" s="117"/>
      <c r="G76" s="117"/>
      <c r="H76" s="117">
        <f t="shared" ref="H76:H77" si="16">D76+E76+F76+G76</f>
        <v>2595.64</v>
      </c>
      <c r="I76" s="29"/>
    </row>
    <row r="77" spans="1:9" s="8" customFormat="1" ht="15" x14ac:dyDescent="0.25">
      <c r="A77" s="37"/>
      <c r="B77" s="27"/>
      <c r="C77" s="27" t="s">
        <v>89</v>
      </c>
      <c r="D77" s="28">
        <f t="shared" si="15"/>
        <v>1558.34</v>
      </c>
      <c r="E77" s="28">
        <f t="shared" si="15"/>
        <v>905.31</v>
      </c>
      <c r="F77" s="28"/>
      <c r="G77" s="28"/>
      <c r="H77" s="28">
        <f t="shared" si="16"/>
        <v>2463.65</v>
      </c>
      <c r="I77" s="29"/>
    </row>
    <row r="78" spans="1:9" s="8" customFormat="1" ht="15" x14ac:dyDescent="0.25">
      <c r="A78" s="37"/>
      <c r="B78" s="27"/>
      <c r="C78" s="27" t="s">
        <v>90</v>
      </c>
      <c r="D78" s="28">
        <f t="shared" si="15"/>
        <v>1876.87</v>
      </c>
      <c r="E78" s="28">
        <f t="shared" si="15"/>
        <v>1547.23</v>
      </c>
      <c r="F78" s="28"/>
      <c r="G78" s="28"/>
      <c r="H78" s="28">
        <f>D78+E78+F78+G78</f>
        <v>3424.1</v>
      </c>
      <c r="I78" s="29"/>
    </row>
    <row r="79" spans="1:9" s="8" customFormat="1" ht="15" x14ac:dyDescent="0.25">
      <c r="A79" s="37"/>
      <c r="B79" s="27"/>
      <c r="C79" s="27" t="s">
        <v>91</v>
      </c>
      <c r="D79" s="28">
        <f>D81+D82+D83+D84</f>
        <v>283674.83</v>
      </c>
      <c r="E79" s="28">
        <f t="shared" ref="E79:G79" si="17">E81+E82+E83+E84</f>
        <v>140439.39000000001</v>
      </c>
      <c r="F79" s="28">
        <f t="shared" si="17"/>
        <v>1311467.3600000001</v>
      </c>
      <c r="G79" s="28">
        <f t="shared" si="17"/>
        <v>2873.57</v>
      </c>
      <c r="H79" s="28">
        <f>D79+E79+F79+G79</f>
        <v>1738455.15</v>
      </c>
      <c r="I79" s="29"/>
    </row>
    <row r="80" spans="1:9" s="8" customFormat="1" ht="15" x14ac:dyDescent="0.25">
      <c r="A80" s="37"/>
      <c r="B80" s="27"/>
      <c r="C80" s="27" t="s">
        <v>33</v>
      </c>
      <c r="D80" s="28"/>
      <c r="E80" s="28"/>
      <c r="F80" s="28"/>
      <c r="G80" s="28"/>
      <c r="H80" s="28"/>
      <c r="I80" s="29"/>
    </row>
    <row r="81" spans="1:10" s="8" customFormat="1" ht="15" x14ac:dyDescent="0.25">
      <c r="A81" s="37"/>
      <c r="B81" s="27"/>
      <c r="C81" s="27" t="s">
        <v>92</v>
      </c>
      <c r="D81" s="28">
        <f>D66+D75</f>
        <v>107464.12</v>
      </c>
      <c r="E81" s="28">
        <f t="shared" ref="E81:G81" si="18">E66+E75</f>
        <v>34508.71</v>
      </c>
      <c r="F81" s="28">
        <f t="shared" si="18"/>
        <v>427068.94</v>
      </c>
      <c r="G81" s="28">
        <f t="shared" si="18"/>
        <v>1874.43</v>
      </c>
      <c r="H81" s="28">
        <f>D81+E81+F81+G81</f>
        <v>570916.19999999995</v>
      </c>
      <c r="I81" s="38"/>
      <c r="J81" s="39"/>
    </row>
    <row r="82" spans="1:10" s="8" customFormat="1" ht="15" x14ac:dyDescent="0.25">
      <c r="A82" s="37"/>
      <c r="B82" s="27"/>
      <c r="C82" s="27" t="s">
        <v>93</v>
      </c>
      <c r="D82" s="28">
        <f t="shared" ref="D82:G84" si="19">D67+D76</f>
        <v>61962.18</v>
      </c>
      <c r="E82" s="28">
        <f t="shared" si="19"/>
        <v>24363.95</v>
      </c>
      <c r="F82" s="28">
        <f t="shared" si="19"/>
        <v>286380.67</v>
      </c>
      <c r="G82" s="28">
        <f t="shared" si="19"/>
        <v>306.72000000000003</v>
      </c>
      <c r="H82" s="28">
        <f t="shared" ref="H82:H84" si="20">D82+E82+F82+G82</f>
        <v>373013.52</v>
      </c>
      <c r="I82" s="38"/>
      <c r="J82" s="39"/>
    </row>
    <row r="83" spans="1:10" s="8" customFormat="1" ht="15" x14ac:dyDescent="0.25">
      <c r="A83" s="37"/>
      <c r="B83" s="27"/>
      <c r="C83" s="27" t="s">
        <v>94</v>
      </c>
      <c r="D83" s="28">
        <f t="shared" si="19"/>
        <v>51827.31</v>
      </c>
      <c r="E83" s="28">
        <f t="shared" si="19"/>
        <v>30108.92</v>
      </c>
      <c r="F83" s="28">
        <f t="shared" si="19"/>
        <v>364537.24</v>
      </c>
      <c r="G83" s="28">
        <f t="shared" si="19"/>
        <v>346.56</v>
      </c>
      <c r="H83" s="28">
        <f t="shared" si="20"/>
        <v>446820.03</v>
      </c>
      <c r="I83" s="38"/>
      <c r="J83" s="39"/>
    </row>
    <row r="84" spans="1:10" s="8" customFormat="1" ht="15" x14ac:dyDescent="0.25">
      <c r="A84" s="37"/>
      <c r="B84" s="27"/>
      <c r="C84" s="27" t="s">
        <v>95</v>
      </c>
      <c r="D84" s="28">
        <f t="shared" si="19"/>
        <v>62421.22</v>
      </c>
      <c r="E84" s="28">
        <f t="shared" si="19"/>
        <v>51457.81</v>
      </c>
      <c r="F84" s="28">
        <f t="shared" si="19"/>
        <v>233480.51</v>
      </c>
      <c r="G84" s="28">
        <f t="shared" si="19"/>
        <v>345.86</v>
      </c>
      <c r="H84" s="28">
        <f t="shared" si="20"/>
        <v>347705.4</v>
      </c>
      <c r="I84" s="38"/>
      <c r="J84" s="39"/>
    </row>
    <row r="85" spans="1:10" s="8" customFormat="1" ht="15" x14ac:dyDescent="0.25">
      <c r="A85" s="30"/>
      <c r="B85" s="404" t="s">
        <v>96</v>
      </c>
      <c r="C85" s="405"/>
      <c r="D85" s="31">
        <f>D73</f>
        <v>8529.5</v>
      </c>
      <c r="E85" s="31">
        <f>E73</f>
        <v>4222.71</v>
      </c>
      <c r="F85" s="32"/>
      <c r="G85" s="32"/>
      <c r="H85" s="32">
        <f>D85+E85+F85+G85</f>
        <v>12752.21</v>
      </c>
      <c r="I85" s="33"/>
    </row>
    <row r="86" spans="1:10" s="8" customFormat="1" ht="15" x14ac:dyDescent="0.25">
      <c r="A86" s="30"/>
      <c r="B86" s="406" t="s">
        <v>97</v>
      </c>
      <c r="C86" s="407"/>
      <c r="D86" s="31">
        <f>D71+D85</f>
        <v>283674.83</v>
      </c>
      <c r="E86" s="31">
        <f t="shared" ref="E86:G86" si="21">E71+E85</f>
        <v>140439.39000000001</v>
      </c>
      <c r="F86" s="31">
        <f t="shared" si="21"/>
        <v>1311467.3600000001</v>
      </c>
      <c r="G86" s="31">
        <f t="shared" si="21"/>
        <v>2873.57</v>
      </c>
      <c r="H86" s="32">
        <f>D86+E86+F86+G86</f>
        <v>1738455.15</v>
      </c>
      <c r="I86" s="33"/>
    </row>
    <row r="87" spans="1:10" s="8" customFormat="1" ht="15" x14ac:dyDescent="0.25">
      <c r="A87" s="401" t="s">
        <v>98</v>
      </c>
      <c r="B87" s="402"/>
      <c r="C87" s="402"/>
      <c r="D87" s="402"/>
      <c r="E87" s="402"/>
      <c r="F87" s="402"/>
      <c r="G87" s="402"/>
      <c r="H87" s="403"/>
      <c r="I87" s="21"/>
    </row>
    <row r="88" spans="1:10" s="8" customFormat="1" ht="22.5" x14ac:dyDescent="0.25">
      <c r="A88" s="22">
        <v>25</v>
      </c>
      <c r="B88" s="23" t="s">
        <v>99</v>
      </c>
      <c r="C88" s="23" t="s">
        <v>100</v>
      </c>
      <c r="D88" s="24">
        <f>D90+D91+D92+D93</f>
        <v>1418.38</v>
      </c>
      <c r="E88" s="24">
        <f>E90+E91+E92+E93</f>
        <v>702.19</v>
      </c>
      <c r="F88" s="24"/>
      <c r="G88" s="24"/>
      <c r="H88" s="24">
        <f>D88+E88+F88+G88</f>
        <v>2120.5700000000002</v>
      </c>
      <c r="I88" s="25"/>
    </row>
    <row r="89" spans="1:10" s="8" customFormat="1" ht="15" x14ac:dyDescent="0.25">
      <c r="A89" s="37"/>
      <c r="B89" s="27" t="s">
        <v>33</v>
      </c>
      <c r="C89" s="27"/>
      <c r="D89" s="28"/>
      <c r="E89" s="28"/>
      <c r="F89" s="28"/>
      <c r="G89" s="28"/>
      <c r="H89" s="28"/>
      <c r="I89" s="29"/>
    </row>
    <row r="90" spans="1:10" s="8" customFormat="1" ht="15" x14ac:dyDescent="0.25">
      <c r="A90" s="115"/>
      <c r="B90" s="116"/>
      <c r="C90" s="116" t="s">
        <v>101</v>
      </c>
      <c r="D90" s="117">
        <f>D81*0.5%</f>
        <v>537.32000000000005</v>
      </c>
      <c r="E90" s="117">
        <f>E81*0.5%</f>
        <v>172.54</v>
      </c>
      <c r="F90" s="117"/>
      <c r="G90" s="117"/>
      <c r="H90" s="117">
        <f>D90+E90</f>
        <v>709.86</v>
      </c>
      <c r="I90" s="29"/>
    </row>
    <row r="91" spans="1:10" s="8" customFormat="1" ht="15" x14ac:dyDescent="0.25">
      <c r="A91" s="115"/>
      <c r="B91" s="116"/>
      <c r="C91" s="116" t="s">
        <v>102</v>
      </c>
      <c r="D91" s="117">
        <f t="shared" ref="D91:D93" si="22">D82*0.5%</f>
        <v>309.81</v>
      </c>
      <c r="E91" s="117">
        <f t="shared" ref="E91:E93" si="23">E82*0.5%</f>
        <v>121.82</v>
      </c>
      <c r="F91" s="117"/>
      <c r="G91" s="117"/>
      <c r="H91" s="117">
        <f t="shared" ref="H91:H93" si="24">D91+E91</f>
        <v>431.63</v>
      </c>
      <c r="I91" s="29"/>
    </row>
    <row r="92" spans="1:10" s="8" customFormat="1" ht="15" x14ac:dyDescent="0.25">
      <c r="A92" s="37"/>
      <c r="B92" s="27"/>
      <c r="C92" s="27" t="s">
        <v>103</v>
      </c>
      <c r="D92" s="28">
        <f t="shared" si="22"/>
        <v>259.14</v>
      </c>
      <c r="E92" s="28">
        <f t="shared" si="23"/>
        <v>150.54</v>
      </c>
      <c r="F92" s="28"/>
      <c r="G92" s="28"/>
      <c r="H92" s="28">
        <f t="shared" si="24"/>
        <v>409.68</v>
      </c>
      <c r="I92" s="29"/>
    </row>
    <row r="93" spans="1:10" s="8" customFormat="1" ht="15" x14ac:dyDescent="0.25">
      <c r="A93" s="37"/>
      <c r="B93" s="27"/>
      <c r="C93" s="27" t="s">
        <v>104</v>
      </c>
      <c r="D93" s="28">
        <f t="shared" si="22"/>
        <v>312.11</v>
      </c>
      <c r="E93" s="28">
        <f t="shared" si="23"/>
        <v>257.29000000000002</v>
      </c>
      <c r="F93" s="28"/>
      <c r="G93" s="28"/>
      <c r="H93" s="28">
        <f t="shared" si="24"/>
        <v>569.4</v>
      </c>
      <c r="I93" s="29"/>
    </row>
    <row r="94" spans="1:10" s="8" customFormat="1" ht="22.5" x14ac:dyDescent="0.25">
      <c r="A94" s="99">
        <v>26</v>
      </c>
      <c r="B94" s="100" t="s">
        <v>105</v>
      </c>
      <c r="C94" s="100" t="s">
        <v>106</v>
      </c>
      <c r="D94" s="98"/>
      <c r="E94" s="98"/>
      <c r="F94" s="98"/>
      <c r="G94" s="98">
        <v>3522.14</v>
      </c>
      <c r="H94" s="98">
        <f>G94</f>
        <v>3522.14</v>
      </c>
      <c r="I94" s="25"/>
    </row>
    <row r="95" spans="1:10" s="8" customFormat="1" ht="22.5" x14ac:dyDescent="0.25">
      <c r="A95" s="99">
        <v>27</v>
      </c>
      <c r="B95" s="100" t="s">
        <v>107</v>
      </c>
      <c r="C95" s="100" t="s">
        <v>108</v>
      </c>
      <c r="D95" s="98"/>
      <c r="E95" s="98"/>
      <c r="F95" s="98"/>
      <c r="G95" s="98">
        <v>2773.4</v>
      </c>
      <c r="H95" s="98">
        <f t="shared" ref="H95:H106" si="25">G95</f>
        <v>2773.4</v>
      </c>
      <c r="I95" s="25"/>
    </row>
    <row r="96" spans="1:10" s="8" customFormat="1" ht="22.5" x14ac:dyDescent="0.25">
      <c r="A96" s="22">
        <v>28</v>
      </c>
      <c r="B96" s="23" t="s">
        <v>109</v>
      </c>
      <c r="C96" s="23" t="s">
        <v>110</v>
      </c>
      <c r="D96" s="24"/>
      <c r="E96" s="24"/>
      <c r="F96" s="24"/>
      <c r="G96" s="24">
        <v>1660.3</v>
      </c>
      <c r="H96" s="24">
        <f t="shared" si="25"/>
        <v>1660.3</v>
      </c>
      <c r="I96" s="25"/>
    </row>
    <row r="97" spans="1:9" s="8" customFormat="1" ht="22.5" x14ac:dyDescent="0.25">
      <c r="A97" s="22">
        <v>29</v>
      </c>
      <c r="B97" s="23" t="s">
        <v>111</v>
      </c>
      <c r="C97" s="23" t="s">
        <v>112</v>
      </c>
      <c r="D97" s="24"/>
      <c r="E97" s="24"/>
      <c r="F97" s="24"/>
      <c r="G97" s="24">
        <v>2334.4499999999998</v>
      </c>
      <c r="H97" s="24">
        <f t="shared" si="25"/>
        <v>2334.4499999999998</v>
      </c>
      <c r="I97" s="25"/>
    </row>
    <row r="98" spans="1:9" s="8" customFormat="1" ht="22.5" x14ac:dyDescent="0.25">
      <c r="A98" s="22">
        <v>30</v>
      </c>
      <c r="B98" s="23" t="s">
        <v>113</v>
      </c>
      <c r="C98" s="23" t="s">
        <v>114</v>
      </c>
      <c r="D98" s="24"/>
      <c r="E98" s="24"/>
      <c r="F98" s="24"/>
      <c r="G98" s="24">
        <v>974.1</v>
      </c>
      <c r="H98" s="24">
        <f t="shared" si="25"/>
        <v>974.1</v>
      </c>
      <c r="I98" s="25"/>
    </row>
    <row r="99" spans="1:9" s="8" customFormat="1" ht="22.5" x14ac:dyDescent="0.25">
      <c r="A99" s="22">
        <v>31</v>
      </c>
      <c r="B99" s="23" t="s">
        <v>115</v>
      </c>
      <c r="C99" s="23" t="s">
        <v>116</v>
      </c>
      <c r="D99" s="24"/>
      <c r="E99" s="24"/>
      <c r="F99" s="24"/>
      <c r="G99" s="24">
        <v>763.99</v>
      </c>
      <c r="H99" s="24">
        <f t="shared" si="25"/>
        <v>763.99</v>
      </c>
      <c r="I99" s="25"/>
    </row>
    <row r="100" spans="1:9" s="8" customFormat="1" ht="22.5" x14ac:dyDescent="0.25">
      <c r="A100" s="22">
        <v>32</v>
      </c>
      <c r="B100" s="23" t="s">
        <v>117</v>
      </c>
      <c r="C100" s="23" t="s">
        <v>118</v>
      </c>
      <c r="D100" s="24"/>
      <c r="E100" s="24"/>
      <c r="F100" s="24"/>
      <c r="G100" s="24">
        <v>838.67</v>
      </c>
      <c r="H100" s="24">
        <f t="shared" si="25"/>
        <v>838.67</v>
      </c>
      <c r="I100" s="25"/>
    </row>
    <row r="101" spans="1:9" s="8" customFormat="1" ht="22.5" x14ac:dyDescent="0.25">
      <c r="A101" s="22">
        <v>33</v>
      </c>
      <c r="B101" s="23" t="s">
        <v>119</v>
      </c>
      <c r="C101" s="23" t="s">
        <v>120</v>
      </c>
      <c r="D101" s="24"/>
      <c r="E101" s="24"/>
      <c r="F101" s="24"/>
      <c r="G101" s="24">
        <v>1014.66</v>
      </c>
      <c r="H101" s="24">
        <f t="shared" si="25"/>
        <v>1014.66</v>
      </c>
      <c r="I101" s="25"/>
    </row>
    <row r="102" spans="1:9" s="8" customFormat="1" ht="22.5" x14ac:dyDescent="0.25">
      <c r="A102" s="99">
        <v>34</v>
      </c>
      <c r="B102" s="100" t="s">
        <v>121</v>
      </c>
      <c r="C102" s="100" t="s">
        <v>122</v>
      </c>
      <c r="D102" s="98"/>
      <c r="E102" s="98"/>
      <c r="F102" s="98"/>
      <c r="G102" s="98">
        <v>116.09</v>
      </c>
      <c r="H102" s="98">
        <f t="shared" si="25"/>
        <v>116.09</v>
      </c>
      <c r="I102" s="25"/>
    </row>
    <row r="103" spans="1:9" s="8" customFormat="1" ht="22.5" x14ac:dyDescent="0.25">
      <c r="A103" s="99">
        <v>35</v>
      </c>
      <c r="B103" s="100" t="s">
        <v>123</v>
      </c>
      <c r="C103" s="100" t="s">
        <v>124</v>
      </c>
      <c r="D103" s="98"/>
      <c r="E103" s="98"/>
      <c r="F103" s="98"/>
      <c r="G103" s="98">
        <v>73.48</v>
      </c>
      <c r="H103" s="98">
        <f t="shared" si="25"/>
        <v>73.48</v>
      </c>
      <c r="I103" s="25"/>
    </row>
    <row r="104" spans="1:9" s="8" customFormat="1" ht="22.5" x14ac:dyDescent="0.25">
      <c r="A104" s="22">
        <v>36</v>
      </c>
      <c r="B104" s="23" t="s">
        <v>125</v>
      </c>
      <c r="C104" s="23" t="s">
        <v>126</v>
      </c>
      <c r="D104" s="24"/>
      <c r="E104" s="24"/>
      <c r="F104" s="24"/>
      <c r="G104" s="24">
        <v>73.48</v>
      </c>
      <c r="H104" s="24">
        <f t="shared" si="25"/>
        <v>73.48</v>
      </c>
      <c r="I104" s="25"/>
    </row>
    <row r="105" spans="1:9" s="8" customFormat="1" ht="22.5" x14ac:dyDescent="0.25">
      <c r="A105" s="22">
        <v>37</v>
      </c>
      <c r="B105" s="23" t="s">
        <v>127</v>
      </c>
      <c r="C105" s="23" t="s">
        <v>128</v>
      </c>
      <c r="D105" s="24"/>
      <c r="E105" s="24"/>
      <c r="F105" s="24"/>
      <c r="G105" s="24">
        <v>85.2</v>
      </c>
      <c r="H105" s="24">
        <f t="shared" si="25"/>
        <v>85.2</v>
      </c>
      <c r="I105" s="25"/>
    </row>
    <row r="106" spans="1:9" s="8" customFormat="1" ht="22.5" x14ac:dyDescent="0.25">
      <c r="A106" s="99">
        <v>38</v>
      </c>
      <c r="B106" s="100" t="s">
        <v>129</v>
      </c>
      <c r="C106" s="100" t="s">
        <v>130</v>
      </c>
      <c r="D106" s="98"/>
      <c r="E106" s="98"/>
      <c r="F106" s="98"/>
      <c r="G106" s="122">
        <v>383.18</v>
      </c>
      <c r="H106" s="98">
        <f t="shared" si="25"/>
        <v>383.18</v>
      </c>
      <c r="I106" s="25"/>
    </row>
    <row r="107" spans="1:9" s="8" customFormat="1" ht="22.5" x14ac:dyDescent="0.25">
      <c r="A107" s="99">
        <v>40</v>
      </c>
      <c r="B107" s="100" t="s">
        <v>131</v>
      </c>
      <c r="C107" s="100" t="s">
        <v>132</v>
      </c>
      <c r="D107" s="98"/>
      <c r="E107" s="98"/>
      <c r="F107" s="98"/>
      <c r="G107" s="122">
        <v>120.02</v>
      </c>
      <c r="H107" s="98">
        <f t="shared" ref="H107:H114" si="26">D107+E107+F107+G107</f>
        <v>120.02</v>
      </c>
      <c r="I107" s="25"/>
    </row>
    <row r="108" spans="1:9" s="8" customFormat="1" ht="22.5" x14ac:dyDescent="0.25">
      <c r="A108" s="22">
        <v>42</v>
      </c>
      <c r="B108" s="23" t="s">
        <v>133</v>
      </c>
      <c r="C108" s="23" t="s">
        <v>134</v>
      </c>
      <c r="D108" s="24"/>
      <c r="E108" s="24"/>
      <c r="F108" s="24"/>
      <c r="G108" s="40">
        <v>105.2</v>
      </c>
      <c r="H108" s="24">
        <f t="shared" si="26"/>
        <v>105.2</v>
      </c>
      <c r="I108" s="25"/>
    </row>
    <row r="109" spans="1:9" s="8" customFormat="1" ht="22.5" x14ac:dyDescent="0.25">
      <c r="A109" s="22">
        <v>44</v>
      </c>
      <c r="B109" s="23" t="s">
        <v>135</v>
      </c>
      <c r="C109" s="23" t="s">
        <v>136</v>
      </c>
      <c r="D109" s="24"/>
      <c r="E109" s="24"/>
      <c r="F109" s="24"/>
      <c r="G109" s="40">
        <v>88.48</v>
      </c>
      <c r="H109" s="24">
        <f t="shared" si="26"/>
        <v>88.48</v>
      </c>
      <c r="I109" s="25"/>
    </row>
    <row r="110" spans="1:9" s="8" customFormat="1" ht="33.75" x14ac:dyDescent="0.25">
      <c r="A110" s="123">
        <v>46</v>
      </c>
      <c r="B110" s="102" t="s">
        <v>137</v>
      </c>
      <c r="C110" s="102" t="s">
        <v>138</v>
      </c>
      <c r="D110" s="124"/>
      <c r="E110" s="124"/>
      <c r="F110" s="124"/>
      <c r="G110" s="124">
        <v>0.14000000000000001</v>
      </c>
      <c r="H110" s="124">
        <f t="shared" si="26"/>
        <v>0.14000000000000001</v>
      </c>
      <c r="I110" s="25"/>
    </row>
    <row r="111" spans="1:9" s="8" customFormat="1" ht="33.75" x14ac:dyDescent="0.25">
      <c r="A111" s="99">
        <v>47</v>
      </c>
      <c r="B111" s="100" t="s">
        <v>139</v>
      </c>
      <c r="C111" s="100" t="s">
        <v>140</v>
      </c>
      <c r="D111" s="98"/>
      <c r="E111" s="98"/>
      <c r="F111" s="98"/>
      <c r="G111" s="98">
        <v>5073.0600000000004</v>
      </c>
      <c r="H111" s="98">
        <f t="shared" si="26"/>
        <v>5073.0600000000004</v>
      </c>
      <c r="I111" s="25"/>
    </row>
    <row r="112" spans="1:9" s="8" customFormat="1" ht="33.75" x14ac:dyDescent="0.25">
      <c r="A112" s="99">
        <v>48</v>
      </c>
      <c r="B112" s="100" t="s">
        <v>141</v>
      </c>
      <c r="C112" s="100" t="s">
        <v>142</v>
      </c>
      <c r="D112" s="98"/>
      <c r="E112" s="98"/>
      <c r="F112" s="98"/>
      <c r="G112" s="98">
        <v>3573.75</v>
      </c>
      <c r="H112" s="98">
        <f t="shared" si="26"/>
        <v>3573.75</v>
      </c>
      <c r="I112" s="25"/>
    </row>
    <row r="113" spans="1:9" s="8" customFormat="1" ht="33.75" x14ac:dyDescent="0.25">
      <c r="A113" s="22">
        <v>49</v>
      </c>
      <c r="B113" s="23" t="s">
        <v>143</v>
      </c>
      <c r="C113" s="23" t="s">
        <v>144</v>
      </c>
      <c r="D113" s="24"/>
      <c r="E113" s="24"/>
      <c r="F113" s="24"/>
      <c r="G113" s="24">
        <v>3723.25</v>
      </c>
      <c r="H113" s="24">
        <f t="shared" si="26"/>
        <v>3723.25</v>
      </c>
      <c r="I113" s="25"/>
    </row>
    <row r="114" spans="1:9" s="8" customFormat="1" ht="33.75" x14ac:dyDescent="0.25">
      <c r="A114" s="22">
        <v>50</v>
      </c>
      <c r="B114" s="23" t="s">
        <v>145</v>
      </c>
      <c r="C114" s="23" t="s">
        <v>146</v>
      </c>
      <c r="D114" s="24"/>
      <c r="E114" s="24"/>
      <c r="F114" s="24"/>
      <c r="G114" s="24">
        <v>4180.9399999999996</v>
      </c>
      <c r="H114" s="24">
        <f t="shared" si="26"/>
        <v>4180.9399999999996</v>
      </c>
      <c r="I114" s="25"/>
    </row>
    <row r="115" spans="1:9" s="8" customFormat="1" ht="15" x14ac:dyDescent="0.25">
      <c r="A115" s="37"/>
      <c r="B115" s="27"/>
      <c r="C115" s="27" t="s">
        <v>147</v>
      </c>
      <c r="D115" s="28">
        <f>D117+D118+D119+D120</f>
        <v>1418.38</v>
      </c>
      <c r="E115" s="28">
        <f>E117+E118+E119+E120</f>
        <v>702.19</v>
      </c>
      <c r="F115" s="28"/>
      <c r="G115" s="28">
        <f>G117+G118+G119+G120</f>
        <v>31477.98</v>
      </c>
      <c r="H115" s="28">
        <f>SUM(D115:G115)</f>
        <v>33598.550000000003</v>
      </c>
      <c r="I115" s="29"/>
    </row>
    <row r="116" spans="1:9" s="8" customFormat="1" ht="15" x14ac:dyDescent="0.25">
      <c r="A116" s="37"/>
      <c r="B116" s="27" t="s">
        <v>33</v>
      </c>
      <c r="C116" s="27"/>
      <c r="D116" s="28"/>
      <c r="E116" s="28"/>
      <c r="F116" s="28"/>
      <c r="G116" s="28"/>
      <c r="H116" s="28"/>
      <c r="I116" s="29"/>
    </row>
    <row r="117" spans="1:9" s="8" customFormat="1" ht="22.5" x14ac:dyDescent="0.25">
      <c r="A117" s="37"/>
      <c r="B117" s="27"/>
      <c r="C117" s="27" t="s">
        <v>148</v>
      </c>
      <c r="D117" s="28">
        <f t="shared" ref="D117:E119" si="27">D90+D94+D98+D102+D106+D111</f>
        <v>537.32000000000005</v>
      </c>
      <c r="E117" s="28">
        <f t="shared" si="27"/>
        <v>172.54</v>
      </c>
      <c r="F117" s="28"/>
      <c r="G117" s="28">
        <f>G90+G94+G98+G102+G106+G111</f>
        <v>10068.57</v>
      </c>
      <c r="H117" s="28">
        <f>D117+E117+F117+G117</f>
        <v>10778.43</v>
      </c>
      <c r="I117" s="29"/>
    </row>
    <row r="118" spans="1:9" s="8" customFormat="1" ht="22.5" x14ac:dyDescent="0.25">
      <c r="A118" s="37"/>
      <c r="B118" s="27"/>
      <c r="C118" s="27" t="s">
        <v>149</v>
      </c>
      <c r="D118" s="28">
        <f t="shared" si="27"/>
        <v>309.81</v>
      </c>
      <c r="E118" s="28">
        <f t="shared" si="27"/>
        <v>121.82</v>
      </c>
      <c r="F118" s="28"/>
      <c r="G118" s="28">
        <f>G91+G95+G99+G103+G107+G112</f>
        <v>7304.64</v>
      </c>
      <c r="H118" s="28">
        <f t="shared" ref="H118:H120" si="28">D118+E118+F118+G118</f>
        <v>7736.27</v>
      </c>
      <c r="I118" s="29"/>
    </row>
    <row r="119" spans="1:9" s="8" customFormat="1" ht="22.5" x14ac:dyDescent="0.25">
      <c r="A119" s="37"/>
      <c r="B119" s="27"/>
      <c r="C119" s="27" t="s">
        <v>150</v>
      </c>
      <c r="D119" s="28">
        <f t="shared" si="27"/>
        <v>259.14</v>
      </c>
      <c r="E119" s="28">
        <f t="shared" si="27"/>
        <v>150.54</v>
      </c>
      <c r="F119" s="28"/>
      <c r="G119" s="28">
        <f>G92+G96+G100+G104+G108+G113</f>
        <v>6400.9</v>
      </c>
      <c r="H119" s="28">
        <f t="shared" si="28"/>
        <v>6810.58</v>
      </c>
      <c r="I119" s="29"/>
    </row>
    <row r="120" spans="1:9" s="8" customFormat="1" ht="22.5" x14ac:dyDescent="0.25">
      <c r="A120" s="37"/>
      <c r="B120" s="27"/>
      <c r="C120" s="27" t="s">
        <v>151</v>
      </c>
      <c r="D120" s="28">
        <f>D93+D97+D101+D105+D109+D110+D114</f>
        <v>312.11</v>
      </c>
      <c r="E120" s="28">
        <f>E93+E97+E101+E105+E109+E110+E114</f>
        <v>257.29000000000002</v>
      </c>
      <c r="F120" s="28"/>
      <c r="G120" s="28">
        <f>G93+G97+G101+G105+G109+G110+G114</f>
        <v>7703.87</v>
      </c>
      <c r="H120" s="28">
        <f t="shared" si="28"/>
        <v>8273.27</v>
      </c>
      <c r="I120" s="29"/>
    </row>
    <row r="121" spans="1:9" s="8" customFormat="1" ht="15" x14ac:dyDescent="0.25">
      <c r="A121" s="37"/>
      <c r="B121" s="27"/>
      <c r="C121" s="27" t="s">
        <v>152</v>
      </c>
      <c r="D121" s="28">
        <f>D123+D124+D125+D126</f>
        <v>285093.21000000002</v>
      </c>
      <c r="E121" s="28">
        <f t="shared" ref="E121:G121" si="29">E123+E124+E125+E126</f>
        <v>141141.57999999999</v>
      </c>
      <c r="F121" s="28">
        <f t="shared" si="29"/>
        <v>1311467.3600000001</v>
      </c>
      <c r="G121" s="28">
        <f t="shared" si="29"/>
        <v>34351.550000000003</v>
      </c>
      <c r="H121" s="28">
        <f>D121+E121+F121+G121</f>
        <v>1772053.7</v>
      </c>
      <c r="I121" s="29"/>
    </row>
    <row r="122" spans="1:9" s="8" customFormat="1" ht="15" x14ac:dyDescent="0.25">
      <c r="A122" s="37"/>
      <c r="B122" s="27" t="s">
        <v>33</v>
      </c>
      <c r="C122" s="27"/>
      <c r="D122" s="28"/>
      <c r="E122" s="28"/>
      <c r="F122" s="28"/>
      <c r="G122" s="28"/>
      <c r="H122" s="28"/>
      <c r="I122" s="29"/>
    </row>
    <row r="123" spans="1:9" s="8" customFormat="1" ht="15" x14ac:dyDescent="0.25">
      <c r="A123" s="37"/>
      <c r="B123" s="27"/>
      <c r="C123" s="27" t="s">
        <v>153</v>
      </c>
      <c r="D123" s="28">
        <f t="shared" ref="D123:G126" si="30">D81+D117</f>
        <v>108001.44</v>
      </c>
      <c r="E123" s="28">
        <f t="shared" si="30"/>
        <v>34681.25</v>
      </c>
      <c r="F123" s="28">
        <f t="shared" si="30"/>
        <v>427068.94</v>
      </c>
      <c r="G123" s="28">
        <f t="shared" si="30"/>
        <v>11943</v>
      </c>
      <c r="H123" s="28">
        <f>D123+E123+F123+G123</f>
        <v>581694.63</v>
      </c>
      <c r="I123" s="29"/>
    </row>
    <row r="124" spans="1:9" s="8" customFormat="1" ht="15" x14ac:dyDescent="0.25">
      <c r="A124" s="37"/>
      <c r="B124" s="27"/>
      <c r="C124" s="27" t="s">
        <v>154</v>
      </c>
      <c r="D124" s="28">
        <f t="shared" si="30"/>
        <v>62271.99</v>
      </c>
      <c r="E124" s="28">
        <f t="shared" si="30"/>
        <v>24485.77</v>
      </c>
      <c r="F124" s="28">
        <f t="shared" si="30"/>
        <v>286380.67</v>
      </c>
      <c r="G124" s="28">
        <f t="shared" si="30"/>
        <v>7611.36</v>
      </c>
      <c r="H124" s="28">
        <f t="shared" ref="H124:H126" si="31">D124+E124+F124+G124</f>
        <v>380749.79</v>
      </c>
      <c r="I124" s="29"/>
    </row>
    <row r="125" spans="1:9" s="8" customFormat="1" ht="15" x14ac:dyDescent="0.25">
      <c r="A125" s="37"/>
      <c r="B125" s="27"/>
      <c r="C125" s="27" t="s">
        <v>155</v>
      </c>
      <c r="D125" s="28">
        <f t="shared" si="30"/>
        <v>52086.45</v>
      </c>
      <c r="E125" s="28">
        <f t="shared" si="30"/>
        <v>30259.46</v>
      </c>
      <c r="F125" s="28">
        <f t="shared" si="30"/>
        <v>364537.24</v>
      </c>
      <c r="G125" s="28">
        <f t="shared" si="30"/>
        <v>6747.46</v>
      </c>
      <c r="H125" s="28">
        <f t="shared" si="31"/>
        <v>453630.61</v>
      </c>
      <c r="I125" s="29"/>
    </row>
    <row r="126" spans="1:9" s="8" customFormat="1" ht="15" x14ac:dyDescent="0.25">
      <c r="A126" s="37"/>
      <c r="B126" s="27"/>
      <c r="C126" s="27" t="s">
        <v>156</v>
      </c>
      <c r="D126" s="28">
        <f t="shared" si="30"/>
        <v>62733.33</v>
      </c>
      <c r="E126" s="28">
        <f t="shared" si="30"/>
        <v>51715.1</v>
      </c>
      <c r="F126" s="28">
        <f t="shared" si="30"/>
        <v>233480.51</v>
      </c>
      <c r="G126" s="28">
        <f t="shared" si="30"/>
        <v>8049.73</v>
      </c>
      <c r="H126" s="28">
        <f t="shared" si="31"/>
        <v>355978.67</v>
      </c>
      <c r="I126" s="29"/>
    </row>
    <row r="127" spans="1:9" s="8" customFormat="1" ht="15" x14ac:dyDescent="0.25">
      <c r="A127" s="30"/>
      <c r="B127" s="404" t="s">
        <v>157</v>
      </c>
      <c r="C127" s="405"/>
      <c r="D127" s="31">
        <f>D88+D94+D95+D96+D97+D98+D99+D100+D101+D102+D103+D104+D105+D106+D107+D108+D109+D110+D111+D112+D113+D114</f>
        <v>1418.38</v>
      </c>
      <c r="E127" s="31">
        <f>E88+E94+E95+E96+E97+E98+E99+E100+E101+E102+E103+E104+E105+E106+E107+E108+E109+E110+E111+E112+E113+E114</f>
        <v>702.19</v>
      </c>
      <c r="F127" s="31"/>
      <c r="G127" s="31">
        <f>G88+G94+G95+G96+G97+G98+G99+G100+G101+G102+G103+G104+G105+G106+G107+G108+G109+G110+G111+G112+G113+G114</f>
        <v>31477.98</v>
      </c>
      <c r="H127" s="32">
        <f>D127+E127++G127</f>
        <v>33598.550000000003</v>
      </c>
      <c r="I127" s="33"/>
    </row>
    <row r="128" spans="1:9" s="8" customFormat="1" ht="15" x14ac:dyDescent="0.25">
      <c r="A128" s="30"/>
      <c r="B128" s="406" t="s">
        <v>158</v>
      </c>
      <c r="C128" s="407"/>
      <c r="D128" s="31">
        <f>D86+D127</f>
        <v>285093.21000000002</v>
      </c>
      <c r="E128" s="31">
        <f>E86+E127</f>
        <v>141141.57999999999</v>
      </c>
      <c r="F128" s="31">
        <f>F86+F127</f>
        <v>1311467.3600000001</v>
      </c>
      <c r="G128" s="31">
        <f>G86+G127</f>
        <v>34351.550000000003</v>
      </c>
      <c r="H128" s="32">
        <f>D128+E128+F128+G128</f>
        <v>1772053.7</v>
      </c>
      <c r="I128" s="33"/>
    </row>
    <row r="129" spans="1:9" s="8" customFormat="1" ht="15" x14ac:dyDescent="0.25">
      <c r="A129" s="401" t="s">
        <v>159</v>
      </c>
      <c r="B129" s="402"/>
      <c r="C129" s="402"/>
      <c r="D129" s="402"/>
      <c r="E129" s="402"/>
      <c r="F129" s="402"/>
      <c r="G129" s="402"/>
      <c r="H129" s="403"/>
      <c r="I129" s="21"/>
    </row>
    <row r="130" spans="1:9" s="8" customFormat="1" ht="22.5" x14ac:dyDescent="0.25">
      <c r="A130" s="22">
        <v>51</v>
      </c>
      <c r="B130" s="23" t="s">
        <v>160</v>
      </c>
      <c r="C130" s="23" t="s">
        <v>236</v>
      </c>
      <c r="D130" s="35"/>
      <c r="E130" s="35"/>
      <c r="F130" s="35"/>
      <c r="G130" s="24">
        <f>G132+G133+G134+G135</f>
        <v>22682.29</v>
      </c>
      <c r="H130" s="24">
        <f>G130</f>
        <v>22682.29</v>
      </c>
      <c r="I130" s="25"/>
    </row>
    <row r="131" spans="1:9" s="8" customFormat="1" ht="15" x14ac:dyDescent="0.25">
      <c r="A131" s="37"/>
      <c r="B131" s="27" t="s">
        <v>33</v>
      </c>
      <c r="C131" s="27"/>
      <c r="D131" s="41"/>
      <c r="E131" s="41"/>
      <c r="F131" s="41"/>
      <c r="G131" s="41"/>
      <c r="H131" s="41"/>
      <c r="I131" s="42"/>
    </row>
    <row r="132" spans="1:9" s="8" customFormat="1" ht="22.5" x14ac:dyDescent="0.25">
      <c r="A132" s="37"/>
      <c r="B132" s="27"/>
      <c r="C132" s="27" t="s">
        <v>237</v>
      </c>
      <c r="D132" s="41"/>
      <c r="E132" s="41"/>
      <c r="F132" s="41"/>
      <c r="G132" s="28">
        <f>H123*1.28%</f>
        <v>7445.69</v>
      </c>
      <c r="H132" s="28">
        <f>G132</f>
        <v>7445.69</v>
      </c>
      <c r="I132" s="29"/>
    </row>
    <row r="133" spans="1:9" s="8" customFormat="1" ht="22.5" x14ac:dyDescent="0.25">
      <c r="A133" s="37"/>
      <c r="B133" s="27"/>
      <c r="C133" s="27" t="s">
        <v>238</v>
      </c>
      <c r="D133" s="41"/>
      <c r="E133" s="41"/>
      <c r="F133" s="41"/>
      <c r="G133" s="28">
        <f>H124*1.28%</f>
        <v>4873.6000000000004</v>
      </c>
      <c r="H133" s="28">
        <f t="shared" ref="H133:H135" si="32">G133</f>
        <v>4873.6000000000004</v>
      </c>
      <c r="I133" s="29"/>
    </row>
    <row r="134" spans="1:9" s="8" customFormat="1" ht="22.5" x14ac:dyDescent="0.25">
      <c r="A134" s="37"/>
      <c r="B134" s="27"/>
      <c r="C134" s="27" t="s">
        <v>239</v>
      </c>
      <c r="D134" s="41"/>
      <c r="E134" s="41"/>
      <c r="F134" s="41"/>
      <c r="G134" s="28">
        <f>H125*1.28%</f>
        <v>5806.47</v>
      </c>
      <c r="H134" s="28">
        <f t="shared" si="32"/>
        <v>5806.47</v>
      </c>
      <c r="I134" s="29"/>
    </row>
    <row r="135" spans="1:9" s="8" customFormat="1" ht="22.5" x14ac:dyDescent="0.25">
      <c r="A135" s="37"/>
      <c r="B135" s="27"/>
      <c r="C135" s="27" t="s">
        <v>240</v>
      </c>
      <c r="D135" s="41"/>
      <c r="E135" s="41"/>
      <c r="F135" s="41"/>
      <c r="G135" s="28">
        <f>H126*1.28%</f>
        <v>4556.53</v>
      </c>
      <c r="H135" s="28">
        <f t="shared" si="32"/>
        <v>4556.53</v>
      </c>
      <c r="I135" s="29"/>
    </row>
    <row r="136" spans="1:9" s="8" customFormat="1" ht="26.25" customHeight="1" x14ac:dyDescent="0.25">
      <c r="A136" s="30"/>
      <c r="B136" s="404" t="s">
        <v>161</v>
      </c>
      <c r="C136" s="405"/>
      <c r="D136" s="43"/>
      <c r="E136" s="43"/>
      <c r="F136" s="36"/>
      <c r="G136" s="32">
        <f>G130</f>
        <v>22682.29</v>
      </c>
      <c r="H136" s="32">
        <f>G136</f>
        <v>22682.29</v>
      </c>
      <c r="I136" s="33"/>
    </row>
    <row r="137" spans="1:9" s="8" customFormat="1" ht="60" customHeight="1" x14ac:dyDescent="0.25">
      <c r="A137" s="401" t="s">
        <v>162</v>
      </c>
      <c r="B137" s="402"/>
      <c r="C137" s="402"/>
      <c r="D137" s="402"/>
      <c r="E137" s="402"/>
      <c r="F137" s="402"/>
      <c r="G137" s="402"/>
      <c r="H137" s="403"/>
      <c r="I137" s="21"/>
    </row>
    <row r="138" spans="1:9" s="8" customFormat="1" ht="22.5" x14ac:dyDescent="0.25">
      <c r="A138" s="22">
        <v>52</v>
      </c>
      <c r="B138" s="23" t="s">
        <v>163</v>
      </c>
      <c r="C138" s="23" t="s">
        <v>164</v>
      </c>
      <c r="D138" s="35"/>
      <c r="E138" s="35"/>
      <c r="F138" s="35"/>
      <c r="G138" s="24">
        <f>G140+G141+G142+G143</f>
        <v>3544.11</v>
      </c>
      <c r="H138" s="24">
        <f>G138</f>
        <v>3544.11</v>
      </c>
      <c r="I138" s="25"/>
    </row>
    <row r="139" spans="1:9" s="8" customFormat="1" ht="15" x14ac:dyDescent="0.25">
      <c r="A139" s="37"/>
      <c r="B139" s="27" t="s">
        <v>33</v>
      </c>
      <c r="C139" s="27"/>
      <c r="D139" s="41"/>
      <c r="E139" s="41"/>
      <c r="F139" s="41"/>
      <c r="G139" s="41"/>
      <c r="H139" s="41"/>
      <c r="I139" s="42"/>
    </row>
    <row r="140" spans="1:9" s="8" customFormat="1" ht="15" x14ac:dyDescent="0.25">
      <c r="A140" s="37"/>
      <c r="B140" s="27"/>
      <c r="C140" s="27" t="s">
        <v>165</v>
      </c>
      <c r="D140" s="41"/>
      <c r="E140" s="41"/>
      <c r="F140" s="41"/>
      <c r="G140" s="44">
        <f>H123*0.2%</f>
        <v>1163.3900000000001</v>
      </c>
      <c r="H140" s="44">
        <f>G140</f>
        <v>1163.3900000000001</v>
      </c>
      <c r="I140" s="45"/>
    </row>
    <row r="141" spans="1:9" s="8" customFormat="1" ht="15" x14ac:dyDescent="0.25">
      <c r="A141" s="37"/>
      <c r="B141" s="27"/>
      <c r="C141" s="27" t="s">
        <v>166</v>
      </c>
      <c r="D141" s="41"/>
      <c r="E141" s="41"/>
      <c r="F141" s="41"/>
      <c r="G141" s="44">
        <f t="shared" ref="G141:G143" si="33">H124*0.2%</f>
        <v>761.5</v>
      </c>
      <c r="H141" s="44">
        <f t="shared" ref="H141:H143" si="34">G141</f>
        <v>761.5</v>
      </c>
      <c r="I141" s="45"/>
    </row>
    <row r="142" spans="1:9" s="8" customFormat="1" ht="15" x14ac:dyDescent="0.25">
      <c r="A142" s="37"/>
      <c r="B142" s="27"/>
      <c r="C142" s="27" t="s">
        <v>167</v>
      </c>
      <c r="D142" s="41"/>
      <c r="E142" s="41"/>
      <c r="F142" s="41"/>
      <c r="G142" s="44">
        <f t="shared" si="33"/>
        <v>907.26</v>
      </c>
      <c r="H142" s="44">
        <f t="shared" si="34"/>
        <v>907.26</v>
      </c>
      <c r="I142" s="45"/>
    </row>
    <row r="143" spans="1:9" s="8" customFormat="1" ht="15" x14ac:dyDescent="0.25">
      <c r="A143" s="37"/>
      <c r="B143" s="27"/>
      <c r="C143" s="27" t="s">
        <v>168</v>
      </c>
      <c r="D143" s="41"/>
      <c r="E143" s="41"/>
      <c r="F143" s="41"/>
      <c r="G143" s="44">
        <f t="shared" si="33"/>
        <v>711.96</v>
      </c>
      <c r="H143" s="44">
        <f t="shared" si="34"/>
        <v>711.96</v>
      </c>
      <c r="I143" s="45"/>
    </row>
    <row r="144" spans="1:9" s="8" customFormat="1" ht="15" x14ac:dyDescent="0.25">
      <c r="A144" s="22">
        <v>53</v>
      </c>
      <c r="B144" s="23" t="s">
        <v>169</v>
      </c>
      <c r="C144" s="23" t="s">
        <v>170</v>
      </c>
      <c r="D144" s="35"/>
      <c r="E144" s="35"/>
      <c r="F144" s="35"/>
      <c r="G144" s="24">
        <v>56173.41</v>
      </c>
      <c r="H144" s="24">
        <f>G144</f>
        <v>56173.41</v>
      </c>
      <c r="I144" s="25"/>
    </row>
    <row r="145" spans="1:9" s="8" customFormat="1" ht="15" x14ac:dyDescent="0.25">
      <c r="A145" s="22">
        <v>54</v>
      </c>
      <c r="B145" s="23" t="s">
        <v>171</v>
      </c>
      <c r="C145" s="23" t="s">
        <v>172</v>
      </c>
      <c r="D145" s="35"/>
      <c r="E145" s="35"/>
      <c r="F145" s="35"/>
      <c r="G145" s="24">
        <v>21996.5</v>
      </c>
      <c r="H145" s="24">
        <f t="shared" ref="H145:H151" si="35">G145</f>
        <v>21996.5</v>
      </c>
      <c r="I145" s="25"/>
    </row>
    <row r="146" spans="1:9" s="8" customFormat="1" ht="15" x14ac:dyDescent="0.25">
      <c r="A146" s="99">
        <v>55</v>
      </c>
      <c r="B146" s="100" t="s">
        <v>173</v>
      </c>
      <c r="C146" s="100" t="s">
        <v>174</v>
      </c>
      <c r="D146" s="108"/>
      <c r="E146" s="108"/>
      <c r="F146" s="108"/>
      <c r="G146" s="98">
        <v>53944.76</v>
      </c>
      <c r="H146" s="98">
        <f t="shared" si="35"/>
        <v>53944.76</v>
      </c>
      <c r="I146" s="131" t="s">
        <v>403</v>
      </c>
    </row>
    <row r="147" spans="1:9" s="8" customFormat="1" ht="22.5" x14ac:dyDescent="0.25">
      <c r="A147" s="22">
        <v>56</v>
      </c>
      <c r="B147" s="23" t="s">
        <v>175</v>
      </c>
      <c r="C147" s="23" t="s">
        <v>176</v>
      </c>
      <c r="D147" s="35"/>
      <c r="E147" s="35"/>
      <c r="F147" s="35"/>
      <c r="G147" s="24">
        <v>4523.0600000000004</v>
      </c>
      <c r="H147" s="24">
        <f t="shared" si="35"/>
        <v>4523.0600000000004</v>
      </c>
      <c r="I147" s="25"/>
    </row>
    <row r="148" spans="1:9" s="8" customFormat="1" ht="22.5" x14ac:dyDescent="0.25">
      <c r="A148" s="22">
        <v>57</v>
      </c>
      <c r="B148" s="23" t="s">
        <v>177</v>
      </c>
      <c r="C148" s="23" t="s">
        <v>178</v>
      </c>
      <c r="D148" s="35"/>
      <c r="E148" s="35"/>
      <c r="F148" s="35"/>
      <c r="G148" s="24">
        <v>163.85</v>
      </c>
      <c r="H148" s="24">
        <f t="shared" si="35"/>
        <v>163.85</v>
      </c>
      <c r="I148" s="25"/>
    </row>
    <row r="149" spans="1:9" s="8" customFormat="1" ht="22.5" x14ac:dyDescent="0.25">
      <c r="A149" s="22">
        <v>58</v>
      </c>
      <c r="B149" s="23" t="s">
        <v>179</v>
      </c>
      <c r="C149" s="23" t="s">
        <v>180</v>
      </c>
      <c r="D149" s="35"/>
      <c r="E149" s="35"/>
      <c r="F149" s="35"/>
      <c r="G149" s="24">
        <v>245.77</v>
      </c>
      <c r="H149" s="24">
        <f t="shared" si="35"/>
        <v>245.77</v>
      </c>
      <c r="I149" s="25"/>
    </row>
    <row r="150" spans="1:9" s="8" customFormat="1" ht="22.5" x14ac:dyDescent="0.25">
      <c r="A150" s="22">
        <v>59</v>
      </c>
      <c r="B150" s="23" t="s">
        <v>181</v>
      </c>
      <c r="C150" s="23" t="s">
        <v>182</v>
      </c>
      <c r="D150" s="35"/>
      <c r="E150" s="35"/>
      <c r="F150" s="35"/>
      <c r="G150" s="24">
        <v>136.54</v>
      </c>
      <c r="H150" s="24">
        <f t="shared" si="35"/>
        <v>136.54</v>
      </c>
      <c r="I150" s="25"/>
    </row>
    <row r="151" spans="1:9" s="8" customFormat="1" ht="22.5" x14ac:dyDescent="0.25">
      <c r="A151" s="22">
        <v>60</v>
      </c>
      <c r="B151" s="23" t="s">
        <v>183</v>
      </c>
      <c r="C151" s="23" t="s">
        <v>184</v>
      </c>
      <c r="D151" s="35"/>
      <c r="E151" s="35"/>
      <c r="F151" s="35"/>
      <c r="G151" s="24">
        <v>218.47</v>
      </c>
      <c r="H151" s="24">
        <f t="shared" si="35"/>
        <v>218.47</v>
      </c>
      <c r="I151" s="25"/>
    </row>
    <row r="152" spans="1:9" s="8" customFormat="1" ht="146.25" x14ac:dyDescent="0.25">
      <c r="A152" s="37"/>
      <c r="B152" s="27"/>
      <c r="C152" s="27" t="s">
        <v>185</v>
      </c>
      <c r="D152" s="41"/>
      <c r="E152" s="41"/>
      <c r="F152" s="41"/>
      <c r="G152" s="28">
        <f>G154+G156+G157+G155</f>
        <v>140946.47</v>
      </c>
      <c r="H152" s="28">
        <f>G152</f>
        <v>140946.47</v>
      </c>
      <c r="I152" s="29"/>
    </row>
    <row r="153" spans="1:9" s="8" customFormat="1" ht="12" customHeight="1" x14ac:dyDescent="0.25">
      <c r="A153" s="37"/>
      <c r="B153" s="27" t="s">
        <v>33</v>
      </c>
      <c r="C153" s="27"/>
      <c r="D153" s="41"/>
      <c r="E153" s="41"/>
      <c r="F153" s="41"/>
      <c r="G153" s="28"/>
      <c r="H153" s="28"/>
      <c r="I153" s="29"/>
    </row>
    <row r="154" spans="1:9" s="8" customFormat="1" ht="15" x14ac:dyDescent="0.25">
      <c r="A154" s="37"/>
      <c r="B154" s="27"/>
      <c r="C154" s="27" t="s">
        <v>186</v>
      </c>
      <c r="D154" s="41"/>
      <c r="E154" s="41"/>
      <c r="F154" s="41"/>
      <c r="G154" s="28">
        <f>G140+G144+G145+G146+G147+G148</f>
        <v>137964.97</v>
      </c>
      <c r="H154" s="28">
        <f>G154</f>
        <v>137964.97</v>
      </c>
      <c r="I154" s="29"/>
    </row>
    <row r="155" spans="1:9" s="8" customFormat="1" ht="15" x14ac:dyDescent="0.25">
      <c r="A155" s="37"/>
      <c r="B155" s="27"/>
      <c r="C155" s="27" t="s">
        <v>187</v>
      </c>
      <c r="D155" s="41"/>
      <c r="E155" s="41"/>
      <c r="F155" s="41"/>
      <c r="G155" s="28">
        <f>G141+G149</f>
        <v>1007.27</v>
      </c>
      <c r="H155" s="28">
        <f t="shared" ref="H155:H157" si="36">G155</f>
        <v>1007.27</v>
      </c>
      <c r="I155" s="29"/>
    </row>
    <row r="156" spans="1:9" s="8" customFormat="1" ht="15" x14ac:dyDescent="0.25">
      <c r="A156" s="37"/>
      <c r="B156" s="27"/>
      <c r="C156" s="27" t="s">
        <v>188</v>
      </c>
      <c r="D156" s="41"/>
      <c r="E156" s="41"/>
      <c r="F156" s="41"/>
      <c r="G156" s="28">
        <f>G142+G150</f>
        <v>1043.8</v>
      </c>
      <c r="H156" s="28">
        <f t="shared" si="36"/>
        <v>1043.8</v>
      </c>
      <c r="I156" s="29"/>
    </row>
    <row r="157" spans="1:9" s="8" customFormat="1" ht="15" x14ac:dyDescent="0.25">
      <c r="A157" s="37"/>
      <c r="B157" s="27"/>
      <c r="C157" s="27" t="s">
        <v>189</v>
      </c>
      <c r="D157" s="41"/>
      <c r="E157" s="41"/>
      <c r="F157" s="41"/>
      <c r="G157" s="28">
        <f>G143+G151</f>
        <v>930.43</v>
      </c>
      <c r="H157" s="28">
        <f t="shared" si="36"/>
        <v>930.43</v>
      </c>
      <c r="I157" s="29"/>
    </row>
    <row r="158" spans="1:9" s="8" customFormat="1" ht="15" x14ac:dyDescent="0.25">
      <c r="A158" s="37"/>
      <c r="B158" s="27"/>
      <c r="C158" s="27" t="s">
        <v>190</v>
      </c>
      <c r="D158" s="28">
        <f>D160+D161+D162+D163</f>
        <v>285093.21000000002</v>
      </c>
      <c r="E158" s="28">
        <f t="shared" ref="E158:G158" si="37">E160+E161+E162+E163</f>
        <v>141141.57999999999</v>
      </c>
      <c r="F158" s="28">
        <f t="shared" si="37"/>
        <v>1311467.3600000001</v>
      </c>
      <c r="G158" s="28">
        <f t="shared" si="37"/>
        <v>197980.31</v>
      </c>
      <c r="H158" s="28">
        <f>D158+E158+F158+G158</f>
        <v>1935682.46</v>
      </c>
      <c r="I158" s="29"/>
    </row>
    <row r="159" spans="1:9" s="8" customFormat="1" ht="15" x14ac:dyDescent="0.25">
      <c r="A159" s="37"/>
      <c r="B159" s="27" t="s">
        <v>33</v>
      </c>
      <c r="C159" s="27"/>
      <c r="D159" s="28"/>
      <c r="E159" s="28"/>
      <c r="F159" s="28"/>
      <c r="G159" s="28"/>
      <c r="H159" s="28"/>
      <c r="I159" s="29"/>
    </row>
    <row r="160" spans="1:9" s="8" customFormat="1" ht="15" x14ac:dyDescent="0.25">
      <c r="A160" s="37"/>
      <c r="B160" s="27"/>
      <c r="C160" s="27" t="s">
        <v>191</v>
      </c>
      <c r="D160" s="28">
        <f>D154+D132+D123</f>
        <v>108001.44</v>
      </c>
      <c r="E160" s="28">
        <f t="shared" ref="E160:G160" si="38">E154+E132+E123</f>
        <v>34681.25</v>
      </c>
      <c r="F160" s="28">
        <f t="shared" si="38"/>
        <v>427068.94</v>
      </c>
      <c r="G160" s="28">
        <f t="shared" si="38"/>
        <v>157353.66</v>
      </c>
      <c r="H160" s="28">
        <f>D160+E160+F160+G160</f>
        <v>727105.29</v>
      </c>
      <c r="I160" s="29"/>
    </row>
    <row r="161" spans="1:9" s="8" customFormat="1" ht="15" x14ac:dyDescent="0.25">
      <c r="A161" s="37"/>
      <c r="B161" s="27"/>
      <c r="C161" s="27" t="s">
        <v>192</v>
      </c>
      <c r="D161" s="28">
        <f t="shared" ref="D161:G163" si="39">D155+D133+D124</f>
        <v>62271.99</v>
      </c>
      <c r="E161" s="28">
        <f t="shared" si="39"/>
        <v>24485.77</v>
      </c>
      <c r="F161" s="28">
        <f t="shared" si="39"/>
        <v>286380.67</v>
      </c>
      <c r="G161" s="28">
        <f t="shared" si="39"/>
        <v>13492.23</v>
      </c>
      <c r="H161" s="28">
        <f t="shared" ref="H161:H163" si="40">D161+E161+F161+G161</f>
        <v>386630.66</v>
      </c>
      <c r="I161" s="29"/>
    </row>
    <row r="162" spans="1:9" s="8" customFormat="1" ht="15" x14ac:dyDescent="0.25">
      <c r="A162" s="37"/>
      <c r="B162" s="27"/>
      <c r="C162" s="27" t="s">
        <v>193</v>
      </c>
      <c r="D162" s="28">
        <f t="shared" si="39"/>
        <v>52086.45</v>
      </c>
      <c r="E162" s="28">
        <f t="shared" si="39"/>
        <v>30259.46</v>
      </c>
      <c r="F162" s="28">
        <f t="shared" si="39"/>
        <v>364537.24</v>
      </c>
      <c r="G162" s="28">
        <f t="shared" si="39"/>
        <v>13597.73</v>
      </c>
      <c r="H162" s="28">
        <f t="shared" si="40"/>
        <v>460480.88</v>
      </c>
      <c r="I162" s="29"/>
    </row>
    <row r="163" spans="1:9" s="8" customFormat="1" ht="15" x14ac:dyDescent="0.25">
      <c r="A163" s="37"/>
      <c r="B163" s="27"/>
      <c r="C163" s="27" t="s">
        <v>194</v>
      </c>
      <c r="D163" s="28">
        <f t="shared" si="39"/>
        <v>62733.33</v>
      </c>
      <c r="E163" s="28">
        <f t="shared" si="39"/>
        <v>51715.1</v>
      </c>
      <c r="F163" s="28">
        <f t="shared" si="39"/>
        <v>233480.51</v>
      </c>
      <c r="G163" s="28">
        <f t="shared" si="39"/>
        <v>13536.69</v>
      </c>
      <c r="H163" s="28">
        <f t="shared" si="40"/>
        <v>361465.63</v>
      </c>
      <c r="I163" s="29"/>
    </row>
    <row r="164" spans="1:9" s="8" customFormat="1" ht="16.5" customHeight="1" x14ac:dyDescent="0.25">
      <c r="A164" s="30"/>
      <c r="B164" s="406" t="s">
        <v>233</v>
      </c>
      <c r="C164" s="407"/>
      <c r="D164" s="31"/>
      <c r="E164" s="31"/>
      <c r="F164" s="32"/>
      <c r="G164" s="32">
        <f>G152</f>
        <v>140946.47</v>
      </c>
      <c r="H164" s="32">
        <f>G164</f>
        <v>140946.47</v>
      </c>
      <c r="I164" s="33"/>
    </row>
    <row r="165" spans="1:9" s="8" customFormat="1" ht="15" x14ac:dyDescent="0.25">
      <c r="A165" s="30"/>
      <c r="B165" s="406" t="s">
        <v>195</v>
      </c>
      <c r="C165" s="407"/>
      <c r="D165" s="31">
        <f>D164+D136+D128</f>
        <v>285093.21000000002</v>
      </c>
      <c r="E165" s="31">
        <f>E164+E136+E128</f>
        <v>141141.57999999999</v>
      </c>
      <c r="F165" s="31">
        <f>F164+F136+F128</f>
        <v>1311467.3600000001</v>
      </c>
      <c r="G165" s="31">
        <f>G164+G136+G128</f>
        <v>197980.31</v>
      </c>
      <c r="H165" s="32">
        <f>D165+E165+F165+G165</f>
        <v>1935682.46</v>
      </c>
      <c r="I165" s="33"/>
    </row>
    <row r="166" spans="1:9" s="8" customFormat="1" ht="15" x14ac:dyDescent="0.25">
      <c r="A166" s="401" t="s">
        <v>196</v>
      </c>
      <c r="B166" s="402"/>
      <c r="C166" s="402"/>
      <c r="D166" s="402"/>
      <c r="E166" s="402"/>
      <c r="F166" s="402"/>
      <c r="G166" s="402"/>
      <c r="H166" s="403"/>
      <c r="I166" s="21"/>
    </row>
    <row r="167" spans="1:9" s="8" customFormat="1" ht="22.5" x14ac:dyDescent="0.25">
      <c r="A167" s="22">
        <v>61</v>
      </c>
      <c r="B167" s="23" t="s">
        <v>197</v>
      </c>
      <c r="C167" s="23" t="s">
        <v>198</v>
      </c>
      <c r="D167" s="24">
        <f>D169+D170+D171+D172</f>
        <v>8552.7900000000009</v>
      </c>
      <c r="E167" s="24">
        <f t="shared" ref="E167:G167" si="41">E169+E170+E171+E172</f>
        <v>4234.24</v>
      </c>
      <c r="F167" s="24">
        <f t="shared" si="41"/>
        <v>39344.03</v>
      </c>
      <c r="G167" s="24">
        <f t="shared" si="41"/>
        <v>5939.41</v>
      </c>
      <c r="H167" s="24">
        <f>D167+E167+F167+G167</f>
        <v>58070.47</v>
      </c>
      <c r="I167" s="25"/>
    </row>
    <row r="168" spans="1:9" s="8" customFormat="1" ht="15" x14ac:dyDescent="0.25">
      <c r="A168" s="37"/>
      <c r="B168" s="27" t="s">
        <v>33</v>
      </c>
      <c r="C168" s="27"/>
      <c r="D168" s="41"/>
      <c r="E168" s="41"/>
      <c r="F168" s="41"/>
      <c r="G168" s="41"/>
      <c r="H168" s="41"/>
      <c r="I168" s="42"/>
    </row>
    <row r="169" spans="1:9" s="8" customFormat="1" ht="33.75" x14ac:dyDescent="0.25">
      <c r="A169" s="37"/>
      <c r="B169" s="27"/>
      <c r="C169" s="27" t="s">
        <v>199</v>
      </c>
      <c r="D169" s="28">
        <f>D160*3%</f>
        <v>3240.04</v>
      </c>
      <c r="E169" s="28">
        <f t="shared" ref="E169:G169" si="42">E160*3%</f>
        <v>1040.44</v>
      </c>
      <c r="F169" s="28">
        <f t="shared" si="42"/>
        <v>12812.07</v>
      </c>
      <c r="G169" s="28">
        <f t="shared" si="42"/>
        <v>4720.6099999999997</v>
      </c>
      <c r="H169" s="28">
        <f>D169+E169+F169+G169</f>
        <v>21813.16</v>
      </c>
      <c r="I169" s="29"/>
    </row>
    <row r="170" spans="1:9" s="8" customFormat="1" ht="33.75" x14ac:dyDescent="0.25">
      <c r="A170" s="37"/>
      <c r="B170" s="27"/>
      <c r="C170" s="27" t="s">
        <v>200</v>
      </c>
      <c r="D170" s="28">
        <f t="shared" ref="D170:G172" si="43">D161*3%</f>
        <v>1868.16</v>
      </c>
      <c r="E170" s="28">
        <f t="shared" si="43"/>
        <v>734.57</v>
      </c>
      <c r="F170" s="28">
        <f t="shared" si="43"/>
        <v>8591.42</v>
      </c>
      <c r="G170" s="28">
        <f t="shared" si="43"/>
        <v>404.77</v>
      </c>
      <c r="H170" s="28">
        <f t="shared" ref="H170:H172" si="44">D170+E170+F170+G170</f>
        <v>11598.92</v>
      </c>
      <c r="I170" s="29"/>
    </row>
    <row r="171" spans="1:9" s="8" customFormat="1" ht="33.75" x14ac:dyDescent="0.25">
      <c r="A171" s="37"/>
      <c r="B171" s="27"/>
      <c r="C171" s="27" t="s">
        <v>201</v>
      </c>
      <c r="D171" s="28">
        <f t="shared" si="43"/>
        <v>1562.59</v>
      </c>
      <c r="E171" s="28">
        <f t="shared" si="43"/>
        <v>907.78</v>
      </c>
      <c r="F171" s="28">
        <f t="shared" si="43"/>
        <v>10936.12</v>
      </c>
      <c r="G171" s="28">
        <f t="shared" si="43"/>
        <v>407.93</v>
      </c>
      <c r="H171" s="28">
        <f t="shared" si="44"/>
        <v>13814.42</v>
      </c>
      <c r="I171" s="29"/>
    </row>
    <row r="172" spans="1:9" s="8" customFormat="1" ht="33.75" x14ac:dyDescent="0.25">
      <c r="A172" s="37"/>
      <c r="B172" s="27"/>
      <c r="C172" s="27" t="s">
        <v>202</v>
      </c>
      <c r="D172" s="28">
        <f t="shared" si="43"/>
        <v>1882</v>
      </c>
      <c r="E172" s="28">
        <f t="shared" si="43"/>
        <v>1551.45</v>
      </c>
      <c r="F172" s="28">
        <f t="shared" si="43"/>
        <v>7004.42</v>
      </c>
      <c r="G172" s="28">
        <f t="shared" si="43"/>
        <v>406.1</v>
      </c>
      <c r="H172" s="28">
        <f t="shared" si="44"/>
        <v>10843.97</v>
      </c>
      <c r="I172" s="29"/>
    </row>
    <row r="173" spans="1:9" s="8" customFormat="1" ht="15" x14ac:dyDescent="0.25">
      <c r="A173" s="37"/>
      <c r="B173" s="27"/>
      <c r="C173" s="27" t="s">
        <v>203</v>
      </c>
      <c r="D173" s="28">
        <f>D175+D176+D177+D178</f>
        <v>293646</v>
      </c>
      <c r="E173" s="28">
        <f t="shared" ref="E173:G173" si="45">E175+E176+E177+E178</f>
        <v>145375.82</v>
      </c>
      <c r="F173" s="28">
        <f t="shared" si="45"/>
        <v>1350811.39</v>
      </c>
      <c r="G173" s="28">
        <f t="shared" si="45"/>
        <v>203919.72</v>
      </c>
      <c r="H173" s="28">
        <f>SUM(D173:G173)</f>
        <v>1993752.93</v>
      </c>
      <c r="I173" s="29"/>
    </row>
    <row r="174" spans="1:9" s="8" customFormat="1" ht="15" x14ac:dyDescent="0.25">
      <c r="A174" s="37"/>
      <c r="B174" s="27" t="s">
        <v>33</v>
      </c>
      <c r="C174" s="27"/>
      <c r="D174" s="41"/>
      <c r="E174" s="41"/>
      <c r="F174" s="41"/>
      <c r="G174" s="41"/>
      <c r="H174" s="41"/>
      <c r="I174" s="42"/>
    </row>
    <row r="175" spans="1:9" s="8" customFormat="1" ht="22.5" x14ac:dyDescent="0.25">
      <c r="A175" s="37"/>
      <c r="B175" s="27"/>
      <c r="C175" s="27" t="s">
        <v>204</v>
      </c>
      <c r="D175" s="28">
        <f>D160+D169</f>
        <v>111241.48</v>
      </c>
      <c r="E175" s="28">
        <f t="shared" ref="E175:G175" si="46">E160+E169</f>
        <v>35721.69</v>
      </c>
      <c r="F175" s="28">
        <f t="shared" si="46"/>
        <v>439881.01</v>
      </c>
      <c r="G175" s="28">
        <f t="shared" si="46"/>
        <v>162074.26999999999</v>
      </c>
      <c r="H175" s="28">
        <f>D175+E175+F175+G175</f>
        <v>748918.45</v>
      </c>
      <c r="I175" s="29"/>
    </row>
    <row r="176" spans="1:9" s="8" customFormat="1" ht="22.5" x14ac:dyDescent="0.25">
      <c r="A176" s="37"/>
      <c r="B176" s="27"/>
      <c r="C176" s="27" t="s">
        <v>205</v>
      </c>
      <c r="D176" s="28">
        <f t="shared" ref="D176:G178" si="47">D161+D170</f>
        <v>64140.15</v>
      </c>
      <c r="E176" s="28">
        <f t="shared" si="47"/>
        <v>25220.34</v>
      </c>
      <c r="F176" s="28">
        <f t="shared" si="47"/>
        <v>294972.09000000003</v>
      </c>
      <c r="G176" s="28">
        <f t="shared" si="47"/>
        <v>13897</v>
      </c>
      <c r="H176" s="28">
        <f t="shared" ref="H176:H178" si="48">D176+E176+F176+G176</f>
        <v>398229.58</v>
      </c>
      <c r="I176" s="29"/>
    </row>
    <row r="177" spans="1:9" s="8" customFormat="1" ht="22.5" x14ac:dyDescent="0.25">
      <c r="A177" s="37"/>
      <c r="B177" s="27"/>
      <c r="C177" s="27" t="s">
        <v>206</v>
      </c>
      <c r="D177" s="28">
        <f t="shared" si="47"/>
        <v>53649.04</v>
      </c>
      <c r="E177" s="28">
        <f t="shared" si="47"/>
        <v>31167.24</v>
      </c>
      <c r="F177" s="28">
        <f t="shared" si="47"/>
        <v>375473.36</v>
      </c>
      <c r="G177" s="28">
        <f t="shared" si="47"/>
        <v>14005.66</v>
      </c>
      <c r="H177" s="28">
        <f t="shared" si="48"/>
        <v>474295.3</v>
      </c>
      <c r="I177" s="29"/>
    </row>
    <row r="178" spans="1:9" s="8" customFormat="1" ht="22.5" x14ac:dyDescent="0.25">
      <c r="A178" s="37"/>
      <c r="B178" s="27"/>
      <c r="C178" s="27" t="s">
        <v>207</v>
      </c>
      <c r="D178" s="28">
        <f t="shared" si="47"/>
        <v>64615.33</v>
      </c>
      <c r="E178" s="28">
        <f t="shared" si="47"/>
        <v>53266.55</v>
      </c>
      <c r="F178" s="28">
        <f t="shared" si="47"/>
        <v>240484.93</v>
      </c>
      <c r="G178" s="28">
        <f t="shared" si="47"/>
        <v>13942.79</v>
      </c>
      <c r="H178" s="28">
        <f t="shared" si="48"/>
        <v>372309.6</v>
      </c>
      <c r="I178" s="29"/>
    </row>
    <row r="179" spans="1:9" s="8" customFormat="1" ht="15" x14ac:dyDescent="0.25">
      <c r="A179" s="30"/>
      <c r="B179" s="404" t="s">
        <v>208</v>
      </c>
      <c r="C179" s="405"/>
      <c r="D179" s="31">
        <f>D167</f>
        <v>8552.7900000000009</v>
      </c>
      <c r="E179" s="31">
        <f t="shared" ref="E179:G179" si="49">E167</f>
        <v>4234.24</v>
      </c>
      <c r="F179" s="31">
        <f t="shared" si="49"/>
        <v>39344.03</v>
      </c>
      <c r="G179" s="31">
        <f t="shared" si="49"/>
        <v>5939.41</v>
      </c>
      <c r="H179" s="32">
        <f>D179+E179+F179+G179</f>
        <v>58070.47</v>
      </c>
      <c r="I179" s="33"/>
    </row>
    <row r="180" spans="1:9" s="8" customFormat="1" ht="15" x14ac:dyDescent="0.25">
      <c r="A180" s="30"/>
      <c r="B180" s="406" t="s">
        <v>209</v>
      </c>
      <c r="C180" s="407"/>
      <c r="D180" s="31">
        <f>D165+D179</f>
        <v>293646</v>
      </c>
      <c r="E180" s="31">
        <f t="shared" ref="E180:G180" si="50">E165+E179</f>
        <v>145375.82</v>
      </c>
      <c r="F180" s="31">
        <f t="shared" si="50"/>
        <v>1350811.39</v>
      </c>
      <c r="G180" s="31">
        <f t="shared" si="50"/>
        <v>203919.72</v>
      </c>
      <c r="H180" s="32">
        <f>D180+E180+F180+G180</f>
        <v>1993752.93</v>
      </c>
      <c r="I180" s="33"/>
    </row>
    <row r="181" spans="1:9" s="8" customFormat="1" ht="15" x14ac:dyDescent="0.25">
      <c r="A181" s="401" t="s">
        <v>210</v>
      </c>
      <c r="B181" s="402"/>
      <c r="C181" s="402"/>
      <c r="D181" s="402"/>
      <c r="E181" s="402"/>
      <c r="F181" s="402"/>
      <c r="G181" s="402"/>
      <c r="H181" s="403"/>
      <c r="I181" s="21"/>
    </row>
    <row r="182" spans="1:9" s="8" customFormat="1" ht="21" x14ac:dyDescent="0.25">
      <c r="A182" s="46">
        <v>62</v>
      </c>
      <c r="B182" s="47" t="s">
        <v>211</v>
      </c>
      <c r="C182" s="47" t="s">
        <v>212</v>
      </c>
      <c r="D182" s="31">
        <f>D184+D185+D186+D187</f>
        <v>58729.21</v>
      </c>
      <c r="E182" s="31">
        <f t="shared" ref="E182:F182" si="51">E184+E185+E186+E187</f>
        <v>29075.17</v>
      </c>
      <c r="F182" s="31">
        <f t="shared" si="51"/>
        <v>270162.28000000003</v>
      </c>
      <c r="G182" s="31">
        <f>G184+G185+G186+G187</f>
        <v>40485.24</v>
      </c>
      <c r="H182" s="31">
        <f>D182+E182+F182+G182</f>
        <v>398451.9</v>
      </c>
      <c r="I182" s="48"/>
    </row>
    <row r="183" spans="1:9" s="8" customFormat="1" ht="15" x14ac:dyDescent="0.25">
      <c r="A183" s="37"/>
      <c r="B183" s="27" t="s">
        <v>33</v>
      </c>
      <c r="C183" s="27"/>
      <c r="D183" s="28"/>
      <c r="E183" s="28"/>
      <c r="F183" s="28"/>
      <c r="G183" s="28"/>
      <c r="H183" s="28"/>
      <c r="I183" s="29"/>
    </row>
    <row r="184" spans="1:9" s="8" customFormat="1" ht="15" x14ac:dyDescent="0.25">
      <c r="A184" s="37"/>
      <c r="B184" s="27"/>
      <c r="C184" s="27" t="s">
        <v>213</v>
      </c>
      <c r="D184" s="28">
        <f>D175*20%</f>
        <v>22248.3</v>
      </c>
      <c r="E184" s="28">
        <f t="shared" ref="E184:F184" si="52">E175*20%</f>
        <v>7144.34</v>
      </c>
      <c r="F184" s="28">
        <f t="shared" si="52"/>
        <v>87976.2</v>
      </c>
      <c r="G184" s="28">
        <f>(G175-H30*1.03)*20%</f>
        <v>32116.15</v>
      </c>
      <c r="H184" s="28">
        <f>D184+E184+F184+G184</f>
        <v>149484.99</v>
      </c>
      <c r="I184" s="29"/>
    </row>
    <row r="185" spans="1:9" s="8" customFormat="1" ht="15" x14ac:dyDescent="0.25">
      <c r="A185" s="37"/>
      <c r="B185" s="27"/>
      <c r="C185" s="27" t="s">
        <v>214</v>
      </c>
      <c r="D185" s="28">
        <f t="shared" ref="D185:G187" si="53">D176*20%</f>
        <v>12828.03</v>
      </c>
      <c r="E185" s="28">
        <f t="shared" si="53"/>
        <v>5044.07</v>
      </c>
      <c r="F185" s="28">
        <f t="shared" si="53"/>
        <v>58994.42</v>
      </c>
      <c r="G185" s="28">
        <f t="shared" si="53"/>
        <v>2779.4</v>
      </c>
      <c r="H185" s="28">
        <f t="shared" ref="H185:H187" si="54">D185+E185+F185+G185</f>
        <v>79645.919999999998</v>
      </c>
      <c r="I185" s="29"/>
    </row>
    <row r="186" spans="1:9" s="8" customFormat="1" ht="15" x14ac:dyDescent="0.25">
      <c r="A186" s="37"/>
      <c r="B186" s="27"/>
      <c r="C186" s="27" t="s">
        <v>215</v>
      </c>
      <c r="D186" s="28">
        <f t="shared" si="53"/>
        <v>10729.81</v>
      </c>
      <c r="E186" s="28">
        <f t="shared" si="53"/>
        <v>6233.45</v>
      </c>
      <c r="F186" s="28">
        <f t="shared" si="53"/>
        <v>75094.67</v>
      </c>
      <c r="G186" s="28">
        <f t="shared" ref="G186" si="55">G177*20%</f>
        <v>2801.13</v>
      </c>
      <c r="H186" s="28">
        <f t="shared" si="54"/>
        <v>94859.06</v>
      </c>
      <c r="I186" s="29"/>
    </row>
    <row r="187" spans="1:9" s="8" customFormat="1" ht="15" x14ac:dyDescent="0.25">
      <c r="A187" s="37"/>
      <c r="B187" s="27"/>
      <c r="C187" s="27" t="s">
        <v>216</v>
      </c>
      <c r="D187" s="28">
        <f t="shared" si="53"/>
        <v>12923.07</v>
      </c>
      <c r="E187" s="28">
        <f t="shared" si="53"/>
        <v>10653.31</v>
      </c>
      <c r="F187" s="28">
        <f t="shared" si="53"/>
        <v>48096.99</v>
      </c>
      <c r="G187" s="28">
        <f t="shared" ref="G187" si="56">G178*20%</f>
        <v>2788.56</v>
      </c>
      <c r="H187" s="28">
        <f t="shared" si="54"/>
        <v>74461.929999999993</v>
      </c>
      <c r="I187" s="29"/>
    </row>
    <row r="188" spans="1:9" s="8" customFormat="1" ht="15" x14ac:dyDescent="0.25">
      <c r="A188" s="30"/>
      <c r="B188" s="404" t="s">
        <v>217</v>
      </c>
      <c r="C188" s="405"/>
      <c r="D188" s="31">
        <f>D182</f>
        <v>58729.21</v>
      </c>
      <c r="E188" s="31">
        <f t="shared" ref="E188:H188" si="57">E182</f>
        <v>29075.17</v>
      </c>
      <c r="F188" s="31">
        <f t="shared" si="57"/>
        <v>270162.28000000003</v>
      </c>
      <c r="G188" s="31">
        <f t="shared" si="57"/>
        <v>40485.24</v>
      </c>
      <c r="H188" s="31">
        <f t="shared" si="57"/>
        <v>398451.9</v>
      </c>
      <c r="I188" s="33"/>
    </row>
    <row r="189" spans="1:9" s="8" customFormat="1" ht="15" x14ac:dyDescent="0.25">
      <c r="A189" s="30"/>
      <c r="B189" s="406" t="s">
        <v>218</v>
      </c>
      <c r="C189" s="407"/>
      <c r="D189" s="31">
        <f>D180+D188</f>
        <v>352375.21</v>
      </c>
      <c r="E189" s="31">
        <f t="shared" ref="E189:G189" si="58">E180+E188</f>
        <v>174450.99</v>
      </c>
      <c r="F189" s="31">
        <f t="shared" si="58"/>
        <v>1620973.67</v>
      </c>
      <c r="G189" s="31">
        <f t="shared" si="58"/>
        <v>244404.96</v>
      </c>
      <c r="H189" s="32">
        <f>D189+E189+F189+G189</f>
        <v>2392204.83</v>
      </c>
      <c r="I189" s="33"/>
    </row>
    <row r="190" spans="1:9" s="8" customFormat="1" ht="15" x14ac:dyDescent="0.25">
      <c r="A190" s="37"/>
      <c r="B190" s="27"/>
      <c r="C190" s="27" t="s">
        <v>218</v>
      </c>
      <c r="D190" s="28">
        <f>D192+D193+D194+D195</f>
        <v>352375.21</v>
      </c>
      <c r="E190" s="28">
        <f t="shared" ref="E190:G190" si="59">E192+E193+E194+E195</f>
        <v>174450.99</v>
      </c>
      <c r="F190" s="28">
        <f t="shared" si="59"/>
        <v>1620973.67</v>
      </c>
      <c r="G190" s="28">
        <f t="shared" si="59"/>
        <v>244404.96</v>
      </c>
      <c r="H190" s="28">
        <f>D190+E190+F190+G190</f>
        <v>2392204.83</v>
      </c>
      <c r="I190" s="29"/>
    </row>
    <row r="191" spans="1:9" s="8" customFormat="1" ht="15" x14ac:dyDescent="0.25">
      <c r="A191" s="37"/>
      <c r="B191" s="27" t="s">
        <v>33</v>
      </c>
      <c r="C191" s="27"/>
      <c r="D191" s="28"/>
      <c r="E191" s="28"/>
      <c r="F191" s="28"/>
      <c r="G191" s="28"/>
      <c r="H191" s="28"/>
      <c r="I191" s="29"/>
    </row>
    <row r="192" spans="1:9" s="8" customFormat="1" ht="15" x14ac:dyDescent="0.25">
      <c r="A192" s="37"/>
      <c r="B192" s="27"/>
      <c r="C192" s="27" t="s">
        <v>219</v>
      </c>
      <c r="D192" s="28">
        <f>D175+D184</f>
        <v>133489.78</v>
      </c>
      <c r="E192" s="28">
        <f t="shared" ref="E192:G192" si="60">E175+E184</f>
        <v>42866.03</v>
      </c>
      <c r="F192" s="28">
        <f t="shared" si="60"/>
        <v>527857.21</v>
      </c>
      <c r="G192" s="28">
        <f t="shared" si="60"/>
        <v>194190.42</v>
      </c>
      <c r="H192" s="28">
        <f>D192+E192+F192+G192</f>
        <v>898403.44</v>
      </c>
      <c r="I192" s="29"/>
    </row>
    <row r="193" spans="1:9" s="8" customFormat="1" ht="15" x14ac:dyDescent="0.25">
      <c r="A193" s="37"/>
      <c r="B193" s="27"/>
      <c r="C193" s="27" t="s">
        <v>220</v>
      </c>
      <c r="D193" s="28">
        <f t="shared" ref="D193:G195" si="61">D176+D185</f>
        <v>76968.179999999993</v>
      </c>
      <c r="E193" s="28">
        <f t="shared" si="61"/>
        <v>30264.41</v>
      </c>
      <c r="F193" s="28">
        <f t="shared" si="61"/>
        <v>353966.51</v>
      </c>
      <c r="G193" s="28">
        <f t="shared" si="61"/>
        <v>16676.400000000001</v>
      </c>
      <c r="H193" s="28">
        <f t="shared" ref="H193:H195" si="62">D193+E193+F193+G193</f>
        <v>477875.5</v>
      </c>
      <c r="I193" s="29"/>
    </row>
    <row r="194" spans="1:9" s="8" customFormat="1" ht="15" x14ac:dyDescent="0.25">
      <c r="A194" s="37"/>
      <c r="B194" s="27"/>
      <c r="C194" s="27" t="s">
        <v>221</v>
      </c>
      <c r="D194" s="28">
        <f t="shared" si="61"/>
        <v>64378.85</v>
      </c>
      <c r="E194" s="28">
        <f t="shared" si="61"/>
        <v>37400.69</v>
      </c>
      <c r="F194" s="28">
        <f t="shared" si="61"/>
        <v>450568.03</v>
      </c>
      <c r="G194" s="28">
        <f>G177+G186</f>
        <v>16806.79</v>
      </c>
      <c r="H194" s="28">
        <f t="shared" si="62"/>
        <v>569154.36</v>
      </c>
      <c r="I194" s="29"/>
    </row>
    <row r="195" spans="1:9" s="8" customFormat="1" ht="15" x14ac:dyDescent="0.25">
      <c r="A195" s="37"/>
      <c r="B195" s="27"/>
      <c r="C195" s="27" t="s">
        <v>222</v>
      </c>
      <c r="D195" s="28">
        <f t="shared" si="61"/>
        <v>77538.399999999994</v>
      </c>
      <c r="E195" s="28">
        <f t="shared" si="61"/>
        <v>63919.86</v>
      </c>
      <c r="F195" s="28">
        <f t="shared" si="61"/>
        <v>288581.92</v>
      </c>
      <c r="G195" s="28">
        <f t="shared" si="61"/>
        <v>16731.349999999999</v>
      </c>
      <c r="H195" s="28">
        <f t="shared" si="62"/>
        <v>446771.53</v>
      </c>
      <c r="I195" s="29"/>
    </row>
    <row r="196" spans="1:9" s="8" customFormat="1" ht="15" x14ac:dyDescent="0.25">
      <c r="A196" s="408" t="s">
        <v>223</v>
      </c>
      <c r="B196" s="409"/>
      <c r="C196" s="409"/>
      <c r="D196" s="409"/>
      <c r="E196" s="409"/>
      <c r="F196" s="409"/>
      <c r="G196" s="409"/>
      <c r="H196" s="410"/>
      <c r="I196" s="49"/>
    </row>
    <row r="197" spans="1:9" s="8" customFormat="1" ht="27.75" customHeight="1" x14ac:dyDescent="0.25">
      <c r="A197" s="37"/>
      <c r="B197" s="27"/>
      <c r="C197" s="27" t="s">
        <v>224</v>
      </c>
      <c r="D197" s="28">
        <f>D85*15%</f>
        <v>1279.43</v>
      </c>
      <c r="E197" s="28">
        <f>E85*15%</f>
        <v>633.41</v>
      </c>
      <c r="F197" s="41"/>
      <c r="G197" s="41"/>
      <c r="H197" s="28">
        <f>D197+E197+G197</f>
        <v>1912.84</v>
      </c>
      <c r="I197" s="29"/>
    </row>
    <row r="198" spans="1:9" s="8" customFormat="1" ht="22.5" x14ac:dyDescent="0.25">
      <c r="A198" s="37"/>
      <c r="B198" s="27"/>
      <c r="C198" s="27" t="s">
        <v>225</v>
      </c>
      <c r="D198" s="41"/>
      <c r="E198" s="41"/>
      <c r="F198" s="41"/>
      <c r="G198" s="28">
        <f>G144+G146+G145</f>
        <v>132114.67000000001</v>
      </c>
      <c r="H198" s="28">
        <f>D198+E198+F198+G198</f>
        <v>132114.67000000001</v>
      </c>
      <c r="I198" s="29"/>
    </row>
    <row r="201" spans="1:9" s="8" customFormat="1" ht="15" x14ac:dyDescent="0.25">
      <c r="A201" s="50" t="s">
        <v>232</v>
      </c>
      <c r="B201" s="10"/>
      <c r="D201" s="51"/>
      <c r="E201" s="51"/>
      <c r="F201" s="51" t="s">
        <v>231</v>
      </c>
      <c r="G201" s="51"/>
      <c r="H201" s="51"/>
      <c r="I201" s="50"/>
    </row>
    <row r="202" spans="1:9" s="8" customFormat="1" ht="15" x14ac:dyDescent="0.25">
      <c r="A202" s="10"/>
      <c r="B202" s="10"/>
      <c r="C202" s="388" t="s">
        <v>226</v>
      </c>
      <c r="D202" s="388"/>
      <c r="E202" s="388"/>
      <c r="F202" s="52"/>
      <c r="G202" s="52"/>
      <c r="H202" s="52"/>
      <c r="I202" s="16"/>
    </row>
    <row r="203" spans="1:9" s="8" customFormat="1" ht="15" x14ac:dyDescent="0.25">
      <c r="A203" s="50" t="s">
        <v>227</v>
      </c>
      <c r="B203" s="10"/>
      <c r="D203" s="51"/>
      <c r="E203" s="51"/>
      <c r="F203" s="51" t="s">
        <v>228</v>
      </c>
      <c r="G203" s="51"/>
      <c r="H203" s="51"/>
      <c r="I203" s="50"/>
    </row>
    <row r="204" spans="1:9" s="8" customFormat="1" ht="15" x14ac:dyDescent="0.25">
      <c r="A204" s="10"/>
      <c r="B204" s="10"/>
      <c r="C204" s="388" t="s">
        <v>226</v>
      </c>
      <c r="D204" s="388"/>
      <c r="E204" s="388"/>
      <c r="F204" s="52"/>
      <c r="G204" s="52"/>
      <c r="H204" s="52"/>
      <c r="I204" s="16"/>
    </row>
    <row r="205" spans="1:9" s="8" customFormat="1" ht="15" x14ac:dyDescent="0.25">
      <c r="A205" s="53" t="s">
        <v>246</v>
      </c>
      <c r="B205" s="10"/>
      <c r="C205" s="50"/>
      <c r="D205" s="50"/>
      <c r="E205" s="50"/>
      <c r="F205" s="50" t="s">
        <v>247</v>
      </c>
      <c r="G205" s="50"/>
      <c r="H205" s="50"/>
      <c r="I205" s="50"/>
    </row>
    <row r="206" spans="1:9" s="8" customFormat="1" ht="15" x14ac:dyDescent="0.25">
      <c r="A206" s="10"/>
      <c r="B206" s="10"/>
      <c r="C206" s="388" t="s">
        <v>226</v>
      </c>
      <c r="D206" s="388"/>
      <c r="E206" s="388"/>
      <c r="F206" s="52"/>
      <c r="G206" s="52"/>
      <c r="H206" s="52"/>
      <c r="I206" s="16"/>
    </row>
    <row r="207" spans="1:9" s="6" customFormat="1" ht="15" x14ac:dyDescent="0.25">
      <c r="A207" s="4" t="s">
        <v>241</v>
      </c>
      <c r="B207" s="1"/>
      <c r="C207" s="2"/>
      <c r="D207" s="3"/>
      <c r="E207" s="3"/>
      <c r="F207" s="3"/>
      <c r="G207" s="3"/>
      <c r="H207" s="3"/>
    </row>
    <row r="208" spans="1:9" s="6" customFormat="1" ht="24.75" customHeight="1" x14ac:dyDescent="0.25">
      <c r="A208" s="411" t="s">
        <v>242</v>
      </c>
      <c r="B208" s="411"/>
      <c r="C208" s="4"/>
      <c r="D208" s="4"/>
      <c r="E208" s="4"/>
      <c r="F208" s="56" t="s">
        <v>243</v>
      </c>
      <c r="G208" s="4"/>
      <c r="H208" s="4"/>
    </row>
    <row r="209" spans="1:8" s="6" customFormat="1" ht="16.5" customHeight="1" x14ac:dyDescent="0.25">
      <c r="A209" s="412"/>
      <c r="B209" s="412"/>
      <c r="C209" s="413" t="s">
        <v>245</v>
      </c>
      <c r="D209" s="413"/>
      <c r="E209" s="413"/>
      <c r="F209" s="57" t="s">
        <v>244</v>
      </c>
      <c r="G209" s="5"/>
      <c r="H209" s="5"/>
    </row>
  </sheetData>
  <mergeCells count="53">
    <mergeCell ref="A209:B209"/>
    <mergeCell ref="C209:E209"/>
    <mergeCell ref="C202:E202"/>
    <mergeCell ref="C204:E204"/>
    <mergeCell ref="C206:E206"/>
    <mergeCell ref="A181:H181"/>
    <mergeCell ref="B188:C188"/>
    <mergeCell ref="B189:C189"/>
    <mergeCell ref="A196:H196"/>
    <mergeCell ref="A208:B208"/>
    <mergeCell ref="B164:C164"/>
    <mergeCell ref="B165:C165"/>
    <mergeCell ref="A166:H166"/>
    <mergeCell ref="B179:C179"/>
    <mergeCell ref="B180:C180"/>
    <mergeCell ref="B127:C127"/>
    <mergeCell ref="B128:C128"/>
    <mergeCell ref="A129:H129"/>
    <mergeCell ref="B136:C136"/>
    <mergeCell ref="A137:H137"/>
    <mergeCell ref="B71:C71"/>
    <mergeCell ref="A72:H72"/>
    <mergeCell ref="B85:C85"/>
    <mergeCell ref="B86:C86"/>
    <mergeCell ref="A87:H87"/>
    <mergeCell ref="B51:C51"/>
    <mergeCell ref="A52:H52"/>
    <mergeCell ref="B57:C57"/>
    <mergeCell ref="A58:H58"/>
    <mergeCell ref="B70:C70"/>
    <mergeCell ref="A25:H25"/>
    <mergeCell ref="B39:C39"/>
    <mergeCell ref="A40:H40"/>
    <mergeCell ref="B45:C45"/>
    <mergeCell ref="A46:H46"/>
    <mergeCell ref="B16:G16"/>
    <mergeCell ref="B17:G17"/>
    <mergeCell ref="B19:G19"/>
    <mergeCell ref="A21:A23"/>
    <mergeCell ref="B21:B23"/>
    <mergeCell ref="C21:C23"/>
    <mergeCell ref="D21:H21"/>
    <mergeCell ref="D22:D23"/>
    <mergeCell ref="E22:E23"/>
    <mergeCell ref="F22:F23"/>
    <mergeCell ref="G22:G23"/>
    <mergeCell ref="H22:H23"/>
    <mergeCell ref="C4:G4"/>
    <mergeCell ref="C5:G5"/>
    <mergeCell ref="C9:G9"/>
    <mergeCell ref="C10:G10"/>
    <mergeCell ref="B12:G12"/>
    <mergeCell ref="B8:C8"/>
  </mergeCells>
  <phoneticPr fontId="6" type="noConversion"/>
  <printOptions horizontalCentered="1"/>
  <pageMargins left="0.70866143703460704" right="0.70866143703460704" top="0.74803149700164795" bottom="0.74803149700164795" header="0.31496062874794001" footer="0.31496062874794001"/>
  <pageSetup paperSize="9" scale="64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Пояснительная</vt:lpstr>
      <vt:lpstr>Протокол</vt:lpstr>
      <vt:lpstr>НМЦ</vt:lpstr>
      <vt:lpstr>Смета контракта</vt:lpstr>
      <vt:lpstr>ВОР</vt:lpstr>
      <vt:lpstr>НМЦК</vt:lpstr>
      <vt:lpstr>ССРСС т.ц.   3кв 2022г</vt:lpstr>
      <vt:lpstr>'ССРСС т.ц.   3кв 2022г'!Заголовки_для_печати</vt:lpstr>
      <vt:lpstr>НМЦ!Область_печати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Юршан Светлана Дмитриевна</dc:creator>
  <cp:lastModifiedBy>Татаринова Елена Александровна</cp:lastModifiedBy>
  <cp:lastPrinted>2023-04-14T15:40:16Z</cp:lastPrinted>
  <dcterms:created xsi:type="dcterms:W3CDTF">2023-03-17T18:16:11Z</dcterms:created>
  <dcterms:modified xsi:type="dcterms:W3CDTF">2023-04-14T15:42:04Z</dcterms:modified>
</cp:coreProperties>
</file>